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C:\Users\emele\Documents\Monitoreo UCI\"/>
    </mc:Choice>
  </mc:AlternateContent>
  <xr:revisionPtr revIDLastSave="116" documentId="13_ncr:1_{D81FBBBF-C1B9-4D6F-8A58-E55811B480CC}" xr6:coauthVersionLast="47" xr6:coauthVersionMax="47" xr10:uidLastSave="{5EFC37B1-50F0-445A-A042-6F66732613B7}"/>
  <bookViews>
    <workbookView xWindow="3585" yWindow="0" windowWidth="10245" windowHeight="10920" activeTab="3" xr2:uid="{CE86E981-FD83-4221-8CF1-7925518FB465}"/>
  </bookViews>
  <sheets>
    <sheet name="Panel" sheetId="1" r:id="rId1"/>
    <sheet name="Microdinamia" sheetId="2" r:id="rId2"/>
    <sheet name="Macrodinamia" sheetId="3" r:id="rId3"/>
    <sheet name="Ventilatorio" sheetId="4" r:id="rId4"/>
    <sheet name="Neurocrític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5" l="1"/>
  <c r="D11" i="2"/>
  <c r="D33" i="5"/>
  <c r="D6" i="2"/>
  <c r="D9" i="2"/>
  <c r="D29" i="5"/>
  <c r="D32" i="4"/>
  <c r="G11" i="5"/>
  <c r="E18" i="5"/>
  <c r="E17" i="5"/>
  <c r="D12" i="4"/>
  <c r="D24" i="5"/>
  <c r="G12" i="5"/>
  <c r="J11" i="5"/>
  <c r="J12" i="5" s="1"/>
  <c r="G13" i="5"/>
  <c r="J13" i="5"/>
  <c r="D13" i="5"/>
  <c r="D11" i="5"/>
  <c r="D31" i="4"/>
  <c r="D7" i="2"/>
  <c r="D28" i="4"/>
  <c r="D24" i="4"/>
  <c r="D23" i="4"/>
  <c r="D22" i="4"/>
  <c r="D20" i="4"/>
  <c r="D17" i="4"/>
  <c r="D47" i="3"/>
  <c r="D42" i="3"/>
  <c r="D36" i="3"/>
  <c r="D34" i="3"/>
  <c r="D32" i="3"/>
  <c r="D28" i="3"/>
  <c r="D29" i="3" s="1"/>
  <c r="D40" i="3" s="1"/>
  <c r="D25" i="3"/>
  <c r="D15" i="3"/>
  <c r="D45" i="3" s="1"/>
  <c r="D10" i="3"/>
  <c r="D35" i="3" s="1"/>
  <c r="D37" i="3" s="1"/>
  <c r="D9" i="3"/>
  <c r="D16" i="2"/>
  <c r="D15" i="2"/>
  <c r="D14" i="2"/>
  <c r="D5" i="2"/>
  <c r="D8" i="2" s="1"/>
  <c r="D20" i="1"/>
  <c r="D12" i="1"/>
  <c r="D10" i="1"/>
  <c r="D11" i="1" s="1"/>
  <c r="D7" i="4" s="1"/>
  <c r="D9" i="4" s="1"/>
  <c r="D9" i="1"/>
  <c r="D30" i="5" l="1"/>
  <c r="D13" i="2"/>
  <c r="D18" i="2"/>
  <c r="D30" i="4"/>
  <c r="D29" i="4"/>
  <c r="D12" i="5"/>
  <c r="D14" i="5" s="1"/>
  <c r="D15" i="5" s="1"/>
  <c r="D46" i="3"/>
  <c r="D12" i="3"/>
  <c r="D11" i="3"/>
  <c r="D48" i="3" l="1"/>
  <c r="D38" i="3"/>
  <c r="D18" i="3"/>
  <c r="D17" i="3"/>
  <c r="D12" i="2"/>
  <c r="D10" i="2"/>
  <c r="D49" i="3"/>
</calcChain>
</file>

<file path=xl/sharedStrings.xml><?xml version="1.0" encoding="utf-8"?>
<sst xmlns="http://schemas.openxmlformats.org/spreadsheetml/2006/main" count="290" uniqueCount="185">
  <si>
    <t>MONITOREO UCI</t>
  </si>
  <si>
    <t>Antropometricos</t>
  </si>
  <si>
    <t>Sexo:</t>
  </si>
  <si>
    <t>M</t>
  </si>
  <si>
    <r>
      <rPr>
        <b/>
        <sz val="11"/>
        <color theme="1"/>
        <rFont val="Aptos Narrow"/>
        <family val="2"/>
        <scheme val="minor"/>
      </rPr>
      <t>H</t>
    </r>
    <r>
      <rPr>
        <sz val="11"/>
        <color theme="1"/>
        <rFont val="Aptos Narrow"/>
        <family val="2"/>
        <scheme val="minor"/>
      </rPr>
      <t>ombre/</t>
    </r>
    <r>
      <rPr>
        <b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>ujer</t>
    </r>
  </si>
  <si>
    <t>Edad:</t>
  </si>
  <si>
    <t>Años</t>
  </si>
  <si>
    <t>Peso:</t>
  </si>
  <si>
    <t>Kg</t>
  </si>
  <si>
    <t xml:space="preserve">Talla: </t>
  </si>
  <si>
    <t>mts</t>
  </si>
  <si>
    <t xml:space="preserve">IMC: </t>
  </si>
  <si>
    <t>Kg/mts2</t>
  </si>
  <si>
    <t>SCT:</t>
  </si>
  <si>
    <t>mts2</t>
  </si>
  <si>
    <t>Lorentz</t>
  </si>
  <si>
    <t>PI:</t>
  </si>
  <si>
    <t>Miller</t>
  </si>
  <si>
    <t xml:space="preserve">ACT: </t>
  </si>
  <si>
    <t>Lt</t>
  </si>
  <si>
    <t>Watson</t>
  </si>
  <si>
    <t>Signos vitales:</t>
  </si>
  <si>
    <t>TAS</t>
  </si>
  <si>
    <t>mmHg</t>
  </si>
  <si>
    <t>TAD</t>
  </si>
  <si>
    <t>TAM</t>
  </si>
  <si>
    <t>FC</t>
  </si>
  <si>
    <t>LPM</t>
  </si>
  <si>
    <t>SatO2</t>
  </si>
  <si>
    <t>%</t>
  </si>
  <si>
    <t>Hemoglobina</t>
  </si>
  <si>
    <t>Hb</t>
  </si>
  <si>
    <t>mg/dL</t>
  </si>
  <si>
    <t>Gasometría arterial</t>
  </si>
  <si>
    <t>pH</t>
  </si>
  <si>
    <t>PaCO2</t>
  </si>
  <si>
    <t>PaO2</t>
  </si>
  <si>
    <t>Lactato</t>
  </si>
  <si>
    <t>mmol/dL</t>
  </si>
  <si>
    <t>Gasometría venosa</t>
  </si>
  <si>
    <t>PvCO2</t>
  </si>
  <si>
    <t>PvO2</t>
  </si>
  <si>
    <t>SatvO2</t>
  </si>
  <si>
    <t>DATOS</t>
  </si>
  <si>
    <t>VCI</t>
  </si>
  <si>
    <t>SEXO</t>
  </si>
  <si>
    <t>MODO</t>
  </si>
  <si>
    <t>&gt;50%</t>
  </si>
  <si>
    <t>H</t>
  </si>
  <si>
    <t>PVC</t>
  </si>
  <si>
    <t>&lt;50%</t>
  </si>
  <si>
    <t>VCV</t>
  </si>
  <si>
    <t>total</t>
  </si>
  <si>
    <t>ARTERIAS CEREBRALES</t>
  </si>
  <si>
    <t>ACM</t>
  </si>
  <si>
    <t>ACA</t>
  </si>
  <si>
    <t>ACP</t>
  </si>
  <si>
    <t>AB</t>
  </si>
  <si>
    <t>MONITOREO MICRODINAMIA</t>
  </si>
  <si>
    <t>CaO2</t>
  </si>
  <si>
    <t>mL/dL</t>
  </si>
  <si>
    <t>CvO2</t>
  </si>
  <si>
    <t>CcO2</t>
  </si>
  <si>
    <t>DavO2</t>
  </si>
  <si>
    <t>VO2</t>
  </si>
  <si>
    <t>ml/dL</t>
  </si>
  <si>
    <t>VO2I</t>
  </si>
  <si>
    <t>mL/min/m2</t>
  </si>
  <si>
    <t>DO2</t>
  </si>
  <si>
    <t>DO2I</t>
  </si>
  <si>
    <t>ExtO2</t>
  </si>
  <si>
    <t>DavCO2</t>
  </si>
  <si>
    <t>Láctico</t>
  </si>
  <si>
    <t>GC Fick</t>
  </si>
  <si>
    <t>L/min</t>
  </si>
  <si>
    <t>MONITOREO MACRODINAMIA</t>
  </si>
  <si>
    <t>POCUS</t>
  </si>
  <si>
    <t>VTI</t>
  </si>
  <si>
    <t>cm</t>
  </si>
  <si>
    <t>TSVI</t>
  </si>
  <si>
    <t>TSVI Inferido</t>
  </si>
  <si>
    <t>VS</t>
  </si>
  <si>
    <t>mL</t>
  </si>
  <si>
    <t>GC</t>
  </si>
  <si>
    <t>IC</t>
  </si>
  <si>
    <t>VCI Colaps.</t>
  </si>
  <si>
    <t>PVC ECO</t>
  </si>
  <si>
    <t>PVC Medido</t>
  </si>
  <si>
    <t>RVS</t>
  </si>
  <si>
    <t>Dynas</t>
  </si>
  <si>
    <t>RVSI</t>
  </si>
  <si>
    <t>Dynas/m2</t>
  </si>
  <si>
    <t>CONTRACTIBILIDAD</t>
  </si>
  <si>
    <t>MAPSE L</t>
  </si>
  <si>
    <t>mm</t>
  </si>
  <si>
    <t>MAPSE S</t>
  </si>
  <si>
    <t>E</t>
  </si>
  <si>
    <t>m/s</t>
  </si>
  <si>
    <t>A</t>
  </si>
  <si>
    <t>E/A</t>
  </si>
  <si>
    <t>E' lat</t>
  </si>
  <si>
    <t>E' med</t>
  </si>
  <si>
    <t>E' Prom</t>
  </si>
  <si>
    <t>E/E'</t>
  </si>
  <si>
    <t>VFS</t>
  </si>
  <si>
    <t>VFD</t>
  </si>
  <si>
    <t>FEVI SIMP</t>
  </si>
  <si>
    <t>Long. VI</t>
  </si>
  <si>
    <t>Strain MAPSE</t>
  </si>
  <si>
    <t>Ea</t>
  </si>
  <si>
    <t>mmHg/mL</t>
  </si>
  <si>
    <t>Ee</t>
  </si>
  <si>
    <t>AVA</t>
  </si>
  <si>
    <t>Power C</t>
  </si>
  <si>
    <t>Vatios (W)</t>
  </si>
  <si>
    <t>Welch</t>
  </si>
  <si>
    <t xml:space="preserve">VTmax </t>
  </si>
  <si>
    <t>Gradiente IT</t>
  </si>
  <si>
    <t>TAPSE</t>
  </si>
  <si>
    <t>VTI Pulmonar</t>
  </si>
  <si>
    <t>PSAP</t>
  </si>
  <si>
    <t>PMAP</t>
  </si>
  <si>
    <t>RVSPulm.</t>
  </si>
  <si>
    <t>WU</t>
  </si>
  <si>
    <t>RVSPulm. In.</t>
  </si>
  <si>
    <t>AVD</t>
  </si>
  <si>
    <t>MONITOREO VENTILATORIO</t>
  </si>
  <si>
    <t>EM</t>
  </si>
  <si>
    <t>Espacio Muerto</t>
  </si>
  <si>
    <t>Peso SDRA</t>
  </si>
  <si>
    <t>EV</t>
  </si>
  <si>
    <t>Eficiencia Ventilatoria</t>
  </si>
  <si>
    <t>VT protec.</t>
  </si>
  <si>
    <t>ml/Kg PI</t>
  </si>
  <si>
    <t>PpMt</t>
  </si>
  <si>
    <t>Presión transpulmonar muscular</t>
  </si>
  <si>
    <t>VT protec. C.</t>
  </si>
  <si>
    <t>ml</t>
  </si>
  <si>
    <t>VT Ventilador</t>
  </si>
  <si>
    <t>PM</t>
  </si>
  <si>
    <t>Poder Mecánico</t>
  </si>
  <si>
    <t>FR</t>
  </si>
  <si>
    <t>RPM</t>
  </si>
  <si>
    <t>Raw</t>
  </si>
  <si>
    <t>Resistencia de Vía Aérea</t>
  </si>
  <si>
    <t>PeCO2</t>
  </si>
  <si>
    <t>PEEP</t>
  </si>
  <si>
    <t>FIO2</t>
  </si>
  <si>
    <t>Plateau</t>
  </si>
  <si>
    <t>Driving P.</t>
  </si>
  <si>
    <t>Ppico</t>
  </si>
  <si>
    <t>Cstat</t>
  </si>
  <si>
    <t>mL/cmH2O</t>
  </si>
  <si>
    <t>Cstat Calc</t>
  </si>
  <si>
    <t>Cdin</t>
  </si>
  <si>
    <t>Cdin Calc</t>
  </si>
  <si>
    <t>cmH2O/L/s</t>
  </si>
  <si>
    <t>V/min</t>
  </si>
  <si>
    <t>POCC</t>
  </si>
  <si>
    <t>Shunt</t>
  </si>
  <si>
    <t>MONITOREO NEUROCRÍTICO</t>
  </si>
  <si>
    <t>DTC</t>
  </si>
  <si>
    <t>VM Art. Carótida interna extracraneal</t>
  </si>
  <si>
    <t xml:space="preserve">VM Art. Vertebral Extracraneal </t>
  </si>
  <si>
    <t>cm/s</t>
  </si>
  <si>
    <t>VD</t>
  </si>
  <si>
    <t>VM</t>
  </si>
  <si>
    <t>IP</t>
  </si>
  <si>
    <t>IR</t>
  </si>
  <si>
    <t>PIC</t>
  </si>
  <si>
    <t>PPC</t>
  </si>
  <si>
    <t>Indice Lindergard</t>
  </si>
  <si>
    <t>Indice de Soustiel</t>
  </si>
  <si>
    <t>VNO</t>
  </si>
  <si>
    <t>Gasometría jO2</t>
  </si>
  <si>
    <t>Der.</t>
  </si>
  <si>
    <t>Izq.</t>
  </si>
  <si>
    <t>DGO</t>
  </si>
  <si>
    <t>VNO/DGO</t>
  </si>
  <si>
    <t>Golfo de la Yugular</t>
  </si>
  <si>
    <t>SjO2</t>
  </si>
  <si>
    <t>AVDO2</t>
  </si>
  <si>
    <t>mL/100g/min</t>
  </si>
  <si>
    <t>CEO2</t>
  </si>
  <si>
    <t>CvJO2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</si>
</sst>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43" fontId="0" fillId="0" borderId="0" xfId="1" applyFont="1"/>
    <xf numFmtId="165" fontId="0" fillId="2" borderId="0" xfId="0" applyNumberFormat="1" applyFill="1"/>
    <xf numFmtId="9" fontId="0" fillId="2" borderId="0" xfId="0" applyNumberFormat="1" applyFill="1"/>
    <xf numFmtId="43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1" fontId="0" fillId="0" borderId="0" xfId="0" applyNumberFormat="1" applyAlignment="1">
      <alignment wrapText="1"/>
    </xf>
    <xf numFmtId="0" fontId="3" fillId="0" borderId="0" xfId="0" applyFont="1"/>
    <xf numFmtId="0" fontId="4" fillId="2" borderId="0" xfId="0" applyFont="1" applyFill="1"/>
    <xf numFmtId="2" fontId="0" fillId="3" borderId="0" xfId="0" applyNumberFormat="1" applyFill="1"/>
    <xf numFmtId="0" fontId="0" fillId="3" borderId="0" xfId="0" applyFill="1" applyAlignment="1">
      <alignment horizontal="left" indent="7"/>
    </xf>
    <xf numFmtId="0" fontId="0" fillId="3" borderId="0" xfId="0" applyFill="1"/>
    <xf numFmtId="1" fontId="0" fillId="3" borderId="0" xfId="0" applyNumberFormat="1" applyFill="1" applyAlignment="1">
      <alignment wrapText="1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/>
    <xf numFmtId="0" fontId="1" fillId="4" borderId="0" xfId="0" applyFont="1" applyFill="1"/>
    <xf numFmtId="9" fontId="0" fillId="4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17</xdr:col>
      <xdr:colOff>0</xdr:colOff>
      <xdr:row>27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99F94-1560-7281-6023-87B6D5A7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3286125"/>
          <a:ext cx="4572000" cy="200977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3</xdr:row>
      <xdr:rowOff>133350</xdr:rowOff>
    </xdr:from>
    <xdr:to>
      <xdr:col>17</xdr:col>
      <xdr:colOff>190500</xdr:colOff>
      <xdr:row>16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9037F6-BDD0-92BB-5649-8B55B52E3F5C}"/>
            </a:ext>
            <a:ext uri="{147F2762-F138-4A5C-976F-8EAC2B608ADB}">
              <a16:predDERef xmlns:a16="http://schemas.microsoft.com/office/drawing/2014/main" pred="{39999F94-1560-7281-6023-87B6D5A7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52475"/>
          <a:ext cx="4572000" cy="242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17</xdr:col>
      <xdr:colOff>0</xdr:colOff>
      <xdr:row>53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729A81-F5B8-FA07-6529-E776A50E9475}"/>
            </a:ext>
            <a:ext uri="{147F2762-F138-4A5C-976F-8EAC2B608ADB}">
              <a16:predDERef xmlns:a16="http://schemas.microsoft.com/office/drawing/2014/main" pred="{459037F6-BDD0-92BB-5649-8B55B52E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6275" y="7096125"/>
          <a:ext cx="4572000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095-3E7E-4AC5-8150-0D8E7AF2BC56}">
  <dimension ref="C2:F65"/>
  <sheetViews>
    <sheetView workbookViewId="0">
      <selection activeCell="D11" sqref="D11"/>
    </sheetView>
  </sheetViews>
  <sheetFormatPr defaultColWidth="11.42578125" defaultRowHeight="15"/>
  <cols>
    <col min="4" max="4" width="11.7109375" bestFit="1" customWidth="1"/>
  </cols>
  <sheetData>
    <row r="2" spans="3:6">
      <c r="E2" s="1" t="s">
        <v>0</v>
      </c>
    </row>
    <row r="4" spans="3:6">
      <c r="C4" s="1" t="s">
        <v>1</v>
      </c>
    </row>
    <row r="5" spans="3:6">
      <c r="C5" t="s">
        <v>2</v>
      </c>
      <c r="D5" s="19" t="s">
        <v>3</v>
      </c>
      <c r="E5" t="s">
        <v>4</v>
      </c>
    </row>
    <row r="6" spans="3:6">
      <c r="C6" t="s">
        <v>5</v>
      </c>
      <c r="D6" s="20">
        <v>79</v>
      </c>
      <c r="E6" t="s">
        <v>6</v>
      </c>
    </row>
    <row r="7" spans="3:6">
      <c r="C7" t="s">
        <v>7</v>
      </c>
      <c r="D7" s="18">
        <v>68</v>
      </c>
      <c r="E7" t="s">
        <v>8</v>
      </c>
    </row>
    <row r="8" spans="3:6">
      <c r="C8" t="s">
        <v>9</v>
      </c>
      <c r="D8" s="7">
        <v>1.59</v>
      </c>
      <c r="E8" t="s">
        <v>10</v>
      </c>
    </row>
    <row r="9" spans="3:6">
      <c r="C9" t="s">
        <v>11</v>
      </c>
      <c r="D9" s="6">
        <f>D7/D8^2</f>
        <v>26.897670187097027</v>
      </c>
      <c r="E9" t="s">
        <v>12</v>
      </c>
    </row>
    <row r="10" spans="3:6">
      <c r="C10" t="s">
        <v>13</v>
      </c>
      <c r="D10" s="8">
        <f>(0.020247*(D7^0.425)*(D8^0.725))*10</f>
        <v>1.7029029032068883</v>
      </c>
      <c r="E10" t="s">
        <v>14</v>
      </c>
      <c r="F10" t="s">
        <v>15</v>
      </c>
    </row>
    <row r="11" spans="3:6">
      <c r="C11" t="s">
        <v>16</v>
      </c>
      <c r="D11" s="6">
        <f>IF(D5="H",56.2+1.41*((D10*100)/2.54-60),IF(D5="M",53.1+1.36*((D10*100)/2.54-60),"Error"))</f>
        <v>62.67905308509323</v>
      </c>
      <c r="E11" t="s">
        <v>8</v>
      </c>
      <c r="F11" t="s">
        <v>17</v>
      </c>
    </row>
    <row r="12" spans="3:6">
      <c r="C12" t="s">
        <v>18</v>
      </c>
      <c r="D12" s="6">
        <f>IF(D5="H",2.447-(0.09156*D6)+(0.3362*D7)+(0.1074*(D8*100)),IF(D5="M",-2.097+(0.1069*(D8*100))+(0.2466*D7),"Error"))</f>
        <v>31.668900000000001</v>
      </c>
      <c r="E12" t="s">
        <v>19</v>
      </c>
      <c r="F12" t="s">
        <v>20</v>
      </c>
    </row>
    <row r="17" spans="3:5">
      <c r="C17" s="1" t="s">
        <v>21</v>
      </c>
    </row>
    <row r="18" spans="3:5">
      <c r="C18" t="s">
        <v>22</v>
      </c>
      <c r="D18" s="2">
        <v>90</v>
      </c>
      <c r="E18" t="s">
        <v>23</v>
      </c>
    </row>
    <row r="19" spans="3:5">
      <c r="C19" t="s">
        <v>24</v>
      </c>
      <c r="D19" s="2">
        <v>43</v>
      </c>
      <c r="E19" t="s">
        <v>23</v>
      </c>
    </row>
    <row r="20" spans="3:5">
      <c r="C20" t="s">
        <v>25</v>
      </c>
      <c r="D20" s="6">
        <f>(D18+(2*D19))/3</f>
        <v>58.666666666666664</v>
      </c>
      <c r="E20" t="s">
        <v>23</v>
      </c>
    </row>
    <row r="21" spans="3:5">
      <c r="C21" t="s">
        <v>26</v>
      </c>
      <c r="D21" s="2">
        <v>79</v>
      </c>
      <c r="E21" t="s">
        <v>27</v>
      </c>
    </row>
    <row r="22" spans="3:5">
      <c r="C22" t="s">
        <v>28</v>
      </c>
      <c r="D22" s="2">
        <v>87</v>
      </c>
      <c r="E22" t="s">
        <v>29</v>
      </c>
    </row>
    <row r="26" spans="3:5">
      <c r="C26" s="1" t="s">
        <v>30</v>
      </c>
    </row>
    <row r="27" spans="3:5">
      <c r="C27" t="s">
        <v>31</v>
      </c>
      <c r="D27" s="7">
        <v>14.1</v>
      </c>
      <c r="E27" t="s">
        <v>32</v>
      </c>
    </row>
    <row r="29" spans="3:5">
      <c r="C29" s="1" t="s">
        <v>33</v>
      </c>
    </row>
    <row r="30" spans="3:5">
      <c r="C30" t="s">
        <v>34</v>
      </c>
      <c r="D30" s="7">
        <v>7.08</v>
      </c>
    </row>
    <row r="31" spans="3:5">
      <c r="C31" t="s">
        <v>35</v>
      </c>
      <c r="D31" s="9">
        <v>61</v>
      </c>
      <c r="E31" t="s">
        <v>23</v>
      </c>
    </row>
    <row r="32" spans="3:5">
      <c r="C32" t="s">
        <v>36</v>
      </c>
      <c r="D32" s="9">
        <v>71</v>
      </c>
      <c r="E32" t="s">
        <v>23</v>
      </c>
    </row>
    <row r="33" spans="3:5">
      <c r="C33" t="s">
        <v>28</v>
      </c>
      <c r="D33" s="10">
        <v>0.94</v>
      </c>
    </row>
    <row r="34" spans="3:5">
      <c r="C34" t="s">
        <v>37</v>
      </c>
      <c r="D34" s="7">
        <v>3.96</v>
      </c>
      <c r="E34" t="s">
        <v>38</v>
      </c>
    </row>
    <row r="36" spans="3:5">
      <c r="C36" s="1" t="s">
        <v>39</v>
      </c>
    </row>
    <row r="37" spans="3:5">
      <c r="C37" t="s">
        <v>34</v>
      </c>
      <c r="D37" s="7">
        <v>7.06</v>
      </c>
    </row>
    <row r="38" spans="3:5">
      <c r="C38" t="s">
        <v>40</v>
      </c>
      <c r="D38" s="9">
        <v>70</v>
      </c>
      <c r="E38" t="s">
        <v>23</v>
      </c>
    </row>
    <row r="39" spans="3:5">
      <c r="C39" t="s">
        <v>41</v>
      </c>
      <c r="D39" s="9">
        <v>49</v>
      </c>
      <c r="E39" t="s">
        <v>23</v>
      </c>
    </row>
    <row r="40" spans="3:5">
      <c r="C40" t="s">
        <v>42</v>
      </c>
      <c r="D40" s="10">
        <v>0.84</v>
      </c>
    </row>
    <row r="53" spans="3:5">
      <c r="C53" t="s">
        <v>43</v>
      </c>
    </row>
    <row r="55" spans="3:5">
      <c r="C55" t="s">
        <v>44</v>
      </c>
      <c r="D55" t="s">
        <v>45</v>
      </c>
      <c r="E55" t="s">
        <v>46</v>
      </c>
    </row>
    <row r="56" spans="3:5">
      <c r="C56" t="s">
        <v>47</v>
      </c>
      <c r="D56" t="s">
        <v>48</v>
      </c>
      <c r="E56" t="s">
        <v>49</v>
      </c>
    </row>
    <row r="57" spans="3:5">
      <c r="C57" t="s">
        <v>50</v>
      </c>
      <c r="D57" t="s">
        <v>3</v>
      </c>
      <c r="E57" t="s">
        <v>51</v>
      </c>
    </row>
    <row r="58" spans="3:5">
      <c r="C58" t="s">
        <v>52</v>
      </c>
    </row>
    <row r="61" spans="3:5">
      <c r="C61" t="s">
        <v>53</v>
      </c>
    </row>
    <row r="62" spans="3:5">
      <c r="C62" t="s">
        <v>54</v>
      </c>
    </row>
    <row r="63" spans="3:5">
      <c r="C63" t="s">
        <v>55</v>
      </c>
    </row>
    <row r="64" spans="3:5">
      <c r="C64" t="s">
        <v>56</v>
      </c>
    </row>
    <row r="65" spans="3:3">
      <c r="C65" t="s">
        <v>57</v>
      </c>
    </row>
  </sheetData>
  <dataValidations count="1">
    <dataValidation type="list" allowBlank="1" showInputMessage="1" showErrorMessage="1" sqref="D5" xr:uid="{D51D7357-6008-49C3-B0E5-DD7C1BF70C6D}">
      <formula1>$D$56:$D$57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90C8-03F4-4D93-B8E1-E3FE065A7697}">
  <dimension ref="C2:E18"/>
  <sheetViews>
    <sheetView workbookViewId="0">
      <selection activeCell="D14" sqref="D14"/>
    </sheetView>
  </sheetViews>
  <sheetFormatPr defaultColWidth="11.42578125" defaultRowHeight="15"/>
  <sheetData>
    <row r="2" spans="3:5">
      <c r="D2" s="1" t="s">
        <v>58</v>
      </c>
    </row>
    <row r="5" spans="3:5">
      <c r="C5" t="s">
        <v>59</v>
      </c>
      <c r="D5" s="5">
        <f>(1.36*Panel!D27*Panel!D33)+(0.0031*Panel!D32)</f>
        <v>18.245539999999998</v>
      </c>
      <c r="E5" t="s">
        <v>60</v>
      </c>
    </row>
    <row r="6" spans="3:5">
      <c r="C6" t="s">
        <v>61</v>
      </c>
      <c r="D6" s="5">
        <f>(1.36*Panel!D27*Panel!D40)+(0.0031*Panel!D39)</f>
        <v>16.259740000000001</v>
      </c>
      <c r="E6" t="s">
        <v>60</v>
      </c>
    </row>
    <row r="7" spans="3:5">
      <c r="C7" t="s">
        <v>62</v>
      </c>
      <c r="D7" s="5">
        <f>((Panel!D27*1.36)*(Panel!D22/100))+(Panel!D32*0.0031)</f>
        <v>16.903220000000001</v>
      </c>
      <c r="E7" t="s">
        <v>60</v>
      </c>
    </row>
    <row r="8" spans="3:5">
      <c r="C8" t="s">
        <v>63</v>
      </c>
      <c r="D8" s="5">
        <f>D5-D6</f>
        <v>1.9857999999999976</v>
      </c>
      <c r="E8" t="s">
        <v>60</v>
      </c>
    </row>
    <row r="9" spans="3:5">
      <c r="C9" t="s">
        <v>64</v>
      </c>
      <c r="D9" s="12">
        <f>Macrodinamia!D11*(D5-D6)*10</f>
        <v>49.826241980199939</v>
      </c>
      <c r="E9" t="s">
        <v>65</v>
      </c>
    </row>
    <row r="10" spans="3:5">
      <c r="C10" t="s">
        <v>66</v>
      </c>
      <c r="D10" s="12">
        <f>(Macrodinamia!D11*(D5-D6)*10)/Panel!D10</f>
        <v>29.259590717925079</v>
      </c>
      <c r="E10" t="s">
        <v>67</v>
      </c>
    </row>
    <row r="11" spans="3:5">
      <c r="C11" t="s">
        <v>68</v>
      </c>
      <c r="D11" s="12">
        <f>(Macrodinamia!D11*D5)*10</f>
        <v>457.80375219025996</v>
      </c>
      <c r="E11" t="s">
        <v>65</v>
      </c>
    </row>
    <row r="12" spans="3:5">
      <c r="C12" t="s">
        <v>69</v>
      </c>
      <c r="D12" s="12">
        <f>((Macrodinamia!D11*D5)*10)/Panel!D10</f>
        <v>268.83726096662872</v>
      </c>
      <c r="E12" t="s">
        <v>67</v>
      </c>
    </row>
    <row r="13" spans="3:5">
      <c r="C13" t="s">
        <v>70</v>
      </c>
      <c r="D13" s="4">
        <f>(D8/D5)*100</f>
        <v>10.883755701393314</v>
      </c>
      <c r="E13" t="s">
        <v>29</v>
      </c>
    </row>
    <row r="14" spans="3:5">
      <c r="C14" t="s">
        <v>42</v>
      </c>
      <c r="D14" s="13">
        <f>Panel!D40</f>
        <v>0.84</v>
      </c>
    </row>
    <row r="15" spans="3:5">
      <c r="C15" t="s">
        <v>71</v>
      </c>
      <c r="D15" s="6">
        <f>Panel!D38-Panel!D31</f>
        <v>9</v>
      </c>
      <c r="E15" t="s">
        <v>23</v>
      </c>
    </row>
    <row r="16" spans="3:5">
      <c r="C16" t="s">
        <v>72</v>
      </c>
      <c r="D16">
        <f>Panel!D34</f>
        <v>3.96</v>
      </c>
      <c r="E16" t="s">
        <v>38</v>
      </c>
    </row>
    <row r="18" spans="3:5">
      <c r="C18" s="26" t="s">
        <v>73</v>
      </c>
      <c r="D18" s="4">
        <f>((D8*100)/D5)/D8</f>
        <v>5.4807914701346192</v>
      </c>
      <c r="E18" t="s">
        <v>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74D5-22C6-43A4-82E7-05CAD3943FCA}">
  <dimension ref="C3:E49"/>
  <sheetViews>
    <sheetView topLeftCell="A5" workbookViewId="0">
      <selection activeCell="E58" sqref="E58"/>
    </sheetView>
  </sheetViews>
  <sheetFormatPr defaultColWidth="11.42578125" defaultRowHeight="15"/>
  <cols>
    <col min="3" max="3" width="12.7109375" customWidth="1"/>
  </cols>
  <sheetData>
    <row r="3" spans="3:5">
      <c r="D3" s="1" t="s">
        <v>75</v>
      </c>
    </row>
    <row r="6" spans="3:5">
      <c r="C6" s="1" t="s">
        <v>76</v>
      </c>
    </row>
    <row r="7" spans="3:5">
      <c r="C7" t="s">
        <v>77</v>
      </c>
      <c r="D7" s="9">
        <v>14</v>
      </c>
      <c r="E7" t="s">
        <v>78</v>
      </c>
    </row>
    <row r="8" spans="3:5">
      <c r="C8" t="s">
        <v>79</v>
      </c>
      <c r="D8" s="2">
        <v>1.7</v>
      </c>
      <c r="E8" t="s">
        <v>78</v>
      </c>
    </row>
    <row r="9" spans="3:5">
      <c r="C9" t="s">
        <v>80</v>
      </c>
      <c r="D9">
        <f>(0.01*(Panel!D8*100))+0.25</f>
        <v>1.84</v>
      </c>
      <c r="E9" t="s">
        <v>78</v>
      </c>
    </row>
    <row r="10" spans="3:5">
      <c r="C10" t="s">
        <v>81</v>
      </c>
      <c r="D10" s="6">
        <f>((D8^2)*0.785)*D7</f>
        <v>31.761099999999999</v>
      </c>
      <c r="E10" t="s">
        <v>82</v>
      </c>
    </row>
    <row r="11" spans="3:5">
      <c r="C11" t="s">
        <v>83</v>
      </c>
      <c r="D11" s="4">
        <f>D10/1000*Panel!D21</f>
        <v>2.5091269</v>
      </c>
      <c r="E11" t="s">
        <v>74</v>
      </c>
    </row>
    <row r="12" spans="3:5">
      <c r="C12" t="s">
        <v>84</v>
      </c>
      <c r="D12" s="11">
        <f>(D10/1000*Panel!D21)/Panel!D10</f>
        <v>1.4734409667602535</v>
      </c>
      <c r="E12" t="s">
        <v>67</v>
      </c>
    </row>
    <row r="13" spans="3:5">
      <c r="C13" t="s">
        <v>44</v>
      </c>
      <c r="D13" s="2">
        <v>1.8</v>
      </c>
      <c r="E13" t="s">
        <v>78</v>
      </c>
    </row>
    <row r="14" spans="3:5">
      <c r="C14" t="s">
        <v>85</v>
      </c>
      <c r="D14" s="14" t="s">
        <v>50</v>
      </c>
    </row>
    <row r="15" spans="3:5">
      <c r="C15" t="s">
        <v>86</v>
      </c>
      <c r="D15">
        <f>IF(D13&lt;1.5,5,IF(AND(D13&gt;=1.5,D13&lt;=2.5,D14="total"),8,IF(AND(D13&gt;=1.5,D13&lt;=2.5,D14="&gt;50%"),8,IF(AND(D13&gt;=1.5,D13&lt;=2.5,D14="&lt;50%"),13,IF(AND(D13&gt;2.5,D14="&lt;50%"),18,IF(AND(D13&gt;2.5,D14="No cambios"),20,"Error"))))))</f>
        <v>13</v>
      </c>
      <c r="E15" t="s">
        <v>23</v>
      </c>
    </row>
    <row r="16" spans="3:5">
      <c r="C16" t="s">
        <v>87</v>
      </c>
      <c r="D16" s="2">
        <v>13</v>
      </c>
      <c r="E16" t="s">
        <v>23</v>
      </c>
    </row>
    <row r="17" spans="3:5">
      <c r="C17" t="s">
        <v>88</v>
      </c>
      <c r="D17" s="6">
        <f>((Panel!D20-D15)*80)/D11</f>
        <v>1456.017761928794</v>
      </c>
      <c r="E17" t="s">
        <v>89</v>
      </c>
    </row>
    <row r="18" spans="3:5">
      <c r="C18" t="s">
        <v>90</v>
      </c>
      <c r="D18" s="12">
        <f>(((Panel!D20-D15)*80)/D11)/Panel!D10</f>
        <v>855.02101099647973</v>
      </c>
      <c r="E18" t="s">
        <v>91</v>
      </c>
    </row>
    <row r="20" spans="3:5">
      <c r="C20" s="1" t="s">
        <v>92</v>
      </c>
    </row>
    <row r="21" spans="3:5">
      <c r="C21" t="s">
        <v>93</v>
      </c>
      <c r="D21" s="2">
        <v>9</v>
      </c>
      <c r="E21" t="s">
        <v>94</v>
      </c>
    </row>
    <row r="22" spans="3:5">
      <c r="C22" t="s">
        <v>95</v>
      </c>
      <c r="D22" s="2">
        <v>10</v>
      </c>
      <c r="E22" t="s">
        <v>94</v>
      </c>
    </row>
    <row r="23" spans="3:5">
      <c r="C23" t="s">
        <v>96</v>
      </c>
      <c r="D23" s="2">
        <v>0.4</v>
      </c>
      <c r="E23" t="s">
        <v>97</v>
      </c>
    </row>
    <row r="24" spans="3:5">
      <c r="C24" t="s">
        <v>98</v>
      </c>
      <c r="D24" s="2">
        <v>0.61</v>
      </c>
      <c r="E24" t="s">
        <v>97</v>
      </c>
    </row>
    <row r="25" spans="3:5">
      <c r="C25" t="s">
        <v>99</v>
      </c>
      <c r="D25" s="4">
        <f>D23/D24</f>
        <v>0.65573770491803285</v>
      </c>
      <c r="E25" t="s">
        <v>97</v>
      </c>
    </row>
    <row r="26" spans="3:5">
      <c r="C26" t="s">
        <v>100</v>
      </c>
      <c r="D26" s="2">
        <v>0.04</v>
      </c>
      <c r="E26" t="s">
        <v>97</v>
      </c>
    </row>
    <row r="27" spans="3:5">
      <c r="C27" t="s">
        <v>101</v>
      </c>
      <c r="D27" s="2">
        <v>0.05</v>
      </c>
      <c r="E27" t="s">
        <v>97</v>
      </c>
    </row>
    <row r="28" spans="3:5">
      <c r="C28" t="s">
        <v>102</v>
      </c>
      <c r="D28">
        <f>(D26+D27)/2</f>
        <v>4.4999999999999998E-2</v>
      </c>
      <c r="E28" t="s">
        <v>97</v>
      </c>
    </row>
    <row r="29" spans="3:5">
      <c r="C29" t="s">
        <v>103</v>
      </c>
      <c r="D29" s="5">
        <f>D23/D28</f>
        <v>8.8888888888888893</v>
      </c>
      <c r="E29" t="s">
        <v>97</v>
      </c>
    </row>
    <row r="30" spans="3:5">
      <c r="C30" t="s">
        <v>104</v>
      </c>
      <c r="D30" s="2">
        <v>89</v>
      </c>
      <c r="E30" t="s">
        <v>82</v>
      </c>
    </row>
    <row r="31" spans="3:5">
      <c r="C31" t="s">
        <v>105</v>
      </c>
      <c r="D31" s="2">
        <v>106</v>
      </c>
      <c r="E31" t="s">
        <v>82</v>
      </c>
    </row>
    <row r="32" spans="3:5">
      <c r="C32" t="s">
        <v>106</v>
      </c>
      <c r="D32" s="6">
        <f>((D31-D30)/D31)*100</f>
        <v>16.037735849056602</v>
      </c>
      <c r="E32" t="s">
        <v>29</v>
      </c>
    </row>
    <row r="33" spans="3:5">
      <c r="C33" t="s">
        <v>107</v>
      </c>
      <c r="D33" s="2">
        <v>76</v>
      </c>
      <c r="E33" t="s">
        <v>94</v>
      </c>
    </row>
    <row r="34" spans="3:5">
      <c r="C34" t="s">
        <v>108</v>
      </c>
      <c r="D34" s="6">
        <f>((D21+D22)/2)/D33*100</f>
        <v>12.5</v>
      </c>
      <c r="E34" t="s">
        <v>29</v>
      </c>
    </row>
    <row r="35" spans="3:5">
      <c r="C35" t="s">
        <v>109</v>
      </c>
      <c r="D35" s="4">
        <f>(0.9*Panel!D18)/D10</f>
        <v>2.5502895050864107</v>
      </c>
      <c r="E35" t="s">
        <v>110</v>
      </c>
    </row>
    <row r="36" spans="3:5">
      <c r="C36" t="s">
        <v>111</v>
      </c>
      <c r="D36" s="4">
        <f>(0.9*Panel!D18)/D30</f>
        <v>0.9101123595505618</v>
      </c>
      <c r="E36" t="s">
        <v>110</v>
      </c>
    </row>
    <row r="37" spans="3:5">
      <c r="C37" t="s">
        <v>112</v>
      </c>
      <c r="D37" s="4">
        <f>D35/D36</f>
        <v>2.8021699500332167</v>
      </c>
      <c r="E37" t="s">
        <v>110</v>
      </c>
    </row>
    <row r="38" spans="3:5">
      <c r="C38" t="s">
        <v>113</v>
      </c>
      <c r="D38" s="4">
        <f>(Panel!D20*D11)/451</f>
        <v>0.32639049105691054</v>
      </c>
      <c r="E38" t="s">
        <v>114</v>
      </c>
    </row>
    <row r="40" spans="3:5">
      <c r="C40" t="s">
        <v>115</v>
      </c>
      <c r="D40" s="6">
        <f>(D29*1.24)+1.9</f>
        <v>12.922222222222222</v>
      </c>
      <c r="E40" t="s">
        <v>23</v>
      </c>
    </row>
    <row r="41" spans="3:5">
      <c r="C41" t="s">
        <v>116</v>
      </c>
      <c r="D41" s="7"/>
      <c r="E41" t="s">
        <v>97</v>
      </c>
    </row>
    <row r="42" spans="3:5">
      <c r="C42" t="s">
        <v>117</v>
      </c>
      <c r="D42" s="6">
        <f>4*(D41^2)</f>
        <v>0</v>
      </c>
      <c r="E42" t="s">
        <v>23</v>
      </c>
    </row>
    <row r="43" spans="3:5">
      <c r="C43" t="s">
        <v>118</v>
      </c>
      <c r="D43" s="2">
        <v>15</v>
      </c>
      <c r="E43" t="s">
        <v>94</v>
      </c>
    </row>
    <row r="44" spans="3:5">
      <c r="C44" t="s">
        <v>119</v>
      </c>
      <c r="D44" s="2">
        <v>18</v>
      </c>
      <c r="E44" t="s">
        <v>78</v>
      </c>
    </row>
    <row r="45" spans="3:5">
      <c r="C45" t="s">
        <v>120</v>
      </c>
      <c r="D45" s="6">
        <f>D42+D15</f>
        <v>13</v>
      </c>
      <c r="E45" t="s">
        <v>23</v>
      </c>
    </row>
    <row r="46" spans="3:5">
      <c r="C46" t="s">
        <v>121</v>
      </c>
      <c r="D46" s="6">
        <f>((0.6*D45)+2)</f>
        <v>9.8000000000000007</v>
      </c>
      <c r="E46" t="s">
        <v>23</v>
      </c>
    </row>
    <row r="47" spans="3:5">
      <c r="C47" t="s">
        <v>122</v>
      </c>
      <c r="D47" s="3">
        <f>(((D41/D44)*10)+0.16)</f>
        <v>0.16</v>
      </c>
      <c r="E47" t="s">
        <v>123</v>
      </c>
    </row>
    <row r="48" spans="3:5">
      <c r="C48" t="s">
        <v>124</v>
      </c>
      <c r="D48" s="11">
        <f>(((D46-D40)/D12)*80)</f>
        <v>-169.52004417725652</v>
      </c>
      <c r="E48" t="s">
        <v>91</v>
      </c>
    </row>
    <row r="49" spans="3:4">
      <c r="C49" t="s">
        <v>125</v>
      </c>
      <c r="D49" s="4">
        <f>D43/D45</f>
        <v>1.1538461538461537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301BD7-0E35-4D9F-A94C-E1B98E641428}">
          <x14:formula1>
            <xm:f>Panel!$C$56:$C$58</xm:f>
          </x14:formula1>
          <xm:sqref>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7664-50ED-4E52-BF91-2939A58D2AD4}">
  <dimension ref="C3:I32"/>
  <sheetViews>
    <sheetView tabSelected="1" zoomScale="85" zoomScaleNormal="85" workbookViewId="0">
      <selection activeCell="D30" sqref="D30"/>
    </sheetView>
  </sheetViews>
  <sheetFormatPr defaultColWidth="11.42578125" defaultRowHeight="15"/>
  <cols>
    <col min="3" max="3" width="12.7109375" bestFit="1" customWidth="1"/>
    <col min="4" max="4" width="26.140625" bestFit="1" customWidth="1"/>
  </cols>
  <sheetData>
    <row r="3" spans="3:9">
      <c r="D3" s="1" t="s">
        <v>126</v>
      </c>
    </row>
    <row r="6" spans="3:9">
      <c r="C6" t="s">
        <v>46</v>
      </c>
      <c r="D6" s="2" t="s">
        <v>49</v>
      </c>
      <c r="H6" t="s">
        <v>127</v>
      </c>
      <c r="I6" t="s">
        <v>128</v>
      </c>
    </row>
    <row r="7" spans="3:9">
      <c r="C7" t="s">
        <v>129</v>
      </c>
      <c r="D7" s="15">
        <f>Panel!D11</f>
        <v>62.67905308509323</v>
      </c>
      <c r="E7" t="s">
        <v>8</v>
      </c>
      <c r="H7" t="s">
        <v>130</v>
      </c>
      <c r="I7" t="s">
        <v>131</v>
      </c>
    </row>
    <row r="8" spans="3:9">
      <c r="C8" t="s">
        <v>132</v>
      </c>
      <c r="D8" s="21">
        <v>7</v>
      </c>
      <c r="E8" t="s">
        <v>133</v>
      </c>
      <c r="H8" t="s">
        <v>134</v>
      </c>
      <c r="I8" t="s">
        <v>135</v>
      </c>
    </row>
    <row r="9" spans="3:9">
      <c r="C9" t="s">
        <v>136</v>
      </c>
      <c r="D9" s="15">
        <f>D7*D8</f>
        <v>438.7533715956526</v>
      </c>
      <c r="E9" t="s">
        <v>137</v>
      </c>
    </row>
    <row r="10" spans="3:9">
      <c r="C10" t="s">
        <v>138</v>
      </c>
      <c r="D10" s="2">
        <v>390</v>
      </c>
      <c r="E10" t="s">
        <v>137</v>
      </c>
      <c r="H10" t="s">
        <v>139</v>
      </c>
      <c r="I10" t="s">
        <v>140</v>
      </c>
    </row>
    <row r="11" spans="3:9">
      <c r="C11" t="s">
        <v>141</v>
      </c>
      <c r="D11" s="2">
        <v>18</v>
      </c>
      <c r="E11" t="s">
        <v>142</v>
      </c>
      <c r="H11" t="s">
        <v>143</v>
      </c>
      <c r="I11" t="s">
        <v>144</v>
      </c>
    </row>
    <row r="12" spans="3:9">
      <c r="C12" t="s">
        <v>35</v>
      </c>
      <c r="D12" s="4">
        <f>Panel!D31</f>
        <v>61</v>
      </c>
      <c r="E12" t="s">
        <v>23</v>
      </c>
    </row>
    <row r="13" spans="3:9">
      <c r="C13" t="s">
        <v>145</v>
      </c>
      <c r="D13" s="2">
        <v>42</v>
      </c>
      <c r="E13" t="s">
        <v>23</v>
      </c>
    </row>
    <row r="14" spans="3:9">
      <c r="C14" t="s">
        <v>146</v>
      </c>
      <c r="D14" s="2">
        <v>5</v>
      </c>
      <c r="E14" t="s">
        <v>23</v>
      </c>
    </row>
    <row r="15" spans="3:9">
      <c r="C15" t="s">
        <v>147</v>
      </c>
      <c r="D15" s="10">
        <v>0.3</v>
      </c>
    </row>
    <row r="16" spans="3:9">
      <c r="C16" t="s">
        <v>148</v>
      </c>
      <c r="D16" s="2">
        <v>20</v>
      </c>
      <c r="E16" t="s">
        <v>23</v>
      </c>
    </row>
    <row r="17" spans="3:5">
      <c r="C17" t="s">
        <v>149</v>
      </c>
      <c r="D17">
        <f>D16-D14</f>
        <v>15</v>
      </c>
      <c r="E17" t="s">
        <v>23</v>
      </c>
    </row>
    <row r="18" spans="3:5">
      <c r="C18" t="s">
        <v>150</v>
      </c>
      <c r="D18" s="2">
        <v>25</v>
      </c>
      <c r="E18" t="s">
        <v>23</v>
      </c>
    </row>
    <row r="19" spans="3:5">
      <c r="C19" t="s">
        <v>151</v>
      </c>
      <c r="D19" s="2">
        <v>26</v>
      </c>
      <c r="E19" t="s">
        <v>152</v>
      </c>
    </row>
    <row r="20" spans="3:5">
      <c r="C20" t="s">
        <v>153</v>
      </c>
      <c r="D20">
        <f>D10/(D16-D14)</f>
        <v>26</v>
      </c>
      <c r="E20" t="s">
        <v>152</v>
      </c>
    </row>
    <row r="21" spans="3:5">
      <c r="C21" t="s">
        <v>154</v>
      </c>
      <c r="D21" s="2">
        <v>20</v>
      </c>
      <c r="E21" t="s">
        <v>152</v>
      </c>
    </row>
    <row r="22" spans="3:5">
      <c r="C22" t="s">
        <v>155</v>
      </c>
      <c r="D22" s="6">
        <f>D10/(D18-D14)</f>
        <v>19.5</v>
      </c>
      <c r="E22" t="s">
        <v>152</v>
      </c>
    </row>
    <row r="23" spans="3:5">
      <c r="C23" t="s">
        <v>143</v>
      </c>
      <c r="D23">
        <f>D18-D16</f>
        <v>5</v>
      </c>
      <c r="E23" t="s">
        <v>156</v>
      </c>
    </row>
    <row r="24" spans="3:5">
      <c r="C24" t="s">
        <v>157</v>
      </c>
      <c r="D24" s="2">
        <f>(D10/1000)*D11</f>
        <v>7.0200000000000005</v>
      </c>
      <c r="E24" t="s">
        <v>74</v>
      </c>
    </row>
    <row r="25" spans="3:5">
      <c r="C25" t="s">
        <v>158</v>
      </c>
      <c r="D25" s="20">
        <v>0.8</v>
      </c>
    </row>
    <row r="28" spans="3:5">
      <c r="C28" s="1" t="s">
        <v>127</v>
      </c>
      <c r="D28" s="13">
        <f>(D12-D13)/D12</f>
        <v>0.31147540983606559</v>
      </c>
    </row>
    <row r="29" spans="3:5">
      <c r="C29" s="1" t="s">
        <v>130</v>
      </c>
      <c r="D29" s="4">
        <f>(D12*D24)/((Ventilatorio!D7/10)*37.5)</f>
        <v>1.8218526665514982</v>
      </c>
    </row>
    <row r="30" spans="3:5">
      <c r="C30" s="1" t="s">
        <v>159</v>
      </c>
      <c r="D30" s="6">
        <f>((Microdinamia!D7-Microdinamia!D5)/(Microdinamia!D7-Microdinamia!D6))*100</f>
        <v>-208.60321999129684</v>
      </c>
    </row>
    <row r="31" spans="3:5">
      <c r="C31" s="1" t="s">
        <v>139</v>
      </c>
      <c r="D31" s="6">
        <f>IF(D6="VCV",(0.098*D11*(D10/1000)*(D18-(D17/2))),IF(D6="PVC",(0.098*D11*(D10/1000)*(D17+D14))))</f>
        <v>13.7592</v>
      </c>
    </row>
    <row r="32" spans="3:5">
      <c r="C32" s="1" t="s">
        <v>134</v>
      </c>
      <c r="D32">
        <f>((D18-D14)-2)/(3*D25)</f>
        <v>7.4999999999999991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06F48F-1D46-432D-94BE-D7F723B5EE5A}">
          <x14:formula1>
            <xm:f>Panel!$E$56:$E$57</xm:f>
          </x14:formula1>
          <xm:sqref>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BA2F-EDA8-41B0-B3D0-706CF4875EB5}">
  <dimension ref="C2:K34"/>
  <sheetViews>
    <sheetView zoomScaleNormal="100" workbookViewId="0">
      <selection activeCell="I44" sqref="I44"/>
    </sheetView>
  </sheetViews>
  <sheetFormatPr defaultColWidth="11.42578125" defaultRowHeight="15"/>
  <cols>
    <col min="5" max="5" width="10.140625" customWidth="1"/>
  </cols>
  <sheetData>
    <row r="2" spans="3:11" ht="18.75">
      <c r="C2" s="16" t="s">
        <v>160</v>
      </c>
    </row>
    <row r="6" spans="3:11">
      <c r="C6" s="1" t="s">
        <v>161</v>
      </c>
      <c r="E6" s="24" t="s">
        <v>162</v>
      </c>
      <c r="F6" s="24"/>
      <c r="G6" s="24"/>
      <c r="H6" s="22">
        <v>40</v>
      </c>
    </row>
    <row r="7" spans="3:11">
      <c r="E7" s="25" t="s">
        <v>163</v>
      </c>
      <c r="F7" s="25"/>
      <c r="G7" s="25"/>
      <c r="H7" s="22">
        <v>30</v>
      </c>
    </row>
    <row r="8" spans="3:11">
      <c r="C8" t="s">
        <v>54</v>
      </c>
      <c r="F8" t="s">
        <v>57</v>
      </c>
      <c r="I8" s="20" t="s">
        <v>56</v>
      </c>
    </row>
    <row r="9" spans="3:11">
      <c r="C9" t="s">
        <v>81</v>
      </c>
      <c r="D9" s="2">
        <v>90</v>
      </c>
      <c r="E9" t="s">
        <v>164</v>
      </c>
      <c r="F9" t="s">
        <v>81</v>
      </c>
      <c r="G9" s="2">
        <v>100</v>
      </c>
      <c r="H9" t="s">
        <v>164</v>
      </c>
      <c r="I9" t="s">
        <v>81</v>
      </c>
      <c r="J9" s="2">
        <v>1</v>
      </c>
      <c r="K9" t="s">
        <v>164</v>
      </c>
    </row>
    <row r="10" spans="3:11">
      <c r="C10" t="s">
        <v>165</v>
      </c>
      <c r="D10" s="2">
        <v>45</v>
      </c>
      <c r="E10" t="s">
        <v>164</v>
      </c>
      <c r="F10" t="s">
        <v>165</v>
      </c>
      <c r="G10" s="2">
        <v>40</v>
      </c>
      <c r="H10" t="s">
        <v>164</v>
      </c>
      <c r="I10" t="s">
        <v>165</v>
      </c>
      <c r="J10" s="2">
        <v>1</v>
      </c>
      <c r="K10" t="s">
        <v>164</v>
      </c>
    </row>
    <row r="11" spans="3:11">
      <c r="C11" t="s">
        <v>166</v>
      </c>
      <c r="D11" s="6">
        <f>((D9+(2*D10))/3)</f>
        <v>60</v>
      </c>
      <c r="E11" t="s">
        <v>164</v>
      </c>
      <c r="F11" t="s">
        <v>166</v>
      </c>
      <c r="G11" s="6">
        <f t="shared" ref="G11" si="0">((G9+(2*G10))/3)</f>
        <v>60</v>
      </c>
      <c r="H11" t="s">
        <v>164</v>
      </c>
      <c r="I11" t="s">
        <v>166</v>
      </c>
      <c r="J11" s="6">
        <f t="shared" ref="J11" si="1">((J9+(2*J10))/3)</f>
        <v>1</v>
      </c>
      <c r="K11" t="s">
        <v>164</v>
      </c>
    </row>
    <row r="12" spans="3:11">
      <c r="C12" t="s">
        <v>167</v>
      </c>
      <c r="D12" s="4">
        <f>(D9-D10)/D11</f>
        <v>0.75</v>
      </c>
      <c r="F12" t="s">
        <v>167</v>
      </c>
      <c r="G12" s="4">
        <f t="shared" ref="G12" si="2">(G9-G10)/G11</f>
        <v>1</v>
      </c>
      <c r="I12" t="s">
        <v>167</v>
      </c>
      <c r="J12" s="4">
        <f t="shared" ref="J12" si="3">(J9-J10)/J11</f>
        <v>0</v>
      </c>
    </row>
    <row r="13" spans="3:11">
      <c r="C13" t="s">
        <v>168</v>
      </c>
      <c r="D13">
        <f>(D9-D10)/D9</f>
        <v>0.5</v>
      </c>
      <c r="F13" t="s">
        <v>168</v>
      </c>
      <c r="G13">
        <f t="shared" ref="G13" si="4">(G9-G10)/G9</f>
        <v>0.6</v>
      </c>
      <c r="I13" t="s">
        <v>168</v>
      </c>
      <c r="J13">
        <f t="shared" ref="J13" si="5">(J9-J10)/J9</f>
        <v>0</v>
      </c>
    </row>
    <row r="14" spans="3:11">
      <c r="C14" t="s">
        <v>169</v>
      </c>
      <c r="D14" s="6">
        <f>(10.93*D12)-1.28</f>
        <v>6.9174999999999995</v>
      </c>
      <c r="E14" t="s">
        <v>23</v>
      </c>
    </row>
    <row r="15" spans="3:11">
      <c r="C15" t="s">
        <v>170</v>
      </c>
      <c r="D15" s="6">
        <f>Panel!D20-Neurocrítico!D14</f>
        <v>51.749166666666667</v>
      </c>
      <c r="E15" t="s">
        <v>23</v>
      </c>
    </row>
    <row r="17" spans="3:9">
      <c r="C17" s="24" t="s">
        <v>171</v>
      </c>
      <c r="D17" s="24"/>
      <c r="E17" s="23">
        <f>D11/H6</f>
        <v>1.5</v>
      </c>
    </row>
    <row r="18" spans="3:9">
      <c r="C18" s="24" t="s">
        <v>172</v>
      </c>
      <c r="D18" s="24"/>
      <c r="E18" s="23">
        <f>G11/H7</f>
        <v>2</v>
      </c>
    </row>
    <row r="20" spans="3:9">
      <c r="C20" s="1" t="s">
        <v>173</v>
      </c>
      <c r="G20" s="27" t="s">
        <v>174</v>
      </c>
      <c r="H20" s="26"/>
      <c r="I20" s="26"/>
    </row>
    <row r="21" spans="3:9">
      <c r="C21" t="s">
        <v>175</v>
      </c>
      <c r="D21" s="17">
        <v>4</v>
      </c>
      <c r="E21" t="s">
        <v>94</v>
      </c>
      <c r="G21" s="26" t="s">
        <v>34</v>
      </c>
      <c r="H21" s="30">
        <v>7.08</v>
      </c>
      <c r="I21" s="26"/>
    </row>
    <row r="22" spans="3:9">
      <c r="C22" t="s">
        <v>176</v>
      </c>
      <c r="D22" s="17">
        <v>4</v>
      </c>
      <c r="E22" t="s">
        <v>94</v>
      </c>
      <c r="G22" s="26" t="s">
        <v>35</v>
      </c>
      <c r="H22" s="31">
        <v>30</v>
      </c>
      <c r="I22" s="26" t="s">
        <v>23</v>
      </c>
    </row>
    <row r="23" spans="3:9">
      <c r="C23" t="s">
        <v>177</v>
      </c>
      <c r="D23" s="17">
        <v>19</v>
      </c>
      <c r="E23" t="s">
        <v>94</v>
      </c>
      <c r="G23" s="26" t="s">
        <v>36</v>
      </c>
      <c r="H23" s="31">
        <v>40</v>
      </c>
      <c r="I23" s="26" t="s">
        <v>23</v>
      </c>
    </row>
    <row r="24" spans="3:9">
      <c r="C24" t="s">
        <v>178</v>
      </c>
      <c r="D24" s="4">
        <f>((D21+D22)/2)/D23</f>
        <v>0.21052631578947367</v>
      </c>
      <c r="G24" s="26" t="s">
        <v>28</v>
      </c>
      <c r="H24" s="28">
        <v>0.7</v>
      </c>
      <c r="I24" s="26"/>
    </row>
    <row r="25" spans="3:9">
      <c r="G25" s="26" t="s">
        <v>37</v>
      </c>
      <c r="H25" s="30">
        <v>3.96</v>
      </c>
      <c r="I25" s="26" t="s">
        <v>38</v>
      </c>
    </row>
    <row r="28" spans="3:9">
      <c r="C28" s="27" t="s">
        <v>179</v>
      </c>
      <c r="D28" s="26"/>
      <c r="E28" s="26"/>
    </row>
    <row r="29" spans="3:9">
      <c r="C29" s="26" t="s">
        <v>180</v>
      </c>
      <c r="D29" s="28">
        <f>H24</f>
        <v>0.7</v>
      </c>
      <c r="E29" s="26"/>
    </row>
    <row r="30" spans="3:9">
      <c r="C30" s="26" t="s">
        <v>181</v>
      </c>
      <c r="D30" s="29">
        <f>Microdinamia!D5-D33</f>
        <v>4.6983399999999964</v>
      </c>
      <c r="E30" s="26" t="s">
        <v>182</v>
      </c>
    </row>
    <row r="31" spans="3:9">
      <c r="C31" s="26" t="s">
        <v>183</v>
      </c>
      <c r="D31" s="28">
        <f>Microdinamia!D14-H24</f>
        <v>0.14000000000000001</v>
      </c>
      <c r="E31" s="26"/>
    </row>
    <row r="32" spans="3:9">
      <c r="C32" s="26"/>
      <c r="D32" s="26"/>
      <c r="E32" s="26"/>
    </row>
    <row r="33" spans="3:5">
      <c r="C33" s="26" t="s">
        <v>184</v>
      </c>
      <c r="D33" s="29">
        <f>(1.36*Panel!D27*H24)+(0.0031*H23)</f>
        <v>13.547200000000002</v>
      </c>
      <c r="E33" s="26"/>
    </row>
    <row r="34" spans="3:5">
      <c r="D34" s="6"/>
    </row>
  </sheetData>
  <mergeCells count="4">
    <mergeCell ref="C17:D17"/>
    <mergeCell ref="E6:G6"/>
    <mergeCell ref="E7:G7"/>
    <mergeCell ref="C18:D1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34403-7EF0-42B8-9974-BF4DD07253B5}">
          <x14:formula1>
            <xm:f>Panel!$C$62:$C$65</xm:f>
          </x14:formula1>
          <xm:sqref>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ARMANDO REAL GOMEZCUELLO</dc:creator>
  <cp:keywords/>
  <dc:description/>
  <cp:lastModifiedBy>XAVIER ARMANDO REAL GOMEZCUELLO</cp:lastModifiedBy>
  <cp:revision/>
  <dcterms:created xsi:type="dcterms:W3CDTF">2025-03-09T17:41:52Z</dcterms:created>
  <dcterms:modified xsi:type="dcterms:W3CDTF">2025-10-23T15:21:15Z</dcterms:modified>
  <cp:category/>
  <cp:contentStatus/>
</cp:coreProperties>
</file>