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bazalar/Downloads/"/>
    </mc:Choice>
  </mc:AlternateContent>
  <xr:revisionPtr revIDLastSave="0" documentId="13_ncr:1_{8045E42A-2494-834E-A655-CE6B2704274F}" xr6:coauthVersionLast="47" xr6:coauthVersionMax="47" xr10:uidLastSave="{00000000-0000-0000-0000-000000000000}"/>
  <bookViews>
    <workbookView xWindow="0" yWindow="500" windowWidth="33600" windowHeight="18760" activeTab="8" xr2:uid="{7725A5A3-058B-BD42-A8ED-58403F22969E}"/>
  </bookViews>
  <sheets>
    <sheet name="ENERO2022" sheetId="1" r:id="rId1"/>
    <sheet name="DEUDA ZONKY" sheetId="3" r:id="rId2"/>
    <sheet name="MAR-2022" sheetId="5" r:id="rId3"/>
    <sheet name="ABR-2022" sheetId="4" r:id="rId4"/>
    <sheet name="MAY-2022" sheetId="7" r:id="rId5"/>
    <sheet name="JUN-2022" sheetId="9" r:id="rId6"/>
    <sheet name="JUL-2022" sheetId="10" r:id="rId7"/>
    <sheet name="AGO-2022" sheetId="11" r:id="rId8"/>
    <sheet name="SEP-2022" sheetId="12" r:id="rId9"/>
    <sheet name="TRABAJOS-EC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E3" i="12"/>
  <c r="E4" i="12"/>
  <c r="D4" i="12"/>
  <c r="F18" i="12"/>
  <c r="E18" i="12"/>
  <c r="F26" i="11"/>
  <c r="E26" i="11"/>
  <c r="D26" i="11"/>
  <c r="D25" i="11"/>
  <c r="E25" i="11"/>
  <c r="F25" i="11"/>
  <c r="G25" i="11"/>
  <c r="D24" i="11"/>
  <c r="E24" i="11"/>
  <c r="F24" i="11"/>
  <c r="D8" i="12"/>
  <c r="E8" i="12" s="1"/>
  <c r="F23" i="11"/>
  <c r="E23" i="11"/>
  <c r="D23" i="11"/>
  <c r="D22" i="11"/>
  <c r="F22" i="11" s="1"/>
  <c r="D15" i="12"/>
  <c r="E15" i="12" s="1"/>
  <c r="D21" i="11"/>
  <c r="D20" i="12"/>
  <c r="F20" i="12" s="1"/>
  <c r="D19" i="12"/>
  <c r="E19" i="12" s="1"/>
  <c r="E16" i="12"/>
  <c r="D17" i="12"/>
  <c r="F17" i="12" s="1"/>
  <c r="D16" i="12"/>
  <c r="F16" i="12" s="1"/>
  <c r="D9" i="12"/>
  <c r="E9" i="12" s="1"/>
  <c r="D13" i="11"/>
  <c r="D2" i="11"/>
  <c r="D9" i="11"/>
  <c r="F9" i="11" s="1"/>
  <c r="G9" i="11"/>
  <c r="G7" i="11"/>
  <c r="F7" i="11"/>
  <c r="E7" i="11"/>
  <c r="D7" i="11"/>
  <c r="D18" i="11"/>
  <c r="F18" i="11" s="1"/>
  <c r="D4" i="11"/>
  <c r="E4" i="11" s="1"/>
  <c r="D12" i="11"/>
  <c r="D3" i="11"/>
  <c r="F3" i="11" s="1"/>
  <c r="G3" i="11"/>
  <c r="E2" i="11"/>
  <c r="D15" i="11"/>
  <c r="E15" i="11" s="1"/>
  <c r="D8" i="11"/>
  <c r="F8" i="11" s="1"/>
  <c r="D10" i="12"/>
  <c r="E10" i="12" s="1"/>
  <c r="D14" i="12"/>
  <c r="E14" i="12" s="1"/>
  <c r="D13" i="12"/>
  <c r="E13" i="12" s="1"/>
  <c r="D12" i="12"/>
  <c r="E12" i="12" s="1"/>
  <c r="D11" i="12"/>
  <c r="E11" i="12" s="1"/>
  <c r="D7" i="12"/>
  <c r="E7" i="12" s="1"/>
  <c r="D6" i="12"/>
  <c r="E6" i="12" s="1"/>
  <c r="J1" i="12"/>
  <c r="G14" i="12" s="1"/>
  <c r="D5" i="11"/>
  <c r="F5" i="11" s="1"/>
  <c r="D6" i="11"/>
  <c r="F6" i="11" s="1"/>
  <c r="D16" i="11"/>
  <c r="F16" i="11" s="1"/>
  <c r="E20" i="12" l="1"/>
  <c r="E17" i="12"/>
  <c r="F19" i="12"/>
  <c r="F10" i="12"/>
  <c r="E9" i="11"/>
  <c r="E22" i="11"/>
  <c r="E18" i="11"/>
  <c r="K5" i="11"/>
  <c r="L5" i="11" s="1"/>
  <c r="E3" i="11"/>
  <c r="F15" i="11"/>
  <c r="E16" i="11"/>
  <c r="F4" i="11"/>
  <c r="E8" i="11"/>
  <c r="G10" i="12"/>
  <c r="F6" i="12"/>
  <c r="F8" i="12"/>
  <c r="F11" i="12"/>
  <c r="F13" i="12"/>
  <c r="F15" i="12"/>
  <c r="F7" i="12"/>
  <c r="F9" i="12"/>
  <c r="F12" i="12"/>
  <c r="F14" i="12"/>
  <c r="G13" i="12"/>
  <c r="G6" i="12"/>
  <c r="G7" i="12"/>
  <c r="G9" i="12"/>
  <c r="G12" i="12"/>
  <c r="G15" i="12"/>
  <c r="G2" i="12"/>
  <c r="G8" i="12"/>
  <c r="G11" i="12"/>
  <c r="F2" i="11"/>
  <c r="E6" i="11"/>
  <c r="E5" i="11"/>
  <c r="D16" i="10"/>
  <c r="E16" i="10" s="1"/>
  <c r="D30" i="3"/>
  <c r="C31" i="3"/>
  <c r="F16" i="10" l="1"/>
  <c r="D23" i="10"/>
  <c r="D20" i="10"/>
  <c r="F12" i="11"/>
  <c r="D17" i="10"/>
  <c r="D10" i="10"/>
  <c r="F10" i="10" s="1"/>
  <c r="G10" i="10"/>
  <c r="D22" i="10"/>
  <c r="F22" i="10" s="1"/>
  <c r="D21" i="10"/>
  <c r="F21" i="10" s="1"/>
  <c r="D9" i="10"/>
  <c r="F9" i="10" s="1"/>
  <c r="N15" i="10"/>
  <c r="D11" i="10"/>
  <c r="F11" i="10" s="1"/>
  <c r="D12" i="10"/>
  <c r="D19" i="10"/>
  <c r="E19" i="10" s="1"/>
  <c r="D10" i="11"/>
  <c r="F21" i="11"/>
  <c r="D6" i="10"/>
  <c r="D3" i="10"/>
  <c r="F3" i="10" s="1"/>
  <c r="D11" i="9"/>
  <c r="D14" i="11"/>
  <c r="F14" i="11" s="1"/>
  <c r="F15" i="9"/>
  <c r="E15" i="9"/>
  <c r="H15" i="9"/>
  <c r="F14" i="9"/>
  <c r="E14" i="9"/>
  <c r="D14" i="9"/>
  <c r="H14" i="9"/>
  <c r="D5" i="10"/>
  <c r="F5" i="10" s="1"/>
  <c r="D4" i="10"/>
  <c r="F4" i="10" s="1"/>
  <c r="H3" i="9"/>
  <c r="H4" i="9"/>
  <c r="H5" i="9"/>
  <c r="H6" i="9"/>
  <c r="H7" i="9"/>
  <c r="H8" i="9"/>
  <c r="H9" i="9"/>
  <c r="H10" i="9"/>
  <c r="H11" i="9"/>
  <c r="H12" i="9"/>
  <c r="H13" i="9"/>
  <c r="H2" i="9"/>
  <c r="G8" i="9"/>
  <c r="D8" i="9"/>
  <c r="F8" i="9" s="1"/>
  <c r="J1" i="11"/>
  <c r="G18" i="11" s="1"/>
  <c r="J1" i="10"/>
  <c r="D6" i="9"/>
  <c r="F11" i="9"/>
  <c r="G3" i="9"/>
  <c r="G4" i="9"/>
  <c r="G5" i="9"/>
  <c r="G6" i="9"/>
  <c r="G7" i="9"/>
  <c r="G2" i="9"/>
  <c r="J1" i="9"/>
  <c r="G12" i="9" s="1"/>
  <c r="D13" i="9"/>
  <c r="F13" i="9" s="1"/>
  <c r="D9" i="9"/>
  <c r="F9" i="9" s="1"/>
  <c r="D2" i="10"/>
  <c r="F2" i="10" s="1"/>
  <c r="O15" i="10"/>
  <c r="F13" i="10"/>
  <c r="E13" i="10"/>
  <c r="D14" i="10"/>
  <c r="F14" i="10" s="1"/>
  <c r="D18" i="10"/>
  <c r="F18" i="10" s="1"/>
  <c r="D10" i="9"/>
  <c r="F10" i="9" s="1"/>
  <c r="D4" i="9"/>
  <c r="F4" i="9" s="1"/>
  <c r="C29" i="3"/>
  <c r="F6" i="9"/>
  <c r="D8" i="7"/>
  <c r="D16" i="3"/>
  <c r="D26" i="3"/>
  <c r="D22" i="3"/>
  <c r="D20" i="3"/>
  <c r="C26" i="3"/>
  <c r="C28" i="3"/>
  <c r="C27" i="3"/>
  <c r="C25" i="3"/>
  <c r="C24" i="3"/>
  <c r="C22" i="3"/>
  <c r="D7" i="7"/>
  <c r="E13" i="11"/>
  <c r="D17" i="11"/>
  <c r="E17" i="11" s="1"/>
  <c r="D11" i="11"/>
  <c r="F11" i="11" s="1"/>
  <c r="D20" i="11"/>
  <c r="E20" i="11" s="1"/>
  <c r="D19" i="11"/>
  <c r="F6" i="10"/>
  <c r="F7" i="10"/>
  <c r="E7" i="10"/>
  <c r="F12" i="10"/>
  <c r="F17" i="10"/>
  <c r="D8" i="10"/>
  <c r="E8" i="10" s="1"/>
  <c r="F20" i="10"/>
  <c r="D3" i="9"/>
  <c r="F3" i="9" s="1"/>
  <c r="F7" i="9"/>
  <c r="E7" i="9"/>
  <c r="D5" i="9"/>
  <c r="F5" i="9" s="1"/>
  <c r="D12" i="9"/>
  <c r="E12" i="9" s="1"/>
  <c r="D2" i="9"/>
  <c r="E2" i="9" s="1"/>
  <c r="C23" i="3"/>
  <c r="F10" i="7"/>
  <c r="E10" i="7"/>
  <c r="F9" i="7"/>
  <c r="D10" i="7"/>
  <c r="C21" i="3"/>
  <c r="E9" i="7"/>
  <c r="D6" i="7"/>
  <c r="E6" i="7" s="1"/>
  <c r="H3" i="4"/>
  <c r="H4" i="4"/>
  <c r="H5" i="4"/>
  <c r="H6" i="4"/>
  <c r="H7" i="4"/>
  <c r="H8" i="4"/>
  <c r="H2" i="4"/>
  <c r="F3" i="4"/>
  <c r="F4" i="4"/>
  <c r="F5" i="4"/>
  <c r="F6" i="4"/>
  <c r="F7" i="4"/>
  <c r="F8" i="4"/>
  <c r="F2" i="4"/>
  <c r="C8" i="4"/>
  <c r="G8" i="4" s="1"/>
  <c r="C11" i="5"/>
  <c r="C20" i="3"/>
  <c r="C19" i="3"/>
  <c r="B20" i="1"/>
  <c r="C10" i="5" s="1"/>
  <c r="B27" i="1"/>
  <c r="B25" i="1"/>
  <c r="F6" i="7"/>
  <c r="F2" i="7"/>
  <c r="G6" i="4"/>
  <c r="G7" i="4"/>
  <c r="E6" i="4"/>
  <c r="E7" i="4"/>
  <c r="F3" i="5"/>
  <c r="F4" i="5"/>
  <c r="F5" i="5"/>
  <c r="F6" i="5"/>
  <c r="F7" i="5"/>
  <c r="F8" i="5"/>
  <c r="F11" i="5"/>
  <c r="F12" i="5"/>
  <c r="F13" i="5"/>
  <c r="F2" i="5"/>
  <c r="E3" i="5"/>
  <c r="E4" i="5"/>
  <c r="E5" i="5"/>
  <c r="E6" i="5"/>
  <c r="E7" i="5"/>
  <c r="E8" i="5"/>
  <c r="E11" i="5"/>
  <c r="E12" i="5"/>
  <c r="E13" i="5"/>
  <c r="E2" i="5"/>
  <c r="C7" i="5"/>
  <c r="C13" i="5"/>
  <c r="C12" i="5"/>
  <c r="F8" i="7"/>
  <c r="E7" i="7"/>
  <c r="D5" i="7"/>
  <c r="F5" i="7" s="1"/>
  <c r="D4" i="7"/>
  <c r="F4" i="7" s="1"/>
  <c r="D3" i="7"/>
  <c r="E3" i="7" s="1"/>
  <c r="D2" i="7"/>
  <c r="E2" i="7" s="1"/>
  <c r="C5" i="4"/>
  <c r="G5" i="4" s="1"/>
  <c r="C4" i="4"/>
  <c r="G4" i="4" s="1"/>
  <c r="C3" i="4"/>
  <c r="E3" i="4" s="1"/>
  <c r="C2" i="4"/>
  <c r="G2" i="4" s="1"/>
  <c r="C9" i="6"/>
  <c r="D5" i="6"/>
  <c r="C14" i="6"/>
  <c r="C9" i="5" s="1"/>
  <c r="F9" i="5" s="1"/>
  <c r="C4" i="6"/>
  <c r="C3" i="6"/>
  <c r="C2" i="6"/>
  <c r="C6" i="5"/>
  <c r="C5" i="5"/>
  <c r="C4" i="5"/>
  <c r="C3" i="5"/>
  <c r="C2" i="5"/>
  <c r="M32" i="1"/>
  <c r="P32" i="1" s="1"/>
  <c r="C17" i="3"/>
  <c r="O30" i="1"/>
  <c r="O31" i="1"/>
  <c r="O32" i="1"/>
  <c r="O26" i="1"/>
  <c r="O27" i="1"/>
  <c r="O28" i="1"/>
  <c r="O29" i="1"/>
  <c r="P28" i="1"/>
  <c r="P29" i="1"/>
  <c r="P30" i="1"/>
  <c r="P31" i="1"/>
  <c r="B19" i="1"/>
  <c r="M14" i="1"/>
  <c r="O25" i="1"/>
  <c r="P27" i="1"/>
  <c r="M10" i="1"/>
  <c r="O24" i="1"/>
  <c r="M9" i="1"/>
  <c r="P20" i="1"/>
  <c r="P21" i="1"/>
  <c r="P22" i="1"/>
  <c r="P23" i="1"/>
  <c r="P24" i="1"/>
  <c r="P25" i="1"/>
  <c r="P26" i="1"/>
  <c r="O20" i="1"/>
  <c r="O21" i="1"/>
  <c r="O22" i="1"/>
  <c r="O23" i="1"/>
  <c r="O19" i="1"/>
  <c r="P19" i="1"/>
  <c r="O18" i="1"/>
  <c r="P18" i="1"/>
  <c r="B16" i="1"/>
  <c r="O12" i="1"/>
  <c r="O13" i="1"/>
  <c r="O14" i="1"/>
  <c r="O15" i="1"/>
  <c r="O16" i="1"/>
  <c r="O17" i="1"/>
  <c r="P17" i="1"/>
  <c r="G8" i="11" l="1"/>
  <c r="G15" i="11"/>
  <c r="G16" i="11"/>
  <c r="D30" i="11"/>
  <c r="D2" i="12" s="1"/>
  <c r="G6" i="11"/>
  <c r="G2" i="11"/>
  <c r="E10" i="11"/>
  <c r="G5" i="11"/>
  <c r="G19" i="11"/>
  <c r="G4" i="11"/>
  <c r="G2" i="10"/>
  <c r="G16" i="10"/>
  <c r="G23" i="10"/>
  <c r="E12" i="11"/>
  <c r="E14" i="11"/>
  <c r="E10" i="10"/>
  <c r="G9" i="10"/>
  <c r="E9" i="10"/>
  <c r="E22" i="10"/>
  <c r="G22" i="10"/>
  <c r="E3" i="10"/>
  <c r="D30" i="10"/>
  <c r="E21" i="10"/>
  <c r="G21" i="10"/>
  <c r="G3" i="10"/>
  <c r="E11" i="10"/>
  <c r="G11" i="10"/>
  <c r="E4" i="10"/>
  <c r="G14" i="11"/>
  <c r="G15" i="9"/>
  <c r="G14" i="9"/>
  <c r="G4" i="10"/>
  <c r="E8" i="9"/>
  <c r="G10" i="9"/>
  <c r="G13" i="11"/>
  <c r="G20" i="11"/>
  <c r="G12" i="11"/>
  <c r="G21" i="11"/>
  <c r="G11" i="11"/>
  <c r="G17" i="11"/>
  <c r="G10" i="11"/>
  <c r="Q15" i="10"/>
  <c r="G20" i="10"/>
  <c r="G14" i="10"/>
  <c r="G19" i="10"/>
  <c r="G7" i="10"/>
  <c r="G18" i="10"/>
  <c r="G12" i="10"/>
  <c r="G8" i="10"/>
  <c r="G6" i="10"/>
  <c r="G17" i="10"/>
  <c r="G13" i="10"/>
  <c r="G5" i="10"/>
  <c r="E5" i="10"/>
  <c r="E6" i="9"/>
  <c r="F12" i="9"/>
  <c r="G11" i="9"/>
  <c r="G13" i="9"/>
  <c r="G9" i="9"/>
  <c r="E13" i="9"/>
  <c r="F2" i="9"/>
  <c r="E2" i="10"/>
  <c r="P15" i="10"/>
  <c r="E6" i="10"/>
  <c r="E14" i="10"/>
  <c r="F13" i="11"/>
  <c r="E18" i="10"/>
  <c r="E10" i="9"/>
  <c r="F17" i="11"/>
  <c r="F20" i="11"/>
  <c r="E12" i="10"/>
  <c r="F8" i="10"/>
  <c r="E20" i="10"/>
  <c r="E17" i="10"/>
  <c r="F19" i="10"/>
  <c r="E9" i="9"/>
  <c r="E19" i="11"/>
  <c r="F19" i="11"/>
  <c r="F10" i="11"/>
  <c r="E11" i="11"/>
  <c r="E21" i="11"/>
  <c r="E3" i="9"/>
  <c r="F21" i="9"/>
  <c r="D21" i="9"/>
  <c r="E4" i="9"/>
  <c r="E5" i="9"/>
  <c r="E11" i="9"/>
  <c r="E4" i="7"/>
  <c r="E5" i="7"/>
  <c r="F7" i="7"/>
  <c r="F3" i="7"/>
  <c r="F20" i="7" s="1"/>
  <c r="D20" i="7"/>
  <c r="E8" i="7"/>
  <c r="E20" i="7" s="1"/>
  <c r="H18" i="4"/>
  <c r="F18" i="4"/>
  <c r="E5" i="4"/>
  <c r="E2" i="4"/>
  <c r="E8" i="4"/>
  <c r="G3" i="4"/>
  <c r="G18" i="4" s="1"/>
  <c r="E4" i="4"/>
  <c r="C18" i="4"/>
  <c r="E9" i="5"/>
  <c r="F10" i="5"/>
  <c r="F23" i="5" s="1"/>
  <c r="E10" i="5"/>
  <c r="C23" i="5"/>
  <c r="P7" i="1"/>
  <c r="P8" i="1"/>
  <c r="P9" i="1"/>
  <c r="P10" i="1"/>
  <c r="P11" i="1"/>
  <c r="P12" i="1"/>
  <c r="P13" i="1"/>
  <c r="P14" i="1"/>
  <c r="P15" i="1"/>
  <c r="P16" i="1"/>
  <c r="P5" i="1"/>
  <c r="O6" i="1"/>
  <c r="O7" i="1"/>
  <c r="O8" i="1"/>
  <c r="O9" i="1"/>
  <c r="O10" i="1"/>
  <c r="O11" i="1"/>
  <c r="O5" i="1"/>
  <c r="F31" i="1"/>
  <c r="J31" i="1" s="1"/>
  <c r="J4" i="1"/>
  <c r="J6" i="1"/>
  <c r="J10" i="1"/>
  <c r="J12" i="1"/>
  <c r="J3" i="1"/>
  <c r="I8" i="1"/>
  <c r="I9" i="1"/>
  <c r="I11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F12" i="1"/>
  <c r="I12" i="1" s="1"/>
  <c r="C13" i="3"/>
  <c r="C11" i="3"/>
  <c r="C9" i="3"/>
  <c r="F2" i="12" l="1"/>
  <c r="F24" i="12" s="1"/>
  <c r="D24" i="12"/>
  <c r="E2" i="12"/>
  <c r="E24" i="12" s="1"/>
  <c r="F30" i="11"/>
  <c r="E30" i="11"/>
  <c r="F30" i="10"/>
  <c r="E30" i="10"/>
  <c r="E21" i="9"/>
  <c r="C39" i="3"/>
  <c r="I1" i="3" s="1"/>
  <c r="E18" i="4"/>
  <c r="E23" i="5"/>
  <c r="G23" i="5" s="1"/>
  <c r="O35" i="1"/>
  <c r="M6" i="1"/>
  <c r="F6" i="1"/>
  <c r="I6" i="1" s="1"/>
  <c r="F7" i="1"/>
  <c r="F8" i="1"/>
  <c r="J8" i="1" s="1"/>
  <c r="F9" i="1"/>
  <c r="J9" i="1" s="1"/>
  <c r="F10" i="1"/>
  <c r="I10" i="1" s="1"/>
  <c r="F11" i="1"/>
  <c r="J11" i="1" s="1"/>
  <c r="F13" i="1"/>
  <c r="J13" i="1" s="1"/>
  <c r="F14" i="1"/>
  <c r="J14" i="1" s="1"/>
  <c r="F15" i="1"/>
  <c r="J15" i="1" s="1"/>
  <c r="F16" i="1"/>
  <c r="F17" i="1"/>
  <c r="J17" i="1" s="1"/>
  <c r="F18" i="1"/>
  <c r="J18" i="1" s="1"/>
  <c r="F19" i="1"/>
  <c r="J19" i="1" s="1"/>
  <c r="F20" i="1"/>
  <c r="J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B35" i="1"/>
  <c r="C35" i="1"/>
  <c r="E35" i="1"/>
  <c r="F5" i="1"/>
  <c r="F3" i="1"/>
  <c r="I3" i="1" s="1"/>
  <c r="D4" i="1"/>
  <c r="D35" i="1" s="1"/>
  <c r="J5" i="1" l="1"/>
  <c r="I5" i="1"/>
  <c r="M35" i="1"/>
  <c r="P6" i="1"/>
  <c r="P35" i="1" s="1"/>
  <c r="J16" i="1"/>
  <c r="I16" i="1"/>
  <c r="J7" i="1"/>
  <c r="J35" i="1" s="1"/>
  <c r="I7" i="1"/>
  <c r="F4" i="1"/>
  <c r="F35" i="1" l="1"/>
  <c r="I4" i="1"/>
  <c r="I35" i="1" s="1"/>
</calcChain>
</file>

<file path=xl/sharedStrings.xml><?xml version="1.0" encoding="utf-8"?>
<sst xmlns="http://schemas.openxmlformats.org/spreadsheetml/2006/main" count="435" uniqueCount="194">
  <si>
    <t>DETALLE</t>
  </si>
  <si>
    <t>PERSONAL</t>
  </si>
  <si>
    <t xml:space="preserve">INGRESO </t>
  </si>
  <si>
    <t>EGRESO</t>
  </si>
  <si>
    <t>EMPRESA</t>
  </si>
  <si>
    <t>DEPOSITO UTAH - DIC/ENE</t>
  </si>
  <si>
    <t>DEPOSITO 40% JOYERIA IRIA</t>
  </si>
  <si>
    <t>PLUGIN PAGOEFECTIVO ALIGNET</t>
  </si>
  <si>
    <t>TOTAL</t>
  </si>
  <si>
    <t>GLOBANT  FIN DE MES ENERO</t>
  </si>
  <si>
    <t>PAGO MASTERFIX - SITIO WEB</t>
  </si>
  <si>
    <t>PAGO EN TODO DESTINO -SITIO WEB</t>
  </si>
  <si>
    <t>PAGO PIERRE JANET - SITIO WEB</t>
  </si>
  <si>
    <t>PAGO COFACO ( RESTANTE 200 + 300 NUEVO DISEÑO ) -WEB</t>
  </si>
  <si>
    <t>FINALIZACION APP PROYECTO UNI - DOLLY ASTO</t>
  </si>
  <si>
    <t>CUOTA 1 de 6 - 5000 / DAD RUPERT</t>
  </si>
  <si>
    <t>DEPOSITO DE JULIO POR PRESTAMO</t>
  </si>
  <si>
    <t>CUOTA 2 de 36 - 60000 / IBK</t>
  </si>
  <si>
    <t>CUOTA 1 de 24 - 10000  / SAGA</t>
  </si>
  <si>
    <t>CUOTA 15 de 32 / TUMI</t>
  </si>
  <si>
    <t>FECHA</t>
  </si>
  <si>
    <t>MONTO</t>
  </si>
  <si>
    <t>DEUDA A ZONKY A LA FECHA:</t>
  </si>
  <si>
    <t>DEPOSITO BCP IVETH</t>
  </si>
  <si>
    <t>DEUDA ABUELO</t>
  </si>
  <si>
    <t>DEPOSITO BCP JULIO</t>
  </si>
  <si>
    <t>DEPOSITO BCP NETO</t>
  </si>
  <si>
    <t>PRESTAMO</t>
  </si>
  <si>
    <t>PRESTAMO EN EFECTIVO</t>
  </si>
  <si>
    <t xml:space="preserve"> </t>
  </si>
  <si>
    <t>DEPOSITO BCP CLIENTE AGUCHON</t>
  </si>
  <si>
    <t>DEPOSITO A BCP ZONKY</t>
  </si>
  <si>
    <t>DEPOSITO BBVA XAVI</t>
  </si>
  <si>
    <t>DEPOSITO A BCP ZONKY - CTA EMPRESA</t>
  </si>
  <si>
    <t>DEPOSITO A SCOTIABANK</t>
  </si>
  <si>
    <t>PRESTAMO A BBVA</t>
  </si>
  <si>
    <t>TABLET LENOVO</t>
  </si>
  <si>
    <t>PAGO MIDISYA - SITIO WEB</t>
  </si>
  <si>
    <t>PAGO DE AVENTURAPR DIC-21</t>
  </si>
  <si>
    <t>PAGO DE AVENTURAPR ENE-22</t>
  </si>
  <si>
    <t>PAGO DE PENTAMEDIA ENE-22</t>
  </si>
  <si>
    <t>PAGO RUPERTO DIC-21</t>
  </si>
  <si>
    <t>PAGO GINO DIC-21</t>
  </si>
  <si>
    <t>PAGO VISA - BCP - DIC-ENE - IVETH</t>
  </si>
  <si>
    <t>PRESTAMO NETO ENE-22</t>
  </si>
  <si>
    <t>PRESTAMO IVETH ENE-22</t>
  </si>
  <si>
    <t>PAGO VETBOX - NAHIR</t>
  </si>
  <si>
    <t>ESTADO</t>
  </si>
  <si>
    <t>PAGADO</t>
  </si>
  <si>
    <t>MONTO PAGADO</t>
  </si>
  <si>
    <t>MONTO PENDIENTE</t>
  </si>
  <si>
    <t>ALQUILER 2x1 NUEVO DEPA</t>
  </si>
  <si>
    <t>ENTRADAS PERU ECUADOR</t>
  </si>
  <si>
    <t>PAGO VISA - IBK - SHONY</t>
  </si>
  <si>
    <t>FEC. VENC</t>
  </si>
  <si>
    <t>RESTANTE COMIDA BABY SHOWER</t>
  </si>
  <si>
    <t>RESTANTE LOCAL BABY SHOWER</t>
  </si>
  <si>
    <t>RESTANTE DECORACION</t>
  </si>
  <si>
    <t>FOTOGRAFIA BABYSHOWER</t>
  </si>
  <si>
    <t>RESTANTE ANIMACION PAYASO</t>
  </si>
  <si>
    <t>PAGO A RAQUEL</t>
  </si>
  <si>
    <t>DEPOSITO UTAH - ENE/FEB</t>
  </si>
  <si>
    <t>OUTOCODE - FEBRERO 2002</t>
  </si>
  <si>
    <t>IBK FEB 2022 - IVETH</t>
  </si>
  <si>
    <t>BCP FEB 2022 - IVETH</t>
  </si>
  <si>
    <t>IBK FEB 2022 - SHONY</t>
  </si>
  <si>
    <t>GLOBANT  FIN DE MES FEBRERO 2022</t>
  </si>
  <si>
    <t>GLOBANT 15 DE MARZO 2022</t>
  </si>
  <si>
    <t>GLOBANT 3 DE MARZO 2022</t>
  </si>
  <si>
    <t>SURGENTE WEB - WORDPRESS</t>
  </si>
  <si>
    <t xml:space="preserve">NETO PRESTAMO </t>
  </si>
  <si>
    <t>CUOTA 2 de 24 - 10000  / SAGA</t>
  </si>
  <si>
    <t>CUOTA 2 de 6 - 5000 / DAD RUPERT</t>
  </si>
  <si>
    <t>PAGO RUPERTO FEB-22</t>
  </si>
  <si>
    <t>PROYECTO INITICO - JUAN PABLO</t>
  </si>
  <si>
    <t>PAGO DEUDA ZONKY A SHONY</t>
  </si>
  <si>
    <t>CIERRE 11/02</t>
  </si>
  <si>
    <t>PRESTAMO NETO</t>
  </si>
  <si>
    <t>AQUILER CASA</t>
  </si>
  <si>
    <t>DESARROLLO INTICO</t>
  </si>
  <si>
    <t xml:space="preserve">CUOTA 4 de 36 - PRESTAMO IBK </t>
  </si>
  <si>
    <t>CUOTA 2 de 6 DAD RUPERTO</t>
  </si>
  <si>
    <t>VENTA IPHONE XS</t>
  </si>
  <si>
    <t>SALDO A FAVOR</t>
  </si>
  <si>
    <t>PACK 4 - MAILING</t>
  </si>
  <si>
    <t>2 Maquetados Mailing</t>
  </si>
  <si>
    <t>DEUDA PENDIENTE - MAILING EC</t>
  </si>
  <si>
    <t>GLOBANT PAGO - 15 MARZO</t>
  </si>
  <si>
    <t>Adicionales Cambios</t>
  </si>
  <si>
    <t>ALQUILER MARZO CASA - XAVI</t>
  </si>
  <si>
    <t>2 Podcast</t>
  </si>
  <si>
    <t>MAILING - EL COMERCIO</t>
  </si>
  <si>
    <t>DRONEFIXCENTER PERU</t>
  </si>
  <si>
    <t>PENDIENTE DE PAGO</t>
  </si>
  <si>
    <t>PENDIENTE</t>
  </si>
  <si>
    <t>Cuota 1 de 36 - Ripley</t>
  </si>
  <si>
    <t>Cuota 2 de 36 - Ripley</t>
  </si>
  <si>
    <t>Cuota 1 de 25 - Saga</t>
  </si>
  <si>
    <t>PAGO</t>
  </si>
  <si>
    <t>AQUILER CASA + SERVICIOS</t>
  </si>
  <si>
    <t>CUOTA 3 de 6 DAD RUPERTO</t>
  </si>
  <si>
    <t>CUOTA 4 de 6 DAD RUPERTO</t>
  </si>
  <si>
    <t xml:space="preserve">CUOTA 5 de 36 - PRESTAMO IBK </t>
  </si>
  <si>
    <t xml:space="preserve">CUOTA 6 de 36 - PRESTAMO IBK </t>
  </si>
  <si>
    <t>GLOBANT ADELANTO - ABRIL</t>
  </si>
  <si>
    <t>GLOBANT 15 Mayo</t>
  </si>
  <si>
    <t>GLOBANT 31 Mayo</t>
  </si>
  <si>
    <t>VENTA IPHONE 13</t>
  </si>
  <si>
    <t>PENDIENTE MAZDA CX3</t>
  </si>
  <si>
    <t>CUOTA 3 de 24 - 10000  / SAGA</t>
  </si>
  <si>
    <t>INGRESOS</t>
  </si>
  <si>
    <t>EGRESOS</t>
  </si>
  <si>
    <t>CAPACITACION SHOPIFY</t>
  </si>
  <si>
    <t>CORRECION WORDPRESS - kuelga.com</t>
  </si>
  <si>
    <t>ADICIONAL MASTERFIX.PE</t>
  </si>
  <si>
    <t>PAGO MANTENIMIENTO ZONKY</t>
  </si>
  <si>
    <t>PAGO DEUDA ZONKY A SHONY - IBK FEB-MAR</t>
  </si>
  <si>
    <t>PAGO DEUDA ZONKY A SHONY - INTERNET</t>
  </si>
  <si>
    <t>**Se pago todo el prestamo</t>
  </si>
  <si>
    <t xml:space="preserve">OUTCODE </t>
  </si>
  <si>
    <t>GLOBANT FIN DE MES ABRIL</t>
  </si>
  <si>
    <t>ADELANTO 800 DOLARE - 3.70</t>
  </si>
  <si>
    <t>INTERESES INVERSION</t>
  </si>
  <si>
    <t>OUTCODE SUELDO</t>
  </si>
  <si>
    <t>PAGO DEUDA ZONKY A SHONY - IBK ABR-MAY</t>
  </si>
  <si>
    <t>GLOBANT 31</t>
  </si>
  <si>
    <t>GLOBANT 15</t>
  </si>
  <si>
    <t xml:space="preserve">CUOTA 7 de 36 - PRESTAMO IBK </t>
  </si>
  <si>
    <t>Cuota 2 de 25 - Saga</t>
  </si>
  <si>
    <t>Cuota 3 de 36 - Ripley</t>
  </si>
  <si>
    <t>Cuota 4 de 36 - Ripley</t>
  </si>
  <si>
    <t>Cuota 3 de 25 - Saga</t>
  </si>
  <si>
    <t xml:space="preserve">CUOTA 8 de 36 - PRESTAMO IBK </t>
  </si>
  <si>
    <t>Cuota 5 de 36 - Ripley</t>
  </si>
  <si>
    <t>Cuota 4 de 25 - Saga</t>
  </si>
  <si>
    <t xml:space="preserve">CUOTA 9 de 36 - PRESTAMO IBK </t>
  </si>
  <si>
    <t>SOAT PACIFICO</t>
  </si>
  <si>
    <t>ADELANTO 500 SOLES - ( NECESITABA PARA SU MAMA )</t>
  </si>
  <si>
    <t>PAGO IMPUESTO SAT BLV560 - ZONKY</t>
  </si>
  <si>
    <t>Compra Antente TV Coolbox</t>
  </si>
  <si>
    <t>PAGO DEUDA ZONKY A SHONY - IBK MAY-JUN</t>
  </si>
  <si>
    <t>PARA ZONKY COMBUSTIBLE LLEVAR A ABUELA CHELA</t>
  </si>
  <si>
    <t>COMPRA LAPTOP CORE i3 12GB RAM 256GB SSD - SAGA</t>
  </si>
  <si>
    <t>CUOTA 5 y 6 de 6 DAD RUPERTO</t>
  </si>
  <si>
    <t>AFP - 1er Retiro</t>
  </si>
  <si>
    <t>GLOBANT - GRATI JUL 2022</t>
  </si>
  <si>
    <t>RESTANTE WEB TIENDAS UNIDAS</t>
  </si>
  <si>
    <t>TC BCP - SOLES - IVETH</t>
  </si>
  <si>
    <t>TC Saga - Soles -Iveth</t>
  </si>
  <si>
    <t>FECHA ACTUAL</t>
  </si>
  <si>
    <t>POR VENCER</t>
  </si>
  <si>
    <t>PAGO FRANCESLIMONVESTIDOS.COM SHOPIFY</t>
  </si>
  <si>
    <t>PAGO CTA DOLARES TOTAL - SCI</t>
  </si>
  <si>
    <t>TC IBK - SOLES -IVETH</t>
  </si>
  <si>
    <t>PAGO DEUDA PATRICIA 1 de 2</t>
  </si>
  <si>
    <t>TC Efectivo</t>
  </si>
  <si>
    <t>AFP - 2do Retiro</t>
  </si>
  <si>
    <t>DEPOSITO A CUENTA</t>
  </si>
  <si>
    <t>PRESTAMO IVETH - BANBIF</t>
  </si>
  <si>
    <t>TC IBK - SOLES -SHONY</t>
  </si>
  <si>
    <t>PAGO DE ALIGNET A GROMOTOR</t>
  </si>
  <si>
    <t>PRESTAMO A JESSICA - 450</t>
  </si>
  <si>
    <t>INTEGRACION TUPESCA.PE - 1 / 2</t>
  </si>
  <si>
    <t>PAGO CUOTA 2 / 2 PATRICIA SIM</t>
  </si>
  <si>
    <t>Cuota 6 de 36 - Ripley</t>
  </si>
  <si>
    <t>05488880888002656835</t>
  </si>
  <si>
    <t>PAGO TC SAGA</t>
  </si>
  <si>
    <t>TC IBK AMEX  - X</t>
  </si>
  <si>
    <t>PAGO DEUDA ZONKY A SHONY - IBK JUN-JUL</t>
  </si>
  <si>
    <t>TC IBK - X</t>
  </si>
  <si>
    <t>TC IBK - IVETH</t>
  </si>
  <si>
    <t>TC BCP - IVETH</t>
  </si>
  <si>
    <t>RESTANTE MES ANTERIOR</t>
  </si>
  <si>
    <t>IBK - 14000 - 1 de 24</t>
  </si>
  <si>
    <t>IBK - 14000 - 2 de 24</t>
  </si>
  <si>
    <t>IBK - 8000 - 1 de 12</t>
  </si>
  <si>
    <t>IBK - 8000 - 2 de 12</t>
  </si>
  <si>
    <t>PAGO 1 de 5 - SUNAT - FRACCIONAMIENTO</t>
  </si>
  <si>
    <t>Drone 2 de 6 - Ibk</t>
  </si>
  <si>
    <t>ALMUERZO RAQUEL CUMPLEAÑOS</t>
  </si>
  <si>
    <t>CUOTA 1 DE 2 / PARA VISA USA</t>
  </si>
  <si>
    <t xml:space="preserve">CUOTA 10 de 36 - PRESTAMO IBK </t>
  </si>
  <si>
    <t>Cuota 7 de 36 - Ripley</t>
  </si>
  <si>
    <t>Cuota 5 de 25 - Saga</t>
  </si>
  <si>
    <t>ALIGNET ARREGLO WP AWS</t>
  </si>
  <si>
    <t>DEVOLUCION PRESTAMO IVETH</t>
  </si>
  <si>
    <t>TARJETA</t>
  </si>
  <si>
    <t>INTEGRACION TUPESCA.PE - 2 / 2</t>
  </si>
  <si>
    <t>DESARROLLO SISADMIN -  iNTICO - 1 de 2</t>
  </si>
  <si>
    <t>VISA -SAGA</t>
  </si>
  <si>
    <t>SUELDO ZK</t>
  </si>
  <si>
    <t>CUOTA 2 de 5 - FRACCIONAMIENTO SUNAT</t>
  </si>
  <si>
    <t>BCP IVETH</t>
  </si>
  <si>
    <t>IBK IVETH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</si>
</sst>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#,##0.00"/>
  </numFmts>
  <fonts count="8" x14ac:knownFonts="1"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164" fontId="3" fillId="0" borderId="0" xfId="0" applyNumberFormat="1" applyFont="1"/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wrapText="1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/>
    <xf numFmtId="0" fontId="4" fillId="4" borderId="1" xfId="0" applyFont="1" applyFill="1" applyBorder="1"/>
    <xf numFmtId="164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" fontId="4" fillId="4" borderId="1" xfId="0" applyNumberFormat="1" applyFont="1" applyFill="1" applyBorder="1"/>
    <xf numFmtId="16" fontId="0" fillId="0" borderId="0" xfId="0" applyNumberFormat="1"/>
    <xf numFmtId="164" fontId="0" fillId="0" borderId="0" xfId="0" applyNumberFormat="1" applyAlignment="1">
      <alignment horizontal="center" wrapText="1"/>
    </xf>
    <xf numFmtId="16" fontId="0" fillId="3" borderId="0" xfId="0" applyNumberFormat="1" applyFill="1"/>
    <xf numFmtId="0" fontId="0" fillId="3" borderId="0" xfId="0" applyFill="1"/>
    <xf numFmtId="164" fontId="0" fillId="3" borderId="0" xfId="0" applyNumberFormat="1" applyFill="1" applyAlignment="1">
      <alignment horizontal="center" wrapText="1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/>
    <xf numFmtId="14" fontId="0" fillId="0" borderId="0" xfId="0" applyNumberFormat="1"/>
    <xf numFmtId="1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3" borderId="0" xfId="0" applyFont="1" applyFill="1"/>
    <xf numFmtId="0" fontId="0" fillId="0" borderId="0" xfId="0" applyFill="1"/>
    <xf numFmtId="0" fontId="0" fillId="0" borderId="0" xfId="0" quotePrefix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" fontId="5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5" fillId="3" borderId="1" xfId="0" applyFont="1" applyFill="1" applyBorder="1"/>
    <xf numFmtId="0" fontId="7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b val="0"/>
        <i val="0"/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EA449-C48A-8D40-9CE3-DD604FF40CBD}">
  <dimension ref="A1:Q40"/>
  <sheetViews>
    <sheetView zoomScaleNormal="100" workbookViewId="0">
      <selection activeCell="L6" sqref="L6"/>
    </sheetView>
  </sheetViews>
  <sheetFormatPr baseColWidth="10" defaultRowHeight="14" x14ac:dyDescent="0.2"/>
  <cols>
    <col min="1" max="1" width="43.5" style="8" bestFit="1" customWidth="1"/>
    <col min="2" max="2" width="9.33203125" style="11" bestFit="1" customWidth="1"/>
    <col min="3" max="3" width="6.6640625" style="11" bestFit="1" customWidth="1"/>
    <col min="4" max="4" width="9.33203125" style="9" bestFit="1" customWidth="1"/>
    <col min="5" max="5" width="6.6640625" style="9" bestFit="1" customWidth="1"/>
    <col min="6" max="6" width="9.33203125" style="8" bestFit="1" customWidth="1"/>
    <col min="7" max="7" width="6.6640625" style="8" bestFit="1" customWidth="1"/>
    <col min="8" max="8" width="7.1640625" style="10" bestFit="1" customWidth="1"/>
    <col min="9" max="9" width="9.83203125" style="11" bestFit="1" customWidth="1"/>
    <col min="10" max="10" width="9.33203125" style="11" bestFit="1" customWidth="1"/>
    <col min="11" max="11" width="3.6640625" style="11" customWidth="1"/>
    <col min="12" max="12" width="25.1640625" style="8" bestFit="1" customWidth="1"/>
    <col min="13" max="13" width="9.33203125" style="9" bestFit="1" customWidth="1"/>
    <col min="14" max="14" width="7.1640625" style="10" bestFit="1" customWidth="1"/>
    <col min="15" max="15" width="9.83203125" style="11" bestFit="1" customWidth="1"/>
    <col min="16" max="16" width="9.33203125" style="11" bestFit="1" customWidth="1"/>
    <col min="17" max="17" width="8.1640625" style="8" bestFit="1" customWidth="1"/>
    <col min="18" max="16384" width="10.83203125" style="8"/>
  </cols>
  <sheetData>
    <row r="1" spans="1:17" ht="17" customHeight="1" x14ac:dyDescent="0.2">
      <c r="A1" s="74" t="s">
        <v>0</v>
      </c>
      <c r="B1" s="75" t="s">
        <v>1</v>
      </c>
      <c r="C1" s="75"/>
      <c r="D1" s="76" t="s">
        <v>4</v>
      </c>
      <c r="E1" s="76"/>
      <c r="F1" s="77" t="s">
        <v>8</v>
      </c>
      <c r="G1" s="77"/>
      <c r="H1" s="77" t="s">
        <v>47</v>
      </c>
      <c r="I1" s="77"/>
      <c r="J1" s="77"/>
      <c r="K1" s="7"/>
    </row>
    <row r="2" spans="1:17" ht="30" x14ac:dyDescent="0.2">
      <c r="A2" s="74"/>
      <c r="B2" s="12" t="s">
        <v>2</v>
      </c>
      <c r="C2" s="12" t="s">
        <v>3</v>
      </c>
      <c r="D2" s="12" t="s">
        <v>2</v>
      </c>
      <c r="E2" s="12" t="s">
        <v>3</v>
      </c>
      <c r="F2" s="12" t="s">
        <v>2</v>
      </c>
      <c r="G2" s="12" t="s">
        <v>3</v>
      </c>
      <c r="H2" s="12" t="s">
        <v>0</v>
      </c>
      <c r="I2" s="13" t="s">
        <v>49</v>
      </c>
      <c r="J2" s="14" t="s">
        <v>50</v>
      </c>
    </row>
    <row r="3" spans="1:17" x14ac:dyDescent="0.2">
      <c r="A3" s="15" t="s">
        <v>5</v>
      </c>
      <c r="B3" s="16">
        <v>4500</v>
      </c>
      <c r="C3" s="16"/>
      <c r="D3" s="17"/>
      <c r="E3" s="17"/>
      <c r="F3" s="17">
        <f>B3+D3</f>
        <v>4500</v>
      </c>
      <c r="G3" s="15"/>
      <c r="H3" s="18" t="s">
        <v>48</v>
      </c>
      <c r="I3" s="16">
        <f>IF(H3="PAGADO",F3,0)</f>
        <v>4500</v>
      </c>
      <c r="J3" s="16">
        <f>IF(H3&lt;&gt;"PAGADO",F3,0)</f>
        <v>0</v>
      </c>
    </row>
    <row r="4" spans="1:17" ht="30" x14ac:dyDescent="0.2">
      <c r="A4" s="19" t="s">
        <v>6</v>
      </c>
      <c r="B4" s="20"/>
      <c r="C4" s="20"/>
      <c r="D4" s="21">
        <f>1120*4</f>
        <v>4480</v>
      </c>
      <c r="E4" s="21"/>
      <c r="F4" s="21">
        <f t="shared" ref="F4:F31" si="0">B4+D4</f>
        <v>4480</v>
      </c>
      <c r="G4" s="19"/>
      <c r="H4" s="22" t="s">
        <v>48</v>
      </c>
      <c r="I4" s="20">
        <f t="shared" ref="I4:I31" si="1">IF(H4="PAGADO",F4,0)</f>
        <v>4480</v>
      </c>
      <c r="J4" s="20">
        <f t="shared" ref="J4:J31" si="2">IF(H4&lt;&gt;"PAGADO",F4,0)</f>
        <v>0</v>
      </c>
      <c r="L4" s="27" t="s">
        <v>0</v>
      </c>
      <c r="M4" s="12" t="s">
        <v>21</v>
      </c>
      <c r="N4" s="27" t="s">
        <v>47</v>
      </c>
      <c r="O4" s="13" t="s">
        <v>49</v>
      </c>
      <c r="P4" s="13" t="s">
        <v>50</v>
      </c>
      <c r="Q4" s="28" t="s">
        <v>54</v>
      </c>
    </row>
    <row r="5" spans="1:17" x14ac:dyDescent="0.2">
      <c r="A5" s="15" t="s">
        <v>7</v>
      </c>
      <c r="B5" s="16"/>
      <c r="C5" s="16"/>
      <c r="D5" s="17">
        <v>2909</v>
      </c>
      <c r="E5" s="17"/>
      <c r="F5" s="17">
        <f t="shared" si="0"/>
        <v>2909</v>
      </c>
      <c r="G5" s="15"/>
      <c r="H5" s="18" t="s">
        <v>48</v>
      </c>
      <c r="I5" s="16">
        <f t="shared" si="1"/>
        <v>2909</v>
      </c>
      <c r="J5" s="16">
        <f t="shared" si="2"/>
        <v>0</v>
      </c>
      <c r="L5" s="30" t="s">
        <v>15</v>
      </c>
      <c r="M5" s="31">
        <v>1080</v>
      </c>
      <c r="N5" s="32" t="s">
        <v>48</v>
      </c>
      <c r="O5" s="33">
        <f>IF(N5="PAGADO",M5,0)</f>
        <v>1080</v>
      </c>
      <c r="P5" s="33">
        <f>IF(N5&lt;&gt;"PAGADO",M5,0)</f>
        <v>0</v>
      </c>
      <c r="Q5" s="34">
        <v>44599</v>
      </c>
    </row>
    <row r="6" spans="1:17" x14ac:dyDescent="0.2">
      <c r="A6" s="15" t="s">
        <v>9</v>
      </c>
      <c r="B6" s="16">
        <v>3516</v>
      </c>
      <c r="C6" s="16"/>
      <c r="D6" s="17"/>
      <c r="E6" s="17"/>
      <c r="F6" s="17">
        <f t="shared" si="0"/>
        <v>3516</v>
      </c>
      <c r="G6" s="15"/>
      <c r="H6" s="18" t="s">
        <v>48</v>
      </c>
      <c r="I6" s="16">
        <f t="shared" si="1"/>
        <v>3516</v>
      </c>
      <c r="J6" s="16">
        <f t="shared" si="2"/>
        <v>0</v>
      </c>
      <c r="L6" s="23" t="s">
        <v>19</v>
      </c>
      <c r="M6" s="25">
        <f>784/2</f>
        <v>392</v>
      </c>
      <c r="N6" s="26"/>
      <c r="O6" s="24">
        <f t="shared" ref="O6:O32" si="3">IF(N6="PAGADO",M6,0)</f>
        <v>0</v>
      </c>
      <c r="P6" s="24">
        <f t="shared" ref="P6:P32" si="4">IF(N6&lt;&gt;"PAGADO",M6,0)</f>
        <v>392</v>
      </c>
      <c r="Q6" s="23"/>
    </row>
    <row r="7" spans="1:17" x14ac:dyDescent="0.2">
      <c r="A7" s="15" t="s">
        <v>10</v>
      </c>
      <c r="B7" s="16"/>
      <c r="C7" s="16"/>
      <c r="D7" s="17">
        <v>900</v>
      </c>
      <c r="E7" s="17"/>
      <c r="F7" s="17">
        <f t="shared" si="0"/>
        <v>900</v>
      </c>
      <c r="G7" s="15"/>
      <c r="H7" s="18" t="s">
        <v>48</v>
      </c>
      <c r="I7" s="16">
        <f t="shared" si="1"/>
        <v>900</v>
      </c>
      <c r="J7" s="16">
        <f t="shared" si="2"/>
        <v>0</v>
      </c>
      <c r="L7" s="30" t="s">
        <v>18</v>
      </c>
      <c r="M7" s="31">
        <v>484</v>
      </c>
      <c r="N7" s="32" t="s">
        <v>48</v>
      </c>
      <c r="O7" s="33">
        <f t="shared" si="3"/>
        <v>484</v>
      </c>
      <c r="P7" s="33">
        <f t="shared" si="4"/>
        <v>0</v>
      </c>
      <c r="Q7" s="34">
        <v>44591</v>
      </c>
    </row>
    <row r="8" spans="1:17" x14ac:dyDescent="0.2">
      <c r="A8" s="15" t="s">
        <v>11</v>
      </c>
      <c r="B8" s="16">
        <v>0</v>
      </c>
      <c r="C8" s="16"/>
      <c r="D8" s="17"/>
      <c r="E8" s="17"/>
      <c r="F8" s="17">
        <f t="shared" si="0"/>
        <v>0</v>
      </c>
      <c r="G8" s="15"/>
      <c r="H8" s="18"/>
      <c r="I8" s="16">
        <f t="shared" si="1"/>
        <v>0</v>
      </c>
      <c r="J8" s="16">
        <f t="shared" si="2"/>
        <v>0</v>
      </c>
      <c r="L8" s="30" t="s">
        <v>17</v>
      </c>
      <c r="M8" s="31">
        <v>2525</v>
      </c>
      <c r="N8" s="32" t="s">
        <v>48</v>
      </c>
      <c r="O8" s="33">
        <f t="shared" si="3"/>
        <v>2525</v>
      </c>
      <c r="P8" s="33">
        <f t="shared" si="4"/>
        <v>0</v>
      </c>
      <c r="Q8" s="34">
        <v>44597</v>
      </c>
    </row>
    <row r="9" spans="1:17" x14ac:dyDescent="0.2">
      <c r="A9" s="15" t="s">
        <v>12</v>
      </c>
      <c r="B9" s="16">
        <v>0</v>
      </c>
      <c r="C9" s="16"/>
      <c r="D9" s="17"/>
      <c r="E9" s="17"/>
      <c r="F9" s="17">
        <f t="shared" si="0"/>
        <v>0</v>
      </c>
      <c r="G9" s="15"/>
      <c r="H9" s="18"/>
      <c r="I9" s="16">
        <f t="shared" si="1"/>
        <v>0</v>
      </c>
      <c r="J9" s="16">
        <f t="shared" si="2"/>
        <v>0</v>
      </c>
      <c r="L9" s="30" t="s">
        <v>38</v>
      </c>
      <c r="M9" s="31">
        <f>1956.52</f>
        <v>1956.52</v>
      </c>
      <c r="N9" s="32" t="s">
        <v>48</v>
      </c>
      <c r="O9" s="33">
        <f t="shared" si="3"/>
        <v>1956.52</v>
      </c>
      <c r="P9" s="33">
        <f t="shared" si="4"/>
        <v>0</v>
      </c>
      <c r="Q9" s="30"/>
    </row>
    <row r="10" spans="1:17" x14ac:dyDescent="0.2">
      <c r="A10" s="15" t="s">
        <v>13</v>
      </c>
      <c r="B10" s="16"/>
      <c r="C10" s="16"/>
      <c r="D10" s="17">
        <v>500</v>
      </c>
      <c r="E10" s="17"/>
      <c r="F10" s="17">
        <f t="shared" si="0"/>
        <v>500</v>
      </c>
      <c r="G10" s="15"/>
      <c r="H10" s="18" t="s">
        <v>48</v>
      </c>
      <c r="I10" s="16">
        <f t="shared" si="1"/>
        <v>500</v>
      </c>
      <c r="J10" s="16">
        <f t="shared" si="2"/>
        <v>0</v>
      </c>
      <c r="L10" s="30" t="s">
        <v>39</v>
      </c>
      <c r="M10" s="31">
        <f>1956.52-380</f>
        <v>1576.52</v>
      </c>
      <c r="N10" s="32" t="s">
        <v>48</v>
      </c>
      <c r="O10" s="33">
        <f>IF(N10="PAGADO",M10,0)</f>
        <v>1576.52</v>
      </c>
      <c r="P10" s="33">
        <f>IF(N10&lt;&gt;"PAGADO",M10,0)</f>
        <v>0</v>
      </c>
      <c r="Q10" s="30"/>
    </row>
    <row r="11" spans="1:17" x14ac:dyDescent="0.2">
      <c r="A11" s="23" t="s">
        <v>14</v>
      </c>
      <c r="B11" s="24">
        <v>750</v>
      </c>
      <c r="C11" s="24"/>
      <c r="D11" s="25"/>
      <c r="E11" s="25"/>
      <c r="F11" s="25">
        <f t="shared" si="0"/>
        <v>750</v>
      </c>
      <c r="G11" s="23"/>
      <c r="H11" s="26"/>
      <c r="I11" s="24">
        <f t="shared" si="1"/>
        <v>0</v>
      </c>
      <c r="J11" s="24">
        <f t="shared" si="2"/>
        <v>750</v>
      </c>
      <c r="L11" s="30" t="s">
        <v>40</v>
      </c>
      <c r="M11" s="31">
        <v>1600</v>
      </c>
      <c r="N11" s="32" t="s">
        <v>48</v>
      </c>
      <c r="O11" s="33">
        <f t="shared" si="3"/>
        <v>1600</v>
      </c>
      <c r="P11" s="33">
        <f t="shared" si="4"/>
        <v>0</v>
      </c>
      <c r="Q11" s="30"/>
    </row>
    <row r="12" spans="1:17" x14ac:dyDescent="0.2">
      <c r="A12" s="15" t="s">
        <v>16</v>
      </c>
      <c r="B12" s="16"/>
      <c r="C12" s="16"/>
      <c r="D12" s="17">
        <v>700</v>
      </c>
      <c r="E12" s="17"/>
      <c r="F12" s="17">
        <f t="shared" si="0"/>
        <v>700</v>
      </c>
      <c r="G12" s="15"/>
      <c r="H12" s="18" t="s">
        <v>48</v>
      </c>
      <c r="I12" s="16">
        <f t="shared" si="1"/>
        <v>700</v>
      </c>
      <c r="J12" s="16">
        <f t="shared" si="2"/>
        <v>0</v>
      </c>
      <c r="L12" s="30" t="s">
        <v>41</v>
      </c>
      <c r="M12" s="31">
        <v>2000</v>
      </c>
      <c r="N12" s="32" t="s">
        <v>48</v>
      </c>
      <c r="O12" s="33">
        <f t="shared" si="3"/>
        <v>2000</v>
      </c>
      <c r="P12" s="33">
        <f t="shared" si="4"/>
        <v>0</v>
      </c>
      <c r="Q12" s="30"/>
    </row>
    <row r="13" spans="1:17" x14ac:dyDescent="0.2">
      <c r="A13" s="15" t="s">
        <v>37</v>
      </c>
      <c r="B13" s="16">
        <v>1350</v>
      </c>
      <c r="C13" s="16"/>
      <c r="D13" s="17"/>
      <c r="E13" s="17"/>
      <c r="F13" s="17">
        <f t="shared" si="0"/>
        <v>1350</v>
      </c>
      <c r="G13" s="15"/>
      <c r="H13" s="18" t="s">
        <v>48</v>
      </c>
      <c r="I13" s="16">
        <f t="shared" si="1"/>
        <v>1350</v>
      </c>
      <c r="J13" s="16">
        <f t="shared" si="2"/>
        <v>0</v>
      </c>
      <c r="L13" s="30" t="s">
        <v>42</v>
      </c>
      <c r="M13" s="31">
        <v>950</v>
      </c>
      <c r="N13" s="32" t="s">
        <v>48</v>
      </c>
      <c r="O13" s="33">
        <f t="shared" si="3"/>
        <v>950</v>
      </c>
      <c r="P13" s="33">
        <f t="shared" si="4"/>
        <v>0</v>
      </c>
      <c r="Q13" s="30"/>
    </row>
    <row r="14" spans="1:17" x14ac:dyDescent="0.2">
      <c r="A14" s="15" t="s">
        <v>46</v>
      </c>
      <c r="B14" s="16">
        <v>0</v>
      </c>
      <c r="C14" s="16"/>
      <c r="D14" s="17"/>
      <c r="E14" s="17"/>
      <c r="F14" s="17">
        <f>B14+D14</f>
        <v>0</v>
      </c>
      <c r="G14" s="15"/>
      <c r="H14" s="18"/>
      <c r="I14" s="16">
        <f t="shared" si="1"/>
        <v>0</v>
      </c>
      <c r="J14" s="16">
        <f t="shared" si="2"/>
        <v>0</v>
      </c>
      <c r="L14" s="23" t="s">
        <v>43</v>
      </c>
      <c r="M14" s="25">
        <f>2000-633.76</f>
        <v>1366.24</v>
      </c>
      <c r="N14" s="26"/>
      <c r="O14" s="24">
        <f t="shared" si="3"/>
        <v>0</v>
      </c>
      <c r="P14" s="24">
        <f t="shared" si="4"/>
        <v>1366.24</v>
      </c>
      <c r="Q14" s="29">
        <v>44596</v>
      </c>
    </row>
    <row r="15" spans="1:17" x14ac:dyDescent="0.2">
      <c r="A15" s="23" t="s">
        <v>74</v>
      </c>
      <c r="B15" s="24"/>
      <c r="C15" s="24"/>
      <c r="D15" s="25">
        <v>2900</v>
      </c>
      <c r="E15" s="25"/>
      <c r="F15" s="25">
        <f t="shared" si="0"/>
        <v>2900</v>
      </c>
      <c r="G15" s="23"/>
      <c r="H15" s="26"/>
      <c r="I15" s="24">
        <f t="shared" si="1"/>
        <v>0</v>
      </c>
      <c r="J15" s="24">
        <f t="shared" si="2"/>
        <v>2900</v>
      </c>
      <c r="L15" s="30" t="s">
        <v>45</v>
      </c>
      <c r="M15" s="31">
        <v>1600</v>
      </c>
      <c r="N15" s="32" t="s">
        <v>48</v>
      </c>
      <c r="O15" s="33">
        <f t="shared" si="3"/>
        <v>1600</v>
      </c>
      <c r="P15" s="33">
        <f t="shared" si="4"/>
        <v>0</v>
      </c>
      <c r="Q15" s="30"/>
    </row>
    <row r="16" spans="1:17" x14ac:dyDescent="0.2">
      <c r="A16" s="15" t="s">
        <v>52</v>
      </c>
      <c r="B16" s="16">
        <f>400*4</f>
        <v>1600</v>
      </c>
      <c r="C16" s="16"/>
      <c r="D16" s="17"/>
      <c r="E16" s="17"/>
      <c r="F16" s="17">
        <f t="shared" si="0"/>
        <v>1600</v>
      </c>
      <c r="G16" s="15"/>
      <c r="H16" s="18" t="s">
        <v>48</v>
      </c>
      <c r="I16" s="16">
        <f t="shared" si="1"/>
        <v>1600</v>
      </c>
      <c r="J16" s="16">
        <f t="shared" si="2"/>
        <v>0</v>
      </c>
      <c r="L16" s="30" t="s">
        <v>44</v>
      </c>
      <c r="M16" s="31">
        <v>1100</v>
      </c>
      <c r="N16" s="32" t="s">
        <v>48</v>
      </c>
      <c r="O16" s="33">
        <f t="shared" si="3"/>
        <v>1100</v>
      </c>
      <c r="P16" s="33">
        <f t="shared" si="4"/>
        <v>0</v>
      </c>
      <c r="Q16" s="30"/>
    </row>
    <row r="17" spans="1:17" x14ac:dyDescent="0.2">
      <c r="A17" s="15" t="s">
        <v>61</v>
      </c>
      <c r="B17" s="16">
        <v>1500</v>
      </c>
      <c r="C17" s="16"/>
      <c r="D17" s="17"/>
      <c r="E17" s="17"/>
      <c r="F17" s="17">
        <f t="shared" si="0"/>
        <v>1500</v>
      </c>
      <c r="G17" s="15"/>
      <c r="H17" s="18" t="s">
        <v>48</v>
      </c>
      <c r="I17" s="16">
        <f t="shared" si="1"/>
        <v>1500</v>
      </c>
      <c r="J17" s="16">
        <f t="shared" si="2"/>
        <v>0</v>
      </c>
      <c r="L17" s="30" t="s">
        <v>51</v>
      </c>
      <c r="M17" s="31">
        <v>6600</v>
      </c>
      <c r="N17" s="32" t="s">
        <v>48</v>
      </c>
      <c r="O17" s="33">
        <f t="shared" si="3"/>
        <v>6600</v>
      </c>
      <c r="P17" s="33">
        <f t="shared" si="4"/>
        <v>0</v>
      </c>
      <c r="Q17" s="34">
        <v>44595</v>
      </c>
    </row>
    <row r="18" spans="1:17" x14ac:dyDescent="0.2">
      <c r="A18" s="15" t="s">
        <v>66</v>
      </c>
      <c r="B18" s="16">
        <v>3471</v>
      </c>
      <c r="C18" s="16"/>
      <c r="D18" s="17"/>
      <c r="E18" s="17"/>
      <c r="F18" s="17">
        <f t="shared" si="0"/>
        <v>3471</v>
      </c>
      <c r="G18" s="15"/>
      <c r="H18" s="18" t="s">
        <v>48</v>
      </c>
      <c r="I18" s="16">
        <f t="shared" si="1"/>
        <v>3471</v>
      </c>
      <c r="J18" s="16">
        <f t="shared" si="2"/>
        <v>0</v>
      </c>
      <c r="L18" s="30" t="s">
        <v>53</v>
      </c>
      <c r="M18" s="31">
        <v>6458.96</v>
      </c>
      <c r="N18" s="32" t="s">
        <v>48</v>
      </c>
      <c r="O18" s="33">
        <f t="shared" si="3"/>
        <v>6458.96</v>
      </c>
      <c r="P18" s="33">
        <f t="shared" si="4"/>
        <v>0</v>
      </c>
      <c r="Q18" s="34">
        <v>44599</v>
      </c>
    </row>
    <row r="19" spans="1:17" x14ac:dyDescent="0.2">
      <c r="A19" s="15" t="s">
        <v>62</v>
      </c>
      <c r="B19" s="16">
        <f>7065</f>
        <v>7065</v>
      </c>
      <c r="C19" s="16"/>
      <c r="D19" s="17"/>
      <c r="E19" s="17"/>
      <c r="F19" s="17">
        <f t="shared" si="0"/>
        <v>7065</v>
      </c>
      <c r="G19" s="15"/>
      <c r="H19" s="18" t="s">
        <v>48</v>
      </c>
      <c r="I19" s="16">
        <f t="shared" si="1"/>
        <v>7065</v>
      </c>
      <c r="J19" s="16">
        <f t="shared" si="2"/>
        <v>0</v>
      </c>
      <c r="L19" s="30" t="s">
        <v>55</v>
      </c>
      <c r="M19" s="31">
        <v>1050</v>
      </c>
      <c r="N19" s="32" t="s">
        <v>48</v>
      </c>
      <c r="O19" s="33">
        <f t="shared" si="3"/>
        <v>1050</v>
      </c>
      <c r="P19" s="33">
        <f t="shared" si="4"/>
        <v>0</v>
      </c>
      <c r="Q19" s="34">
        <v>44586</v>
      </c>
    </row>
    <row r="20" spans="1:17" x14ac:dyDescent="0.2">
      <c r="A20" s="15" t="s">
        <v>67</v>
      </c>
      <c r="B20" s="16">
        <f>((3471*2)-4500)/2</f>
        <v>1221</v>
      </c>
      <c r="C20" s="16"/>
      <c r="D20" s="17"/>
      <c r="E20" s="17"/>
      <c r="F20" s="17">
        <f t="shared" si="0"/>
        <v>1221</v>
      </c>
      <c r="G20" s="15"/>
      <c r="H20" s="18" t="s">
        <v>48</v>
      </c>
      <c r="I20" s="16">
        <f t="shared" si="1"/>
        <v>1221</v>
      </c>
      <c r="J20" s="16">
        <f t="shared" si="2"/>
        <v>0</v>
      </c>
      <c r="L20" s="30" t="s">
        <v>56</v>
      </c>
      <c r="M20" s="31">
        <v>600</v>
      </c>
      <c r="N20" s="32" t="s">
        <v>48</v>
      </c>
      <c r="O20" s="33">
        <f t="shared" si="3"/>
        <v>600</v>
      </c>
      <c r="P20" s="33">
        <f t="shared" si="4"/>
        <v>0</v>
      </c>
      <c r="Q20" s="30"/>
    </row>
    <row r="21" spans="1:17" x14ac:dyDescent="0.2">
      <c r="A21" s="15" t="s">
        <v>68</v>
      </c>
      <c r="B21" s="16">
        <v>4500</v>
      </c>
      <c r="C21" s="16"/>
      <c r="D21" s="17"/>
      <c r="E21" s="17"/>
      <c r="F21" s="17">
        <f t="shared" si="0"/>
        <v>4500</v>
      </c>
      <c r="G21" s="15"/>
      <c r="H21" s="18" t="s">
        <v>48</v>
      </c>
      <c r="I21" s="16">
        <f t="shared" si="1"/>
        <v>4500</v>
      </c>
      <c r="J21" s="16">
        <f t="shared" si="2"/>
        <v>0</v>
      </c>
      <c r="L21" s="30" t="s">
        <v>57</v>
      </c>
      <c r="M21" s="31">
        <v>675</v>
      </c>
      <c r="N21" s="32" t="s">
        <v>48</v>
      </c>
      <c r="O21" s="33">
        <f t="shared" si="3"/>
        <v>675</v>
      </c>
      <c r="P21" s="33">
        <f t="shared" si="4"/>
        <v>0</v>
      </c>
      <c r="Q21" s="30"/>
    </row>
    <row r="22" spans="1:17" x14ac:dyDescent="0.2">
      <c r="A22" s="15" t="s">
        <v>69</v>
      </c>
      <c r="B22" s="16">
        <v>1500</v>
      </c>
      <c r="C22" s="16"/>
      <c r="D22" s="17"/>
      <c r="E22" s="17"/>
      <c r="F22" s="17">
        <f t="shared" si="0"/>
        <v>1500</v>
      </c>
      <c r="G22" s="15"/>
      <c r="H22" s="18" t="s">
        <v>48</v>
      </c>
      <c r="I22" s="16">
        <f t="shared" si="1"/>
        <v>1500</v>
      </c>
      <c r="J22" s="16">
        <f t="shared" si="2"/>
        <v>0</v>
      </c>
      <c r="L22" s="30" t="s">
        <v>58</v>
      </c>
      <c r="M22" s="31">
        <v>900</v>
      </c>
      <c r="N22" s="32" t="s">
        <v>48</v>
      </c>
      <c r="O22" s="33">
        <f t="shared" si="3"/>
        <v>900</v>
      </c>
      <c r="P22" s="33">
        <f t="shared" si="4"/>
        <v>0</v>
      </c>
      <c r="Q22" s="30"/>
    </row>
    <row r="23" spans="1:17" x14ac:dyDescent="0.2">
      <c r="A23" s="15" t="s">
        <v>91</v>
      </c>
      <c r="B23" s="16">
        <v>500</v>
      </c>
      <c r="C23" s="16"/>
      <c r="D23" s="17"/>
      <c r="E23" s="17"/>
      <c r="F23" s="17">
        <f t="shared" si="0"/>
        <v>500</v>
      </c>
      <c r="G23" s="15"/>
      <c r="H23" s="18" t="s">
        <v>48</v>
      </c>
      <c r="I23" s="16">
        <f t="shared" si="1"/>
        <v>500</v>
      </c>
      <c r="J23" s="16">
        <f t="shared" si="2"/>
        <v>0</v>
      </c>
      <c r="L23" s="30" t="s">
        <v>59</v>
      </c>
      <c r="M23" s="31">
        <v>570</v>
      </c>
      <c r="N23" s="32" t="s">
        <v>48</v>
      </c>
      <c r="O23" s="33">
        <f t="shared" si="3"/>
        <v>570</v>
      </c>
      <c r="P23" s="33">
        <f t="shared" si="4"/>
        <v>0</v>
      </c>
      <c r="Q23" s="30"/>
    </row>
    <row r="24" spans="1:17" x14ac:dyDescent="0.2">
      <c r="A24" s="15" t="s">
        <v>92</v>
      </c>
      <c r="B24" s="16">
        <v>60</v>
      </c>
      <c r="C24" s="16"/>
      <c r="D24" s="17"/>
      <c r="E24" s="17"/>
      <c r="F24" s="17">
        <f t="shared" si="0"/>
        <v>60</v>
      </c>
      <c r="G24" s="15"/>
      <c r="H24" s="18" t="s">
        <v>48</v>
      </c>
      <c r="I24" s="16">
        <f t="shared" si="1"/>
        <v>60</v>
      </c>
      <c r="J24" s="16">
        <f t="shared" si="2"/>
        <v>0</v>
      </c>
      <c r="L24" s="30" t="s">
        <v>60</v>
      </c>
      <c r="M24" s="31">
        <v>1500</v>
      </c>
      <c r="N24" s="32" t="s">
        <v>48</v>
      </c>
      <c r="O24" s="33">
        <f t="shared" si="3"/>
        <v>1500</v>
      </c>
      <c r="P24" s="33">
        <f t="shared" si="4"/>
        <v>0</v>
      </c>
      <c r="Q24" s="30"/>
    </row>
    <row r="25" spans="1:17" x14ac:dyDescent="0.2">
      <c r="A25" s="15" t="s">
        <v>114</v>
      </c>
      <c r="B25" s="16">
        <f>250/1.12</f>
        <v>223.21428571428569</v>
      </c>
      <c r="C25" s="16"/>
      <c r="D25" s="17"/>
      <c r="E25" s="17"/>
      <c r="F25" s="17">
        <f t="shared" si="0"/>
        <v>223.21428571428569</v>
      </c>
      <c r="G25" s="15"/>
      <c r="H25" s="18" t="s">
        <v>48</v>
      </c>
      <c r="I25" s="16">
        <f t="shared" si="1"/>
        <v>223.21428571428569</v>
      </c>
      <c r="J25" s="16">
        <f t="shared" si="2"/>
        <v>0</v>
      </c>
      <c r="L25" s="30" t="s">
        <v>63</v>
      </c>
      <c r="M25" s="31">
        <v>6768.21</v>
      </c>
      <c r="N25" s="32" t="s">
        <v>48</v>
      </c>
      <c r="O25" s="33">
        <f t="shared" si="3"/>
        <v>6768.21</v>
      </c>
      <c r="P25" s="33">
        <f t="shared" si="4"/>
        <v>0</v>
      </c>
      <c r="Q25" s="30"/>
    </row>
    <row r="26" spans="1:17" x14ac:dyDescent="0.2">
      <c r="A26" s="15" t="s">
        <v>112</v>
      </c>
      <c r="B26" s="16">
        <v>137.9</v>
      </c>
      <c r="C26" s="16"/>
      <c r="D26" s="17"/>
      <c r="E26" s="17"/>
      <c r="F26" s="17">
        <f t="shared" si="0"/>
        <v>137.9</v>
      </c>
      <c r="G26" s="15"/>
      <c r="H26" s="18" t="s">
        <v>48</v>
      </c>
      <c r="I26" s="16">
        <f t="shared" si="1"/>
        <v>137.9</v>
      </c>
      <c r="J26" s="16">
        <f t="shared" si="2"/>
        <v>0</v>
      </c>
      <c r="L26" s="30" t="s">
        <v>64</v>
      </c>
      <c r="M26" s="31">
        <v>2420.3000000000002</v>
      </c>
      <c r="N26" s="32" t="s">
        <v>48</v>
      </c>
      <c r="O26" s="33">
        <f t="shared" si="3"/>
        <v>2420.3000000000002</v>
      </c>
      <c r="P26" s="33">
        <f t="shared" si="4"/>
        <v>0</v>
      </c>
      <c r="Q26" s="30"/>
    </row>
    <row r="27" spans="1:17" x14ac:dyDescent="0.2">
      <c r="A27" s="15" t="s">
        <v>113</v>
      </c>
      <c r="B27" s="16">
        <f>165.2/1.12</f>
        <v>147.49999999999997</v>
      </c>
      <c r="C27" s="16"/>
      <c r="D27" s="17"/>
      <c r="E27" s="17"/>
      <c r="F27" s="17">
        <f t="shared" si="0"/>
        <v>147.49999999999997</v>
      </c>
      <c r="G27" s="15"/>
      <c r="H27" s="18" t="s">
        <v>48</v>
      </c>
      <c r="I27" s="16">
        <f t="shared" si="1"/>
        <v>147.49999999999997</v>
      </c>
      <c r="J27" s="16">
        <f t="shared" si="2"/>
        <v>0</v>
      </c>
      <c r="L27" s="30" t="s">
        <v>65</v>
      </c>
      <c r="M27" s="31">
        <v>6029.63</v>
      </c>
      <c r="N27" s="32" t="s">
        <v>48</v>
      </c>
      <c r="O27" s="33">
        <f t="shared" si="3"/>
        <v>6029.63</v>
      </c>
      <c r="P27" s="33">
        <f t="shared" si="4"/>
        <v>0</v>
      </c>
      <c r="Q27" s="30"/>
    </row>
    <row r="28" spans="1:17" x14ac:dyDescent="0.2">
      <c r="A28" s="23"/>
      <c r="B28" s="24"/>
      <c r="C28" s="24"/>
      <c r="D28" s="25"/>
      <c r="E28" s="25"/>
      <c r="F28" s="25">
        <f t="shared" si="0"/>
        <v>0</v>
      </c>
      <c r="G28" s="23"/>
      <c r="H28" s="26"/>
      <c r="I28" s="24">
        <f t="shared" si="1"/>
        <v>0</v>
      </c>
      <c r="J28" s="24">
        <f t="shared" si="2"/>
        <v>0</v>
      </c>
      <c r="L28" s="30" t="s">
        <v>70</v>
      </c>
      <c r="M28" s="31">
        <v>3000</v>
      </c>
      <c r="N28" s="32" t="s">
        <v>48</v>
      </c>
      <c r="O28" s="33">
        <f t="shared" si="3"/>
        <v>3000</v>
      </c>
      <c r="P28" s="33">
        <f t="shared" si="4"/>
        <v>0</v>
      </c>
      <c r="Q28" s="30"/>
    </row>
    <row r="29" spans="1:17" x14ac:dyDescent="0.2">
      <c r="A29" s="23"/>
      <c r="B29" s="24"/>
      <c r="C29" s="24"/>
      <c r="D29" s="25"/>
      <c r="E29" s="25"/>
      <c r="F29" s="25">
        <f t="shared" si="0"/>
        <v>0</v>
      </c>
      <c r="G29" s="23"/>
      <c r="H29" s="26"/>
      <c r="I29" s="24">
        <f t="shared" si="1"/>
        <v>0</v>
      </c>
      <c r="J29" s="24">
        <f t="shared" si="2"/>
        <v>0</v>
      </c>
      <c r="L29" s="30" t="s">
        <v>71</v>
      </c>
      <c r="M29" s="31">
        <v>484</v>
      </c>
      <c r="N29" s="32" t="s">
        <v>48</v>
      </c>
      <c r="O29" s="33">
        <f t="shared" si="3"/>
        <v>484</v>
      </c>
      <c r="P29" s="33">
        <f t="shared" si="4"/>
        <v>0</v>
      </c>
      <c r="Q29" s="30"/>
    </row>
    <row r="30" spans="1:17" x14ac:dyDescent="0.2">
      <c r="A30" s="23"/>
      <c r="B30" s="24"/>
      <c r="C30" s="24"/>
      <c r="D30" s="25"/>
      <c r="E30" s="25"/>
      <c r="F30" s="25">
        <f t="shared" si="0"/>
        <v>0</v>
      </c>
      <c r="G30" s="23"/>
      <c r="H30" s="26"/>
      <c r="I30" s="24">
        <f t="shared" si="1"/>
        <v>0</v>
      </c>
      <c r="J30" s="24">
        <f t="shared" si="2"/>
        <v>0</v>
      </c>
      <c r="L30" s="30" t="s">
        <v>72</v>
      </c>
      <c r="M30" s="31">
        <v>1080</v>
      </c>
      <c r="N30" s="32" t="s">
        <v>48</v>
      </c>
      <c r="O30" s="33">
        <f t="shared" si="3"/>
        <v>1080</v>
      </c>
      <c r="P30" s="33">
        <f t="shared" si="4"/>
        <v>0</v>
      </c>
      <c r="Q30" s="34">
        <v>44627</v>
      </c>
    </row>
    <row r="31" spans="1:17" x14ac:dyDescent="0.2">
      <c r="A31" s="23"/>
      <c r="B31" s="24"/>
      <c r="C31" s="24"/>
      <c r="D31" s="25"/>
      <c r="E31" s="25"/>
      <c r="F31" s="25">
        <f t="shared" si="0"/>
        <v>0</v>
      </c>
      <c r="G31" s="23"/>
      <c r="H31" s="26"/>
      <c r="I31" s="24">
        <f t="shared" si="1"/>
        <v>0</v>
      </c>
      <c r="J31" s="24">
        <f t="shared" si="2"/>
        <v>0</v>
      </c>
      <c r="L31" s="30" t="s">
        <v>73</v>
      </c>
      <c r="M31" s="31">
        <v>950</v>
      </c>
      <c r="N31" s="32" t="s">
        <v>48</v>
      </c>
      <c r="O31" s="33">
        <f t="shared" si="3"/>
        <v>950</v>
      </c>
      <c r="P31" s="33">
        <f t="shared" si="4"/>
        <v>0</v>
      </c>
      <c r="Q31" s="30"/>
    </row>
    <row r="32" spans="1:17" x14ac:dyDescent="0.2">
      <c r="A32" s="23"/>
      <c r="B32" s="24"/>
      <c r="C32" s="24"/>
      <c r="D32" s="25"/>
      <c r="E32" s="25"/>
      <c r="F32" s="23"/>
      <c r="G32" s="23"/>
      <c r="H32" s="26"/>
      <c r="I32" s="24"/>
      <c r="J32" s="24"/>
      <c r="L32" s="30" t="s">
        <v>89</v>
      </c>
      <c r="M32" s="31">
        <f>2200+220-150</f>
        <v>2270</v>
      </c>
      <c r="N32" s="32" t="s">
        <v>48</v>
      </c>
      <c r="O32" s="33">
        <f t="shared" si="3"/>
        <v>2270</v>
      </c>
      <c r="P32" s="33">
        <f t="shared" si="4"/>
        <v>0</v>
      </c>
      <c r="Q32" s="30"/>
    </row>
    <row r="33" spans="1:17" x14ac:dyDescent="0.2">
      <c r="A33" s="23"/>
      <c r="B33" s="24"/>
      <c r="C33" s="24"/>
      <c r="D33" s="25"/>
      <c r="E33" s="25"/>
      <c r="F33" s="23"/>
      <c r="G33" s="23"/>
      <c r="H33" s="26"/>
      <c r="I33" s="24"/>
      <c r="J33" s="24"/>
      <c r="L33" s="23"/>
      <c r="M33" s="25"/>
      <c r="N33" s="26"/>
      <c r="O33" s="24"/>
      <c r="P33" s="24"/>
      <c r="Q33" s="23"/>
    </row>
    <row r="34" spans="1:17" x14ac:dyDescent="0.2">
      <c r="A34" s="23"/>
      <c r="B34" s="24"/>
      <c r="C34" s="24"/>
      <c r="D34" s="25"/>
      <c r="E34" s="25"/>
      <c r="F34" s="23"/>
      <c r="G34" s="23"/>
      <c r="H34" s="26"/>
      <c r="I34" s="24"/>
      <c r="J34" s="24"/>
      <c r="L34" s="23"/>
      <c r="M34" s="25"/>
      <c r="N34" s="26"/>
      <c r="O34" s="24"/>
      <c r="P34" s="24"/>
      <c r="Q34" s="23"/>
    </row>
    <row r="35" spans="1:17" x14ac:dyDescent="0.2">
      <c r="A35" s="23"/>
      <c r="B35" s="25">
        <f>SUM(B3:B34)</f>
        <v>32041.614285714288</v>
      </c>
      <c r="C35" s="25">
        <f>SUM(C3:C34)</f>
        <v>0</v>
      </c>
      <c r="D35" s="25">
        <f>SUM(D3:D34)</f>
        <v>12389</v>
      </c>
      <c r="E35" s="25">
        <f>SUM(E3:E34)</f>
        <v>0</v>
      </c>
      <c r="F35" s="25">
        <f>SUM(F3:F34)</f>
        <v>44430.614285714284</v>
      </c>
      <c r="G35" s="23"/>
      <c r="H35" s="26"/>
      <c r="I35" s="25">
        <f>SUM(I3:I34)</f>
        <v>40780.614285714284</v>
      </c>
      <c r="J35" s="25">
        <f>SUM(J3:J34)</f>
        <v>3650</v>
      </c>
      <c r="K35" s="9"/>
      <c r="L35" s="23"/>
      <c r="M35" s="25">
        <f>SUM(M5:M34)</f>
        <v>57986.38</v>
      </c>
      <c r="N35" s="26"/>
      <c r="O35" s="25">
        <f t="shared" ref="O35:P35" si="5">SUM(O5:O34)</f>
        <v>56228.14</v>
      </c>
      <c r="P35" s="25">
        <f t="shared" si="5"/>
        <v>1758.24</v>
      </c>
      <c r="Q35" s="23"/>
    </row>
    <row r="40" spans="1:17" x14ac:dyDescent="0.2">
      <c r="L40" s="8" t="s">
        <v>76</v>
      </c>
    </row>
  </sheetData>
  <mergeCells count="5">
    <mergeCell ref="A1:A2"/>
    <mergeCell ref="B1:C1"/>
    <mergeCell ref="D1:E1"/>
    <mergeCell ref="F1:G1"/>
    <mergeCell ref="H1:J1"/>
  </mergeCells>
  <conditionalFormatting sqref="L5:Q5">
    <cfRule type="cellIs" dxfId="135" priority="1" operator="equal">
      <formula>"PAGADO"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59358-AEF6-874D-8BF1-C9AE7797C492}">
  <dimension ref="A1:D14"/>
  <sheetViews>
    <sheetView workbookViewId="0">
      <selection activeCell="C13" sqref="C13"/>
    </sheetView>
  </sheetViews>
  <sheetFormatPr baseColWidth="10" defaultRowHeight="16" x14ac:dyDescent="0.2"/>
  <cols>
    <col min="2" max="2" width="19.6640625" bestFit="1" customWidth="1"/>
    <col min="3" max="3" width="10.83203125" style="36"/>
  </cols>
  <sheetData>
    <row r="1" spans="1:4" ht="17" x14ac:dyDescent="0.2">
      <c r="A1" t="s">
        <v>20</v>
      </c>
      <c r="B1" t="s">
        <v>0</v>
      </c>
      <c r="C1" s="36" t="s">
        <v>21</v>
      </c>
    </row>
    <row r="2" spans="1:4" x14ac:dyDescent="0.2">
      <c r="A2" s="35">
        <v>44624</v>
      </c>
      <c r="B2" t="s">
        <v>84</v>
      </c>
      <c r="C2" s="36">
        <f>25*4</f>
        <v>100</v>
      </c>
    </row>
    <row r="3" spans="1:4" x14ac:dyDescent="0.2">
      <c r="A3" s="35">
        <v>44627</v>
      </c>
      <c r="B3" t="s">
        <v>84</v>
      </c>
      <c r="C3" s="36">
        <f>25*4</f>
        <v>100</v>
      </c>
    </row>
    <row r="4" spans="1:4" x14ac:dyDescent="0.2">
      <c r="A4" s="35">
        <v>44628</v>
      </c>
      <c r="B4" t="s">
        <v>84</v>
      </c>
      <c r="C4" s="36">
        <f>25*4</f>
        <v>100</v>
      </c>
    </row>
    <row r="5" spans="1:4" x14ac:dyDescent="0.2">
      <c r="A5" s="37">
        <v>44628</v>
      </c>
      <c r="B5" s="38" t="s">
        <v>85</v>
      </c>
      <c r="C5" s="39"/>
      <c r="D5" s="36">
        <f>35*2</f>
        <v>70</v>
      </c>
    </row>
    <row r="6" spans="1:4" x14ac:dyDescent="0.2">
      <c r="A6" s="35">
        <v>44629</v>
      </c>
      <c r="B6" t="s">
        <v>88</v>
      </c>
      <c r="C6" s="36">
        <v>50</v>
      </c>
    </row>
    <row r="7" spans="1:4" x14ac:dyDescent="0.2">
      <c r="A7" s="37">
        <v>44630</v>
      </c>
      <c r="B7" s="38" t="s">
        <v>90</v>
      </c>
      <c r="C7" s="39">
        <v>70</v>
      </c>
    </row>
    <row r="8" spans="1:4" x14ac:dyDescent="0.2">
      <c r="A8" s="35">
        <v>44630</v>
      </c>
      <c r="B8" t="s">
        <v>84</v>
      </c>
      <c r="C8" s="36">
        <v>100</v>
      </c>
    </row>
    <row r="9" spans="1:4" x14ac:dyDescent="0.2">
      <c r="B9" s="38" t="s">
        <v>98</v>
      </c>
      <c r="C9" s="36">
        <f>500*-1</f>
        <v>-500</v>
      </c>
    </row>
    <row r="10" spans="1:4" x14ac:dyDescent="0.2">
      <c r="C10" s="36">
        <v>70</v>
      </c>
    </row>
    <row r="11" spans="1:4" x14ac:dyDescent="0.2">
      <c r="C11" s="36">
        <v>65</v>
      </c>
    </row>
    <row r="12" spans="1:4" x14ac:dyDescent="0.2">
      <c r="C12" s="36">
        <v>100</v>
      </c>
    </row>
    <row r="14" spans="1:4" x14ac:dyDescent="0.2">
      <c r="C14" s="36">
        <f>SUM(C2:C13)</f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C636-9CDB-2E4F-A7AF-E501F4CFD46E}">
  <dimension ref="A1:I39"/>
  <sheetViews>
    <sheetView workbookViewId="0">
      <selection activeCell="C39" sqref="C39"/>
    </sheetView>
  </sheetViews>
  <sheetFormatPr baseColWidth="10" defaultRowHeight="16" x14ac:dyDescent="0.2"/>
  <cols>
    <col min="1" max="1" width="10.83203125" style="1"/>
    <col min="2" max="2" width="48.83203125" style="1" bestFit="1" customWidth="1"/>
    <col min="3" max="3" width="15.5" style="2" customWidth="1"/>
    <col min="4" max="4" width="15.33203125" customWidth="1"/>
    <col min="5" max="5" width="18.5" customWidth="1"/>
    <col min="6" max="6" width="15.5" style="2" customWidth="1"/>
    <col min="8" max="8" width="35" bestFit="1" customWidth="1"/>
    <col min="9" max="9" width="12.33203125" bestFit="1" customWidth="1"/>
  </cols>
  <sheetData>
    <row r="1" spans="1:9" ht="21" x14ac:dyDescent="0.25">
      <c r="A1" s="3" t="s">
        <v>20</v>
      </c>
      <c r="B1" s="3" t="s">
        <v>0</v>
      </c>
      <c r="C1" s="2" t="s">
        <v>21</v>
      </c>
      <c r="E1" s="3" t="s">
        <v>0</v>
      </c>
      <c r="F1" s="2" t="s">
        <v>21</v>
      </c>
      <c r="H1" s="4" t="s">
        <v>22</v>
      </c>
      <c r="I1" s="5">
        <f>C39+F2</f>
        <v>40279.18</v>
      </c>
    </row>
    <row r="2" spans="1:9" x14ac:dyDescent="0.2">
      <c r="A2" s="6">
        <v>44250</v>
      </c>
      <c r="B2" s="1" t="s">
        <v>23</v>
      </c>
      <c r="C2" s="2">
        <v>6000</v>
      </c>
      <c r="E2" s="1" t="s">
        <v>24</v>
      </c>
      <c r="F2" s="2">
        <v>19800</v>
      </c>
    </row>
    <row r="3" spans="1:9" x14ac:dyDescent="0.2">
      <c r="A3" s="6">
        <v>44250</v>
      </c>
      <c r="B3" s="1" t="s">
        <v>25</v>
      </c>
      <c r="C3" s="2">
        <v>4000</v>
      </c>
    </row>
    <row r="4" spans="1:9" x14ac:dyDescent="0.2">
      <c r="A4" s="6">
        <v>44250</v>
      </c>
      <c r="B4" s="1" t="s">
        <v>26</v>
      </c>
      <c r="C4" s="2">
        <v>1500</v>
      </c>
    </row>
    <row r="5" spans="1:9" x14ac:dyDescent="0.2">
      <c r="B5" s="1" t="s">
        <v>27</v>
      </c>
      <c r="C5" s="2">
        <v>1000</v>
      </c>
    </row>
    <row r="6" spans="1:9" x14ac:dyDescent="0.2">
      <c r="A6" s="6">
        <v>44251</v>
      </c>
      <c r="B6" s="1" t="s">
        <v>28</v>
      </c>
      <c r="C6" s="2">
        <v>13500</v>
      </c>
    </row>
    <row r="7" spans="1:9" x14ac:dyDescent="0.2">
      <c r="A7" s="45">
        <v>44275</v>
      </c>
      <c r="B7" s="46" t="s">
        <v>23</v>
      </c>
      <c r="C7" s="47">
        <v>3000</v>
      </c>
      <c r="D7" t="s">
        <v>29</v>
      </c>
    </row>
    <row r="8" spans="1:9" x14ac:dyDescent="0.2">
      <c r="A8" s="45">
        <v>44285</v>
      </c>
      <c r="B8" s="46" t="s">
        <v>30</v>
      </c>
      <c r="C8" s="47">
        <v>1194.18</v>
      </c>
    </row>
    <row r="9" spans="1:9" x14ac:dyDescent="0.2">
      <c r="A9" s="45">
        <v>44285</v>
      </c>
      <c r="B9" s="46" t="s">
        <v>31</v>
      </c>
      <c r="C9" s="47">
        <f>3000*-1</f>
        <v>-3000</v>
      </c>
    </row>
    <row r="10" spans="1:9" x14ac:dyDescent="0.2">
      <c r="A10" s="45">
        <v>44290</v>
      </c>
      <c r="B10" s="46" t="s">
        <v>23</v>
      </c>
      <c r="C10" s="47">
        <v>750</v>
      </c>
    </row>
    <row r="11" spans="1:9" x14ac:dyDescent="0.2">
      <c r="A11" s="45">
        <v>44307</v>
      </c>
      <c r="B11" s="46" t="s">
        <v>31</v>
      </c>
      <c r="C11" s="47">
        <f>700*-1</f>
        <v>-700</v>
      </c>
    </row>
    <row r="12" spans="1:9" x14ac:dyDescent="0.2">
      <c r="A12" s="45">
        <v>44319</v>
      </c>
      <c r="B12" s="46" t="s">
        <v>32</v>
      </c>
      <c r="C12" s="47">
        <v>1200</v>
      </c>
    </row>
    <row r="13" spans="1:9" x14ac:dyDescent="0.2">
      <c r="A13" s="45">
        <v>44345</v>
      </c>
      <c r="B13" s="46" t="s">
        <v>33</v>
      </c>
      <c r="C13" s="47">
        <f>500*-1</f>
        <v>-500</v>
      </c>
    </row>
    <row r="14" spans="1:9" x14ac:dyDescent="0.2">
      <c r="A14" s="6">
        <v>44356</v>
      </c>
      <c r="B14" s="1" t="s">
        <v>34</v>
      </c>
      <c r="C14" s="2">
        <v>1200</v>
      </c>
    </row>
    <row r="15" spans="1:9" x14ac:dyDescent="0.2">
      <c r="A15" s="6">
        <v>44382</v>
      </c>
      <c r="B15" s="1" t="s">
        <v>35</v>
      </c>
      <c r="C15" s="2">
        <v>1500</v>
      </c>
    </row>
    <row r="16" spans="1:9" x14ac:dyDescent="0.2">
      <c r="A16" s="48">
        <v>44922</v>
      </c>
      <c r="B16" s="49" t="s">
        <v>36</v>
      </c>
      <c r="C16" s="50">
        <v>-700</v>
      </c>
      <c r="D16" s="54">
        <f>SUM(C9,C11,C13,C16)</f>
        <v>-4900</v>
      </c>
    </row>
    <row r="17" spans="1:4" x14ac:dyDescent="0.2">
      <c r="A17" s="6">
        <v>44627</v>
      </c>
      <c r="B17" s="1" t="s">
        <v>75</v>
      </c>
      <c r="C17" s="2">
        <f>-480</f>
        <v>-480</v>
      </c>
    </row>
    <row r="18" spans="1:4" x14ac:dyDescent="0.2">
      <c r="A18" s="6">
        <v>44635</v>
      </c>
      <c r="B18" s="1" t="s">
        <v>115</v>
      </c>
      <c r="C18" s="2">
        <v>-1420</v>
      </c>
    </row>
    <row r="19" spans="1:4" x14ac:dyDescent="0.2">
      <c r="A19" s="6">
        <v>44641</v>
      </c>
      <c r="B19" s="1" t="s">
        <v>116</v>
      </c>
      <c r="C19" s="2">
        <f>357.17*-1</f>
        <v>-357.17</v>
      </c>
    </row>
    <row r="20" spans="1:4" x14ac:dyDescent="0.2">
      <c r="A20" s="48">
        <v>44641</v>
      </c>
      <c r="B20" s="49" t="s">
        <v>117</v>
      </c>
      <c r="C20" s="50">
        <f>95*-1</f>
        <v>-95</v>
      </c>
      <c r="D20" s="54">
        <f>SUM(C17:C20)</f>
        <v>-2352.17</v>
      </c>
    </row>
    <row r="21" spans="1:4" x14ac:dyDescent="0.2">
      <c r="A21" s="6">
        <v>44669</v>
      </c>
      <c r="B21" s="1" t="s">
        <v>121</v>
      </c>
      <c r="C21" s="2">
        <f>800*3.7*-1</f>
        <v>-2960</v>
      </c>
    </row>
    <row r="22" spans="1:4" x14ac:dyDescent="0.2">
      <c r="A22" s="48">
        <v>44679</v>
      </c>
      <c r="B22" s="49" t="s">
        <v>136</v>
      </c>
      <c r="C22" s="50">
        <f>-110</f>
        <v>-110</v>
      </c>
      <c r="D22" s="54">
        <f>SUM(C21:C22)</f>
        <v>-3070</v>
      </c>
    </row>
    <row r="23" spans="1:4" x14ac:dyDescent="0.2">
      <c r="A23" s="51">
        <v>44683</v>
      </c>
      <c r="B23" s="52" t="s">
        <v>124</v>
      </c>
      <c r="C23" s="53">
        <f>-355</f>
        <v>-355</v>
      </c>
    </row>
    <row r="24" spans="1:4" x14ac:dyDescent="0.2">
      <c r="A24" s="45">
        <v>44701</v>
      </c>
      <c r="B24" s="46" t="s">
        <v>137</v>
      </c>
      <c r="C24" s="47">
        <f>-500</f>
        <v>-500</v>
      </c>
    </row>
    <row r="25" spans="1:4" x14ac:dyDescent="0.2">
      <c r="A25" s="45">
        <v>44704</v>
      </c>
      <c r="B25" s="46" t="s">
        <v>138</v>
      </c>
      <c r="C25" s="47">
        <f>-320</f>
        <v>-320</v>
      </c>
    </row>
    <row r="26" spans="1:4" x14ac:dyDescent="0.2">
      <c r="A26" s="48">
        <v>44709</v>
      </c>
      <c r="B26" s="49" t="s">
        <v>141</v>
      </c>
      <c r="C26" s="50">
        <f>-300</f>
        <v>-300</v>
      </c>
      <c r="D26" s="54">
        <f>SUM(C23:C26)</f>
        <v>-1475</v>
      </c>
    </row>
    <row r="27" spans="1:4" x14ac:dyDescent="0.2">
      <c r="A27" s="6">
        <v>44716</v>
      </c>
      <c r="B27" s="1" t="s">
        <v>139</v>
      </c>
      <c r="C27" s="2">
        <f>-74.9</f>
        <v>-74.900000000000006</v>
      </c>
    </row>
    <row r="28" spans="1:4" x14ac:dyDescent="0.2">
      <c r="A28" s="6">
        <v>44718</v>
      </c>
      <c r="B28" s="1" t="s">
        <v>140</v>
      </c>
      <c r="C28" s="2">
        <f>-374.9</f>
        <v>-374.9</v>
      </c>
    </row>
    <row r="29" spans="1:4" x14ac:dyDescent="0.2">
      <c r="A29" s="6">
        <v>44722</v>
      </c>
      <c r="B29" s="1" t="s">
        <v>142</v>
      </c>
      <c r="C29" s="2">
        <f>-1449</f>
        <v>-1449</v>
      </c>
    </row>
    <row r="30" spans="1:4" x14ac:dyDescent="0.2">
      <c r="A30" s="48">
        <v>44740</v>
      </c>
      <c r="B30" s="49" t="s">
        <v>157</v>
      </c>
      <c r="C30" s="50">
        <v>-200</v>
      </c>
      <c r="D30" s="54">
        <f>SUM(C27:C30)</f>
        <v>-2098.8000000000002</v>
      </c>
    </row>
    <row r="31" spans="1:4" x14ac:dyDescent="0.2">
      <c r="A31" s="6">
        <v>44747</v>
      </c>
      <c r="B31" s="1" t="s">
        <v>168</v>
      </c>
      <c r="C31" s="2">
        <f>-469.03</f>
        <v>-469.03</v>
      </c>
    </row>
    <row r="39" spans="3:3" x14ac:dyDescent="0.2">
      <c r="C39" s="2">
        <f>SUM(C2:C36)</f>
        <v>20479.18</v>
      </c>
    </row>
  </sheetData>
  <conditionalFormatting sqref="C41:C1048576 C1:C39 F21:F39">
    <cfRule type="cellIs" dxfId="134" priority="11" operator="lessThan">
      <formula>0</formula>
    </cfRule>
    <cfRule type="cellIs" dxfId="133" priority="12" operator="greaterThan">
      <formula>0</formula>
    </cfRule>
  </conditionalFormatting>
  <conditionalFormatting sqref="C3:C12">
    <cfRule type="cellIs" dxfId="132" priority="9" operator="lessThan">
      <formula>0</formula>
    </cfRule>
    <cfRule type="cellIs" dxfId="131" priority="10" operator="greaterThan">
      <formula>0</formula>
    </cfRule>
  </conditionalFormatting>
  <conditionalFormatting sqref="C39">
    <cfRule type="cellIs" dxfId="130" priority="7" operator="lessThan">
      <formula>0</formula>
    </cfRule>
    <cfRule type="cellIs" dxfId="129" priority="8" operator="greaterThan">
      <formula>0</formula>
    </cfRule>
  </conditionalFormatting>
  <conditionalFormatting sqref="F41:F1048576 F1:F16 F18:F19">
    <cfRule type="cellIs" dxfId="128" priority="5" operator="lessThan">
      <formula>0</formula>
    </cfRule>
    <cfRule type="cellIs" dxfId="127" priority="6" operator="greaterThan">
      <formula>0</formula>
    </cfRule>
  </conditionalFormatting>
  <conditionalFormatting sqref="F3:F12">
    <cfRule type="cellIs" dxfId="126" priority="3" operator="lessThan">
      <formula>0</formula>
    </cfRule>
    <cfRule type="cellIs" dxfId="125" priority="4" operator="greaterThan">
      <formula>0</formula>
    </cfRule>
  </conditionalFormatting>
  <conditionalFormatting sqref="F39">
    <cfRule type="cellIs" dxfId="124" priority="1" operator="lessThan">
      <formula>0</formula>
    </cfRule>
    <cfRule type="cellIs" dxfId="123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A0AC-AE2D-A347-85C6-24BAF060E68D}">
  <dimension ref="A1:J23"/>
  <sheetViews>
    <sheetView workbookViewId="0">
      <selection activeCell="F2" sqref="F2"/>
    </sheetView>
  </sheetViews>
  <sheetFormatPr baseColWidth="10" defaultRowHeight="16" x14ac:dyDescent="0.2"/>
  <cols>
    <col min="1" max="1" width="10.83203125" style="1"/>
    <col min="2" max="2" width="28.83203125" bestFit="1" customWidth="1"/>
    <col min="3" max="3" width="10.6640625" style="2" bestFit="1" customWidth="1"/>
    <col min="4" max="4" width="10.83203125" style="1"/>
    <col min="5" max="5" width="11.6640625" style="2" bestFit="1" customWidth="1"/>
    <col min="6" max="6" width="10.83203125" style="2"/>
    <col min="7" max="7" width="18.6640625" style="40" bestFit="1" customWidth="1"/>
  </cols>
  <sheetData>
    <row r="1" spans="1:10" x14ac:dyDescent="0.2">
      <c r="A1" s="1" t="s">
        <v>20</v>
      </c>
      <c r="B1" s="1" t="s">
        <v>0</v>
      </c>
      <c r="C1" s="2" t="s">
        <v>21</v>
      </c>
      <c r="D1" s="1" t="s">
        <v>47</v>
      </c>
      <c r="E1" s="2" t="s">
        <v>94</v>
      </c>
      <c r="F1" s="2" t="s">
        <v>48</v>
      </c>
      <c r="G1" s="2" t="s">
        <v>93</v>
      </c>
    </row>
    <row r="2" spans="1:10" x14ac:dyDescent="0.2">
      <c r="B2" t="s">
        <v>77</v>
      </c>
      <c r="C2" s="2">
        <f>3000*-1</f>
        <v>-3000</v>
      </c>
      <c r="D2" s="1" t="s">
        <v>48</v>
      </c>
      <c r="E2" s="2">
        <f>IF(C2&lt;0,IF(D2="PENDIENTE",C2,0),0)</f>
        <v>0</v>
      </c>
      <c r="F2" s="2">
        <f>IF(C2&gt;0,IF(D2="PENDIENTE",C2,0),0)</f>
        <v>0</v>
      </c>
    </row>
    <row r="3" spans="1:10" x14ac:dyDescent="0.2">
      <c r="A3" s="6">
        <v>44630</v>
      </c>
      <c r="B3" t="s">
        <v>78</v>
      </c>
      <c r="C3" s="2">
        <f>(2200+220-150)*-1</f>
        <v>-2270</v>
      </c>
      <c r="D3" s="1" t="s">
        <v>48</v>
      </c>
      <c r="E3" s="2">
        <f t="shared" ref="E3:E13" si="0">IF(C3&lt;0,IF(D3="PENDIENTE",C3,0),0)</f>
        <v>0</v>
      </c>
      <c r="F3" s="2">
        <f t="shared" ref="F3:F13" si="1">IF(C3&gt;0,IF(D3="PENDIENTE",C3,0),0)</f>
        <v>0</v>
      </c>
      <c r="J3" t="s">
        <v>108</v>
      </c>
    </row>
    <row r="4" spans="1:10" x14ac:dyDescent="0.2">
      <c r="B4" t="s">
        <v>79</v>
      </c>
      <c r="C4" s="2">
        <f>2900/1.12</f>
        <v>2589.2857142857142</v>
      </c>
      <c r="D4" s="1" t="s">
        <v>94</v>
      </c>
      <c r="E4" s="2">
        <f t="shared" si="0"/>
        <v>0</v>
      </c>
      <c r="F4" s="2">
        <f t="shared" si="1"/>
        <v>2589.2857142857142</v>
      </c>
      <c r="J4" s="40">
        <v>29778.48</v>
      </c>
    </row>
    <row r="5" spans="1:10" x14ac:dyDescent="0.2">
      <c r="A5" s="6">
        <v>44627</v>
      </c>
      <c r="B5" t="s">
        <v>81</v>
      </c>
      <c r="C5" s="2">
        <f>1080*-1</f>
        <v>-1080</v>
      </c>
      <c r="D5" s="1" t="s">
        <v>48</v>
      </c>
      <c r="E5" s="2">
        <f t="shared" si="0"/>
        <v>0</v>
      </c>
      <c r="F5" s="2">
        <f t="shared" si="1"/>
        <v>0</v>
      </c>
    </row>
    <row r="6" spans="1:10" x14ac:dyDescent="0.2">
      <c r="A6" s="6">
        <v>44641</v>
      </c>
      <c r="B6" t="s">
        <v>80</v>
      </c>
      <c r="C6" s="2">
        <f>4320*-1</f>
        <v>-4320</v>
      </c>
      <c r="D6" s="1" t="s">
        <v>48</v>
      </c>
      <c r="E6" s="2">
        <f t="shared" si="0"/>
        <v>0</v>
      </c>
      <c r="F6" s="2">
        <f t="shared" si="1"/>
        <v>0</v>
      </c>
    </row>
    <row r="7" spans="1:10" x14ac:dyDescent="0.2">
      <c r="A7" s="6">
        <v>44628</v>
      </c>
      <c r="B7" t="s">
        <v>82</v>
      </c>
      <c r="C7" s="2">
        <f>1100</f>
        <v>1100</v>
      </c>
      <c r="D7" s="1" t="s">
        <v>48</v>
      </c>
      <c r="E7" s="2">
        <f t="shared" si="0"/>
        <v>0</v>
      </c>
      <c r="F7" s="2">
        <f t="shared" si="1"/>
        <v>0</v>
      </c>
    </row>
    <row r="8" spans="1:10" x14ac:dyDescent="0.2">
      <c r="B8" t="s">
        <v>83</v>
      </c>
      <c r="C8" s="2">
        <v>1300</v>
      </c>
      <c r="D8" s="1" t="s">
        <v>48</v>
      </c>
      <c r="E8" s="2">
        <f t="shared" si="0"/>
        <v>0</v>
      </c>
      <c r="F8" s="2">
        <f t="shared" si="1"/>
        <v>0</v>
      </c>
    </row>
    <row r="9" spans="1:10" x14ac:dyDescent="0.2">
      <c r="B9" t="s">
        <v>86</v>
      </c>
      <c r="C9" s="2">
        <f>'TRABAJOS-EC'!C14</f>
        <v>255</v>
      </c>
      <c r="D9" s="1" t="s">
        <v>48</v>
      </c>
      <c r="E9" s="2">
        <f t="shared" si="0"/>
        <v>0</v>
      </c>
      <c r="F9" s="2">
        <f t="shared" si="1"/>
        <v>0</v>
      </c>
    </row>
    <row r="10" spans="1:10" x14ac:dyDescent="0.2">
      <c r="A10" s="6">
        <v>44635</v>
      </c>
      <c r="B10" t="s">
        <v>87</v>
      </c>
      <c r="C10" s="2">
        <f>ENERO2022!B20</f>
        <v>1221</v>
      </c>
      <c r="D10" s="1" t="s">
        <v>48</v>
      </c>
      <c r="E10" s="2">
        <f t="shared" si="0"/>
        <v>0</v>
      </c>
      <c r="F10" s="2">
        <f t="shared" si="1"/>
        <v>0</v>
      </c>
    </row>
    <row r="11" spans="1:10" x14ac:dyDescent="0.2">
      <c r="B11" t="s">
        <v>107</v>
      </c>
      <c r="C11" s="2">
        <f>3200</f>
        <v>3200</v>
      </c>
      <c r="D11" s="1" t="s">
        <v>48</v>
      </c>
      <c r="E11" s="2">
        <f t="shared" si="0"/>
        <v>0</v>
      </c>
      <c r="F11" s="2">
        <f t="shared" si="1"/>
        <v>0</v>
      </c>
    </row>
    <row r="12" spans="1:10" x14ac:dyDescent="0.2">
      <c r="A12" s="6">
        <v>44651</v>
      </c>
      <c r="B12" t="s">
        <v>109</v>
      </c>
      <c r="C12" s="2">
        <f>484*-1</f>
        <v>-484</v>
      </c>
      <c r="D12" s="1" t="s">
        <v>48</v>
      </c>
      <c r="E12" s="2">
        <f t="shared" si="0"/>
        <v>0</v>
      </c>
      <c r="F12" s="2">
        <f t="shared" si="1"/>
        <v>0</v>
      </c>
      <c r="H12" t="s">
        <v>118</v>
      </c>
    </row>
    <row r="13" spans="1:10" x14ac:dyDescent="0.2">
      <c r="B13" t="s">
        <v>19</v>
      </c>
      <c r="C13" s="2">
        <f>392*-1</f>
        <v>-392</v>
      </c>
      <c r="D13" s="1" t="s">
        <v>48</v>
      </c>
      <c r="E13" s="2">
        <f t="shared" si="0"/>
        <v>0</v>
      </c>
      <c r="F13" s="2">
        <f t="shared" si="1"/>
        <v>0</v>
      </c>
      <c r="H13" t="s">
        <v>118</v>
      </c>
    </row>
    <row r="23" spans="3:7" x14ac:dyDescent="0.2">
      <c r="C23" s="2">
        <f>SUM(C2:C13)</f>
        <v>-1880.7142857142862</v>
      </c>
      <c r="D23" s="2"/>
      <c r="E23" s="2">
        <f t="shared" ref="E23:F23" si="2">SUM(E2:E13)</f>
        <v>0</v>
      </c>
      <c r="F23" s="2">
        <f t="shared" si="2"/>
        <v>2589.2857142857142</v>
      </c>
      <c r="G23" s="2">
        <f>E23+F23</f>
        <v>2589.2857142857142</v>
      </c>
    </row>
  </sheetData>
  <conditionalFormatting sqref="C1:C1048576">
    <cfRule type="cellIs" dxfId="122" priority="2" operator="lessThan">
      <formula>0</formula>
    </cfRule>
  </conditionalFormatting>
  <conditionalFormatting sqref="C1:C1048576">
    <cfRule type="cellIs" dxfId="121" priority="1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DA98-BE4B-BA49-8E49-13FDDF76F7DE}">
  <dimension ref="A1:H18"/>
  <sheetViews>
    <sheetView workbookViewId="0">
      <selection activeCell="D2" sqref="D1:D2"/>
    </sheetView>
  </sheetViews>
  <sheetFormatPr baseColWidth="10" defaultRowHeight="16" x14ac:dyDescent="0.2"/>
  <cols>
    <col min="1" max="1" width="10.83203125" style="1"/>
    <col min="2" max="2" width="28.6640625" bestFit="1" customWidth="1"/>
    <col min="3" max="6" width="10.83203125" style="2"/>
    <col min="7" max="7" width="10.83203125" style="1"/>
  </cols>
  <sheetData>
    <row r="1" spans="1:8" x14ac:dyDescent="0.2">
      <c r="A1" s="1" t="s">
        <v>20</v>
      </c>
      <c r="B1" t="s">
        <v>0</v>
      </c>
      <c r="C1" s="2" t="s">
        <v>21</v>
      </c>
      <c r="D1" s="2" t="s">
        <v>47</v>
      </c>
      <c r="E1" s="2" t="s">
        <v>110</v>
      </c>
      <c r="F1" s="2" t="s">
        <v>94</v>
      </c>
      <c r="G1" s="1" t="s">
        <v>111</v>
      </c>
      <c r="H1" s="2" t="s">
        <v>48</v>
      </c>
    </row>
    <row r="2" spans="1:8" x14ac:dyDescent="0.2">
      <c r="A2" s="6">
        <v>44676</v>
      </c>
      <c r="B2" t="s">
        <v>95</v>
      </c>
      <c r="C2" s="43">
        <f>509.14*-1</f>
        <v>-509.14</v>
      </c>
      <c r="D2" s="43" t="s">
        <v>48</v>
      </c>
      <c r="E2" s="2">
        <f>IF(C2&gt;0,C2,0)</f>
        <v>0</v>
      </c>
      <c r="F2" s="2">
        <f>ABS(IF(D2="PENDIENTE",C2,0))</f>
        <v>0</v>
      </c>
      <c r="G2" s="2">
        <f t="shared" ref="G2:G8" si="0">IF(C2&lt;0,C2,0)</f>
        <v>-509.14</v>
      </c>
      <c r="H2" s="2">
        <f>ABS(IF(D2="PAGADO",C2,0))</f>
        <v>509.14</v>
      </c>
    </row>
    <row r="3" spans="1:8" x14ac:dyDescent="0.2">
      <c r="A3" s="6">
        <v>44661</v>
      </c>
      <c r="B3" t="s">
        <v>99</v>
      </c>
      <c r="C3" s="43">
        <f>(2200+220)*-1</f>
        <v>-2420</v>
      </c>
      <c r="D3" s="43" t="s">
        <v>48</v>
      </c>
      <c r="E3" s="2">
        <f t="shared" ref="E3:E8" si="1">IF(C3&gt;0,C3,0)</f>
        <v>0</v>
      </c>
      <c r="F3" s="2">
        <f t="shared" ref="F3:F8" si="2">ABS(IF(D3="PENDIENTE",C3,0))</f>
        <v>0</v>
      </c>
      <c r="G3" s="2">
        <f t="shared" si="0"/>
        <v>-2420</v>
      </c>
      <c r="H3" s="2">
        <f t="shared" ref="H3:H8" si="3">ABS(IF(D3="PAGADO",C3,0))</f>
        <v>2420</v>
      </c>
    </row>
    <row r="4" spans="1:8" x14ac:dyDescent="0.2">
      <c r="A4" s="6">
        <v>44658</v>
      </c>
      <c r="B4" t="s">
        <v>100</v>
      </c>
      <c r="C4" s="43">
        <f>1080*-1</f>
        <v>-1080</v>
      </c>
      <c r="D4" s="43" t="s">
        <v>48</v>
      </c>
      <c r="E4" s="2">
        <f t="shared" si="1"/>
        <v>0</v>
      </c>
      <c r="F4" s="2">
        <f t="shared" si="2"/>
        <v>0</v>
      </c>
      <c r="G4" s="2">
        <f t="shared" si="0"/>
        <v>-1080</v>
      </c>
      <c r="H4" s="2">
        <f t="shared" si="3"/>
        <v>1080</v>
      </c>
    </row>
    <row r="5" spans="1:8" x14ac:dyDescent="0.2">
      <c r="A5" s="6">
        <v>44672</v>
      </c>
      <c r="B5" t="s">
        <v>102</v>
      </c>
      <c r="C5" s="43">
        <f>4320*-1</f>
        <v>-4320</v>
      </c>
      <c r="D5" s="43" t="s">
        <v>48</v>
      </c>
      <c r="E5" s="2">
        <f t="shared" si="1"/>
        <v>0</v>
      </c>
      <c r="F5" s="2">
        <f t="shared" si="2"/>
        <v>0</v>
      </c>
      <c r="G5" s="2">
        <f t="shared" si="0"/>
        <v>-4320</v>
      </c>
      <c r="H5" s="2">
        <f t="shared" si="3"/>
        <v>4320</v>
      </c>
    </row>
    <row r="6" spans="1:8" x14ac:dyDescent="0.2">
      <c r="A6" s="6">
        <v>44656</v>
      </c>
      <c r="B6" t="s">
        <v>104</v>
      </c>
      <c r="C6" s="43">
        <v>3740</v>
      </c>
      <c r="D6" s="43" t="s">
        <v>48</v>
      </c>
      <c r="E6" s="2">
        <f t="shared" si="1"/>
        <v>3740</v>
      </c>
      <c r="F6" s="2">
        <f t="shared" si="2"/>
        <v>0</v>
      </c>
      <c r="G6" s="2">
        <f t="shared" si="0"/>
        <v>0</v>
      </c>
      <c r="H6" s="2">
        <f t="shared" si="3"/>
        <v>3740</v>
      </c>
    </row>
    <row r="7" spans="1:8" x14ac:dyDescent="0.2">
      <c r="A7" s="6">
        <v>44681</v>
      </c>
      <c r="B7" t="s">
        <v>120</v>
      </c>
      <c r="C7" s="43">
        <v>3740</v>
      </c>
      <c r="D7" s="43" t="s">
        <v>48</v>
      </c>
      <c r="E7" s="2">
        <f t="shared" si="1"/>
        <v>3740</v>
      </c>
      <c r="F7" s="2">
        <f t="shared" si="2"/>
        <v>0</v>
      </c>
      <c r="G7" s="2">
        <f t="shared" si="0"/>
        <v>0</v>
      </c>
      <c r="H7" s="2">
        <f t="shared" si="3"/>
        <v>3740</v>
      </c>
    </row>
    <row r="8" spans="1:8" x14ac:dyDescent="0.2">
      <c r="A8" s="6">
        <v>44666</v>
      </c>
      <c r="B8" t="s">
        <v>119</v>
      </c>
      <c r="C8" s="43">
        <f>3000/1.12</f>
        <v>2678.5714285714284</v>
      </c>
      <c r="D8" s="43" t="s">
        <v>48</v>
      </c>
      <c r="E8" s="2">
        <f t="shared" si="1"/>
        <v>2678.5714285714284</v>
      </c>
      <c r="F8" s="2">
        <f t="shared" si="2"/>
        <v>0</v>
      </c>
      <c r="G8" s="2">
        <f t="shared" si="0"/>
        <v>0</v>
      </c>
      <c r="H8" s="2">
        <f t="shared" si="3"/>
        <v>2678.5714285714284</v>
      </c>
    </row>
    <row r="9" spans="1:8" x14ac:dyDescent="0.2">
      <c r="C9" s="43"/>
      <c r="D9" s="43"/>
      <c r="G9" s="2"/>
    </row>
    <row r="18" spans="3:8" x14ac:dyDescent="0.2">
      <c r="C18" s="43">
        <f>SUM(C2:C8)</f>
        <v>1829.431428571429</v>
      </c>
      <c r="D18" s="43"/>
      <c r="E18" s="43">
        <f t="shared" ref="E18:H18" si="4">SUM(E2:E8)</f>
        <v>10158.571428571428</v>
      </c>
      <c r="F18" s="43">
        <f t="shared" si="4"/>
        <v>0</v>
      </c>
      <c r="G18" s="43">
        <f t="shared" si="4"/>
        <v>-8329.14</v>
      </c>
      <c r="H18" s="43">
        <f t="shared" si="4"/>
        <v>18487.711428571427</v>
      </c>
    </row>
  </sheetData>
  <conditionalFormatting sqref="C2:D9">
    <cfRule type="cellIs" dxfId="120" priority="3" operator="greaterThanOrEqual">
      <formula>0</formula>
    </cfRule>
    <cfRule type="cellIs" dxfId="119" priority="4" operator="lessThan">
      <formula>0</formula>
    </cfRule>
  </conditionalFormatting>
  <conditionalFormatting sqref="C18:H18">
    <cfRule type="cellIs" dxfId="118" priority="1" operator="greaterThanOrEqual">
      <formula>0</formula>
    </cfRule>
    <cfRule type="cellIs" dxfId="117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D87C-85A8-2F4B-89B1-E6B89D3A8239}">
  <dimension ref="A1:G20"/>
  <sheetViews>
    <sheetView workbookViewId="0">
      <selection activeCell="D2" sqref="D2"/>
    </sheetView>
  </sheetViews>
  <sheetFormatPr baseColWidth="10" defaultRowHeight="16" x14ac:dyDescent="0.2"/>
  <cols>
    <col min="1" max="1" width="10.83203125" style="1"/>
    <col min="2" max="2" width="28.6640625" bestFit="1" customWidth="1"/>
    <col min="3" max="3" width="19.83203125" customWidth="1"/>
    <col min="4" max="4" width="10.83203125" style="2"/>
    <col min="5" max="5" width="11" bestFit="1" customWidth="1"/>
    <col min="6" max="6" width="11.6640625" bestFit="1" customWidth="1"/>
  </cols>
  <sheetData>
    <row r="1" spans="1:6" x14ac:dyDescent="0.2">
      <c r="A1" s="41" t="s">
        <v>20</v>
      </c>
      <c r="B1" s="42" t="s">
        <v>0</v>
      </c>
      <c r="C1" s="2" t="s">
        <v>47</v>
      </c>
      <c r="D1" s="43" t="s">
        <v>21</v>
      </c>
      <c r="E1" s="2" t="s">
        <v>110</v>
      </c>
      <c r="F1" s="1" t="s">
        <v>111</v>
      </c>
    </row>
    <row r="2" spans="1:6" x14ac:dyDescent="0.2">
      <c r="A2" s="44">
        <v>44676</v>
      </c>
      <c r="B2" s="42" t="s">
        <v>96</v>
      </c>
      <c r="C2" s="43" t="s">
        <v>48</v>
      </c>
      <c r="D2" s="43">
        <f>509.14*-1</f>
        <v>-509.14</v>
      </c>
      <c r="E2" s="2">
        <f>IF(D2&gt;0,D2,0)</f>
        <v>0</v>
      </c>
      <c r="F2" s="2">
        <f>IF(D2&lt;0,D2,0)</f>
        <v>-509.14</v>
      </c>
    </row>
    <row r="3" spans="1:6" x14ac:dyDescent="0.2">
      <c r="A3" s="6">
        <v>44711</v>
      </c>
      <c r="B3" t="s">
        <v>97</v>
      </c>
      <c r="C3" s="43" t="s">
        <v>48</v>
      </c>
      <c r="D3" s="43">
        <f>1012.33*-1</f>
        <v>-1012.33</v>
      </c>
      <c r="E3" s="2">
        <f t="shared" ref="E3:E10" si="0">IF(D3&gt;0,D3,0)</f>
        <v>0</v>
      </c>
      <c r="F3" s="2">
        <f t="shared" ref="F3:F10" si="1">IF(D3&lt;0,D3,0)</f>
        <v>-1012.33</v>
      </c>
    </row>
    <row r="4" spans="1:6" x14ac:dyDescent="0.2">
      <c r="A4" s="6">
        <v>44691</v>
      </c>
      <c r="B4" t="s">
        <v>99</v>
      </c>
      <c r="C4" s="43" t="s">
        <v>48</v>
      </c>
      <c r="D4" s="43">
        <f>(2200+220)*-1</f>
        <v>-2420</v>
      </c>
      <c r="E4" s="2">
        <f t="shared" si="0"/>
        <v>0</v>
      </c>
      <c r="F4" s="2">
        <f t="shared" si="1"/>
        <v>-2420</v>
      </c>
    </row>
    <row r="5" spans="1:6" x14ac:dyDescent="0.2">
      <c r="A5" s="6">
        <v>44688</v>
      </c>
      <c r="B5" t="s">
        <v>101</v>
      </c>
      <c r="C5" s="43" t="s">
        <v>48</v>
      </c>
      <c r="D5" s="43">
        <f>1080*-1</f>
        <v>-1080</v>
      </c>
      <c r="E5" s="2">
        <f t="shared" si="0"/>
        <v>0</v>
      </c>
      <c r="F5" s="2">
        <f t="shared" si="1"/>
        <v>-1080</v>
      </c>
    </row>
    <row r="6" spans="1:6" x14ac:dyDescent="0.2">
      <c r="A6" s="6">
        <v>44702</v>
      </c>
      <c r="B6" t="s">
        <v>103</v>
      </c>
      <c r="C6" s="43" t="s">
        <v>48</v>
      </c>
      <c r="D6" s="43">
        <f>2520*-1</f>
        <v>-2520</v>
      </c>
      <c r="E6" s="2">
        <f t="shared" si="0"/>
        <v>0</v>
      </c>
      <c r="F6" s="2">
        <f t="shared" si="1"/>
        <v>-2520</v>
      </c>
    </row>
    <row r="7" spans="1:6" x14ac:dyDescent="0.2">
      <c r="A7" s="6">
        <v>44696</v>
      </c>
      <c r="B7" t="s">
        <v>105</v>
      </c>
      <c r="C7" s="43" t="s">
        <v>48</v>
      </c>
      <c r="D7" s="43">
        <f>3640</f>
        <v>3640</v>
      </c>
      <c r="E7" s="2">
        <f t="shared" si="0"/>
        <v>3640</v>
      </c>
      <c r="F7" s="2">
        <f t="shared" si="1"/>
        <v>0</v>
      </c>
    </row>
    <row r="8" spans="1:6" x14ac:dyDescent="0.2">
      <c r="A8" s="6">
        <v>44712</v>
      </c>
      <c r="B8" t="s">
        <v>106</v>
      </c>
      <c r="C8" s="43" t="s">
        <v>48</v>
      </c>
      <c r="D8" s="43">
        <f>3640</f>
        <v>3640</v>
      </c>
      <c r="E8" s="2">
        <f t="shared" si="0"/>
        <v>3640</v>
      </c>
      <c r="F8" s="2">
        <f t="shared" si="1"/>
        <v>0</v>
      </c>
    </row>
    <row r="9" spans="1:6" x14ac:dyDescent="0.2">
      <c r="A9" s="6">
        <v>44696</v>
      </c>
      <c r="B9" t="s">
        <v>123</v>
      </c>
      <c r="C9" s="43" t="s">
        <v>48</v>
      </c>
      <c r="D9" s="43">
        <v>8100</v>
      </c>
      <c r="E9" s="2">
        <f t="shared" si="0"/>
        <v>8100</v>
      </c>
      <c r="F9" s="2">
        <f t="shared" si="1"/>
        <v>0</v>
      </c>
    </row>
    <row r="10" spans="1:6" x14ac:dyDescent="0.2">
      <c r="A10" s="6">
        <v>44688</v>
      </c>
      <c r="B10" t="s">
        <v>122</v>
      </c>
      <c r="C10" s="43" t="s">
        <v>48</v>
      </c>
      <c r="D10" s="43">
        <f>200*3.7</f>
        <v>740</v>
      </c>
      <c r="E10" s="2">
        <f t="shared" si="0"/>
        <v>740</v>
      </c>
      <c r="F10" s="2">
        <f t="shared" si="1"/>
        <v>0</v>
      </c>
    </row>
    <row r="20" spans="4:7" x14ac:dyDescent="0.2">
      <c r="D20" s="43">
        <f>SUM(D2:D19)</f>
        <v>8578.5299999999988</v>
      </c>
      <c r="E20" s="43">
        <f t="shared" ref="E20:F20" si="2">SUM(E2:E19)</f>
        <v>16120</v>
      </c>
      <c r="F20" s="43">
        <f t="shared" si="2"/>
        <v>-7541.47</v>
      </c>
      <c r="G20" s="40"/>
    </row>
  </sheetData>
  <conditionalFormatting sqref="D2:D10">
    <cfRule type="cellIs" dxfId="116" priority="6" operator="greaterThanOrEqual">
      <formula>0</formula>
    </cfRule>
    <cfRule type="cellIs" dxfId="115" priority="7" operator="lessThan">
      <formula>0</formula>
    </cfRule>
  </conditionalFormatting>
  <conditionalFormatting sqref="D20:F20">
    <cfRule type="cellIs" dxfId="114" priority="4" operator="greaterThanOrEqual">
      <formula>0</formula>
    </cfRule>
    <cfRule type="cellIs" dxfId="113" priority="5" operator="lessThan">
      <formula>0</formula>
    </cfRule>
  </conditionalFormatting>
  <conditionalFormatting sqref="C2:C10">
    <cfRule type="cellIs" dxfId="112" priority="2" operator="greaterThanOrEqual">
      <formula>0</formula>
    </cfRule>
    <cfRule type="cellIs" dxfId="111" priority="3" operator="lessThan">
      <formula>0</formula>
    </cfRule>
  </conditionalFormatting>
  <conditionalFormatting sqref="C2:C10">
    <cfRule type="cellIs" dxfId="110" priority="1" operator="equal">
      <formula>"PENDIENTE"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63C2-8161-4548-8FD3-1168D481E7D5}">
  <dimension ref="A1:J21"/>
  <sheetViews>
    <sheetView workbookViewId="0">
      <selection activeCell="D5" sqref="D5"/>
    </sheetView>
  </sheetViews>
  <sheetFormatPr baseColWidth="10" defaultRowHeight="16" x14ac:dyDescent="0.2"/>
  <cols>
    <col min="1" max="1" width="10.83203125" style="1"/>
    <col min="2" max="2" width="28.6640625" bestFit="1" customWidth="1"/>
    <col min="3" max="3" width="19.83203125" customWidth="1"/>
    <col min="4" max="4" width="10.83203125" style="2"/>
    <col min="5" max="5" width="11" bestFit="1" customWidth="1"/>
    <col min="6" max="6" width="11.6640625" bestFit="1" customWidth="1"/>
    <col min="7" max="7" width="16.33203125" style="56" bestFit="1" customWidth="1"/>
    <col min="8" max="8" width="11.83203125" bestFit="1" customWidth="1"/>
    <col min="9" max="9" width="13.5" bestFit="1" customWidth="1"/>
  </cols>
  <sheetData>
    <row r="1" spans="1:10" x14ac:dyDescent="0.2">
      <c r="A1" s="41" t="s">
        <v>20</v>
      </c>
      <c r="B1" s="42" t="s">
        <v>0</v>
      </c>
      <c r="C1" s="2" t="s">
        <v>47</v>
      </c>
      <c r="D1" s="43" t="s">
        <v>21</v>
      </c>
      <c r="E1" s="2" t="s">
        <v>110</v>
      </c>
      <c r="F1" s="1" t="s">
        <v>111</v>
      </c>
      <c r="G1" s="56" t="s">
        <v>150</v>
      </c>
      <c r="I1" t="s">
        <v>149</v>
      </c>
      <c r="J1" s="55">
        <f ca="1">TODAY()</f>
        <v>44803</v>
      </c>
    </row>
    <row r="2" spans="1:10" x14ac:dyDescent="0.2">
      <c r="A2" s="44">
        <v>44706</v>
      </c>
      <c r="B2" s="42" t="s">
        <v>129</v>
      </c>
      <c r="C2" s="43" t="s">
        <v>48</v>
      </c>
      <c r="D2" s="43">
        <f>509.14*-1</f>
        <v>-509.14</v>
      </c>
      <c r="E2" s="2">
        <f t="shared" ref="E2:E9" si="0">IF(D2&gt;0,D2,0)</f>
        <v>0</v>
      </c>
      <c r="F2" s="2">
        <f t="shared" ref="F2:F9" si="1">IF(D2&lt;0,D2,0)</f>
        <v>-509.14</v>
      </c>
      <c r="G2" s="56" t="str">
        <f>_xlfn.CONCAT(IF(C2="PAGADO","0",A2-$J$1)," días")</f>
        <v>0 días</v>
      </c>
      <c r="H2" t="str">
        <f>IF(C2="PEDIENTE",IF(A2-$J$1&lt;0,"VENCIDO",""),"")</f>
        <v/>
      </c>
    </row>
    <row r="3" spans="1:10" x14ac:dyDescent="0.2">
      <c r="A3" s="6">
        <v>44719</v>
      </c>
      <c r="B3" t="s">
        <v>122</v>
      </c>
      <c r="C3" s="43" t="s">
        <v>48</v>
      </c>
      <c r="D3" s="43">
        <f>400*3.7</f>
        <v>1480</v>
      </c>
      <c r="E3" s="2">
        <f t="shared" si="0"/>
        <v>1480</v>
      </c>
      <c r="F3" s="2">
        <f t="shared" si="1"/>
        <v>0</v>
      </c>
      <c r="G3" s="56" t="str">
        <f t="shared" ref="G3:G15" si="2">_xlfn.CONCAT(IF(C3="PAGADO","0",A3-$J$1)," días")</f>
        <v>0 días</v>
      </c>
      <c r="H3" t="str">
        <f t="shared" ref="H3:H15" si="3">IF(C3="PEDIENTE",IF(A3-$J$1&lt;0,"VENCIDO",""),"")</f>
        <v/>
      </c>
    </row>
    <row r="4" spans="1:10" x14ac:dyDescent="0.2">
      <c r="A4" s="6">
        <v>44719</v>
      </c>
      <c r="B4" t="s">
        <v>143</v>
      </c>
      <c r="C4" s="43" t="s">
        <v>48</v>
      </c>
      <c r="D4" s="43">
        <f>(1080*2)*-1</f>
        <v>-2160</v>
      </c>
      <c r="E4" s="2">
        <f t="shared" si="0"/>
        <v>0</v>
      </c>
      <c r="F4" s="2">
        <f t="shared" si="1"/>
        <v>-2160</v>
      </c>
      <c r="G4" s="56" t="str">
        <f t="shared" si="2"/>
        <v>0 días</v>
      </c>
      <c r="H4" t="str">
        <f t="shared" si="3"/>
        <v/>
      </c>
    </row>
    <row r="5" spans="1:10" x14ac:dyDescent="0.2">
      <c r="A5" s="6">
        <v>44722</v>
      </c>
      <c r="B5" t="s">
        <v>99</v>
      </c>
      <c r="C5" s="43" t="s">
        <v>48</v>
      </c>
      <c r="D5" s="43">
        <f>(2200+220)*-1</f>
        <v>-2420</v>
      </c>
      <c r="E5" s="2">
        <f t="shared" si="0"/>
        <v>0</v>
      </c>
      <c r="F5" s="2">
        <f t="shared" si="1"/>
        <v>-2420</v>
      </c>
      <c r="G5" s="56" t="str">
        <f t="shared" si="2"/>
        <v>0 días</v>
      </c>
      <c r="H5" t="str">
        <f t="shared" si="3"/>
        <v/>
      </c>
    </row>
    <row r="6" spans="1:10" x14ac:dyDescent="0.2">
      <c r="A6" s="6">
        <v>44727</v>
      </c>
      <c r="B6" t="s">
        <v>126</v>
      </c>
      <c r="C6" s="43" t="s">
        <v>48</v>
      </c>
      <c r="D6" s="43">
        <f>3532</f>
        <v>3532</v>
      </c>
      <c r="E6" s="2">
        <f t="shared" si="0"/>
        <v>3532</v>
      </c>
      <c r="F6" s="2">
        <f t="shared" si="1"/>
        <v>0</v>
      </c>
      <c r="G6" s="56" t="str">
        <f t="shared" si="2"/>
        <v>0 días</v>
      </c>
      <c r="H6" t="str">
        <f t="shared" si="3"/>
        <v/>
      </c>
    </row>
    <row r="7" spans="1:10" x14ac:dyDescent="0.2">
      <c r="A7" s="6">
        <v>44727</v>
      </c>
      <c r="B7" t="s">
        <v>123</v>
      </c>
      <c r="C7" s="43" t="s">
        <v>48</v>
      </c>
      <c r="D7" s="43">
        <v>2809</v>
      </c>
      <c r="E7" s="2">
        <f t="shared" si="0"/>
        <v>2809</v>
      </c>
      <c r="F7" s="2">
        <f t="shared" si="1"/>
        <v>0</v>
      </c>
      <c r="G7" s="56" t="str">
        <f t="shared" si="2"/>
        <v>0 días</v>
      </c>
      <c r="H7" t="str">
        <f t="shared" si="3"/>
        <v/>
      </c>
    </row>
    <row r="8" spans="1:10" x14ac:dyDescent="0.2">
      <c r="A8" s="6">
        <v>44730</v>
      </c>
      <c r="B8" s="59" t="s">
        <v>152</v>
      </c>
      <c r="C8" s="43" t="s">
        <v>48</v>
      </c>
      <c r="D8" s="43">
        <f>-185*3.7</f>
        <v>-684.5</v>
      </c>
      <c r="E8" s="2">
        <f>IF(D8&gt;0,D8,0)</f>
        <v>0</v>
      </c>
      <c r="F8" s="2">
        <f>IF(D8&lt;0,D8,0)</f>
        <v>-684.5</v>
      </c>
      <c r="G8" s="56" t="str">
        <f>_xlfn.CONCAT(IF(C8="PAGADO","0",A8-$J$1)," días")</f>
        <v>0 días</v>
      </c>
      <c r="H8" t="str">
        <f t="shared" si="3"/>
        <v/>
      </c>
    </row>
    <row r="9" spans="1:10" x14ac:dyDescent="0.2">
      <c r="A9" s="6">
        <v>44733</v>
      </c>
      <c r="B9" s="38" t="s">
        <v>127</v>
      </c>
      <c r="C9" s="43" t="s">
        <v>48</v>
      </c>
      <c r="D9" s="43">
        <f>2826*-1</f>
        <v>-2826</v>
      </c>
      <c r="E9" s="2">
        <f t="shared" si="0"/>
        <v>0</v>
      </c>
      <c r="F9" s="2">
        <f t="shared" si="1"/>
        <v>-2826</v>
      </c>
      <c r="G9" s="56" t="str">
        <f t="shared" si="2"/>
        <v>0 días</v>
      </c>
      <c r="H9" t="str">
        <f t="shared" si="3"/>
        <v/>
      </c>
    </row>
    <row r="10" spans="1:10" x14ac:dyDescent="0.2">
      <c r="A10" s="44">
        <v>44737</v>
      </c>
      <c r="B10" s="58" t="s">
        <v>130</v>
      </c>
      <c r="C10" s="43" t="s">
        <v>48</v>
      </c>
      <c r="D10" s="43">
        <f>509.14*-1</f>
        <v>-509.14</v>
      </c>
      <c r="E10" s="2">
        <f t="shared" ref="E10:E15" si="4">IF(D10&gt;0,D10,0)</f>
        <v>0</v>
      </c>
      <c r="F10" s="2">
        <f t="shared" ref="F10:F15" si="5">IF(D10&lt;0,D10,0)</f>
        <v>-509.14</v>
      </c>
      <c r="G10" s="56" t="str">
        <f t="shared" si="2"/>
        <v>0 días</v>
      </c>
      <c r="H10" t="str">
        <f t="shared" si="3"/>
        <v/>
      </c>
    </row>
    <row r="11" spans="1:10" x14ac:dyDescent="0.2">
      <c r="A11" s="6">
        <v>44742</v>
      </c>
      <c r="B11" t="s">
        <v>125</v>
      </c>
      <c r="C11" s="43" t="s">
        <v>48</v>
      </c>
      <c r="D11" s="43">
        <f>3746</f>
        <v>3746</v>
      </c>
      <c r="E11" s="2">
        <f t="shared" si="4"/>
        <v>3746</v>
      </c>
      <c r="F11" s="2">
        <f t="shared" si="5"/>
        <v>0</v>
      </c>
      <c r="G11" s="56" t="str">
        <f t="shared" si="2"/>
        <v>0 días</v>
      </c>
      <c r="H11" t="str">
        <f t="shared" si="3"/>
        <v/>
      </c>
    </row>
    <row r="12" spans="1:10" x14ac:dyDescent="0.2">
      <c r="A12" s="6">
        <v>44742</v>
      </c>
      <c r="B12" s="38" t="s">
        <v>128</v>
      </c>
      <c r="C12" s="43" t="s">
        <v>48</v>
      </c>
      <c r="D12" s="43">
        <f>1012.33*-1</f>
        <v>-1012.33</v>
      </c>
      <c r="E12" s="2">
        <f t="shared" si="4"/>
        <v>0</v>
      </c>
      <c r="F12" s="2">
        <f t="shared" si="5"/>
        <v>-1012.33</v>
      </c>
      <c r="G12" s="56" t="str">
        <f t="shared" si="2"/>
        <v>0 días</v>
      </c>
      <c r="H12" t="str">
        <f t="shared" si="3"/>
        <v/>
      </c>
    </row>
    <row r="13" spans="1:10" x14ac:dyDescent="0.2">
      <c r="A13" s="6">
        <v>44742</v>
      </c>
      <c r="B13" s="38" t="s">
        <v>148</v>
      </c>
      <c r="C13" s="43" t="s">
        <v>48</v>
      </c>
      <c r="D13" s="43">
        <f>485*-1</f>
        <v>-485</v>
      </c>
      <c r="E13" s="2">
        <f t="shared" si="4"/>
        <v>0</v>
      </c>
      <c r="F13" s="2">
        <f t="shared" si="5"/>
        <v>-485</v>
      </c>
      <c r="G13" s="56" t="str">
        <f t="shared" si="2"/>
        <v>0 días</v>
      </c>
      <c r="H13" t="str">
        <f t="shared" si="3"/>
        <v/>
      </c>
    </row>
    <row r="14" spans="1:10" x14ac:dyDescent="0.2">
      <c r="A14" s="6">
        <v>44742</v>
      </c>
      <c r="B14" s="38" t="s">
        <v>154</v>
      </c>
      <c r="C14" s="43" t="s">
        <v>48</v>
      </c>
      <c r="D14" s="43">
        <f>-3000</f>
        <v>-3000</v>
      </c>
      <c r="E14" s="2">
        <f t="shared" si="4"/>
        <v>0</v>
      </c>
      <c r="F14" s="2">
        <f t="shared" si="5"/>
        <v>-3000</v>
      </c>
      <c r="G14" s="56" t="str">
        <f t="shared" si="2"/>
        <v>0 días</v>
      </c>
      <c r="H14" t="str">
        <f t="shared" si="3"/>
        <v/>
      </c>
    </row>
    <row r="15" spans="1:10" x14ac:dyDescent="0.2">
      <c r="A15" s="6">
        <v>44742</v>
      </c>
      <c r="B15" s="38" t="s">
        <v>155</v>
      </c>
      <c r="C15" s="43" t="s">
        <v>48</v>
      </c>
      <c r="D15" s="43">
        <v>3000</v>
      </c>
      <c r="E15" s="2">
        <f t="shared" si="4"/>
        <v>3000</v>
      </c>
      <c r="F15" s="2">
        <f t="shared" si="5"/>
        <v>0</v>
      </c>
      <c r="G15" s="56" t="str">
        <f t="shared" si="2"/>
        <v>0 días</v>
      </c>
      <c r="H15" t="str">
        <f t="shared" si="3"/>
        <v/>
      </c>
    </row>
    <row r="21" spans="4:8" x14ac:dyDescent="0.2">
      <c r="D21" s="43">
        <f>SUM(D2:D20)</f>
        <v>960.89000000000033</v>
      </c>
      <c r="E21" s="43">
        <f t="shared" ref="E21:F21" si="6">SUM(E2:E20)</f>
        <v>14567</v>
      </c>
      <c r="F21" s="43">
        <f t="shared" si="6"/>
        <v>-13606.109999999999</v>
      </c>
      <c r="G21" s="57"/>
      <c r="H21" s="40"/>
    </row>
  </sheetData>
  <conditionalFormatting sqref="C11:D13 C2:D9 C14:C15">
    <cfRule type="cellIs" dxfId="109" priority="13" operator="greaterThanOrEqual">
      <formula>0</formula>
    </cfRule>
    <cfRule type="cellIs" dxfId="108" priority="14" operator="lessThan">
      <formula>0</formula>
    </cfRule>
  </conditionalFormatting>
  <conditionalFormatting sqref="D21:G21">
    <cfRule type="cellIs" dxfId="107" priority="11" operator="greaterThanOrEqual">
      <formula>0</formula>
    </cfRule>
    <cfRule type="cellIs" dxfId="106" priority="12" operator="lessThan">
      <formula>0</formula>
    </cfRule>
  </conditionalFormatting>
  <conditionalFormatting sqref="C2:C9 C11:C15">
    <cfRule type="cellIs" dxfId="105" priority="8" operator="equal">
      <formula>"PENDIENTE"</formula>
    </cfRule>
  </conditionalFormatting>
  <conditionalFormatting sqref="C10:D10">
    <cfRule type="cellIs" dxfId="104" priority="6" operator="greaterThanOrEqual">
      <formula>0</formula>
    </cfRule>
    <cfRule type="cellIs" dxfId="103" priority="7" operator="lessThan">
      <formula>0</formula>
    </cfRule>
  </conditionalFormatting>
  <conditionalFormatting sqref="C10">
    <cfRule type="cellIs" dxfId="102" priority="5" operator="equal">
      <formula>"PENDIENTE"</formula>
    </cfRule>
  </conditionalFormatting>
  <conditionalFormatting sqref="G2:G13">
    <cfRule type="cellIs" dxfId="101" priority="4" operator="between">
      <formula>1</formula>
      <formula>6</formula>
    </cfRule>
  </conditionalFormatting>
  <conditionalFormatting sqref="G2:G13">
    <cfRule type="cellIs" dxfId="100" priority="3" operator="between">
      <formula>1</formula>
      <formula>6</formula>
    </cfRule>
  </conditionalFormatting>
  <conditionalFormatting sqref="D14:D15">
    <cfRule type="cellIs" dxfId="99" priority="1" operator="greaterThanOrEqual">
      <formula>0</formula>
    </cfRule>
    <cfRule type="cellIs" dxfId="98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984D-9939-4641-AEFA-ABCDE5060672}">
  <dimension ref="A1:Q30"/>
  <sheetViews>
    <sheetView workbookViewId="0">
      <selection activeCell="B9" sqref="B9:D9"/>
    </sheetView>
  </sheetViews>
  <sheetFormatPr baseColWidth="10" defaultRowHeight="16" x14ac:dyDescent="0.2"/>
  <cols>
    <col min="1" max="1" width="10.83203125" style="1"/>
    <col min="2" max="2" width="40.83203125" bestFit="1" customWidth="1"/>
    <col min="3" max="3" width="19.83203125" customWidth="1"/>
    <col min="4" max="4" width="10.83203125" style="2"/>
    <col min="5" max="5" width="11" bestFit="1" customWidth="1"/>
    <col min="6" max="6" width="11.6640625" bestFit="1" customWidth="1"/>
    <col min="7" max="7" width="13" customWidth="1"/>
    <col min="9" max="9" width="13.5" bestFit="1" customWidth="1"/>
    <col min="12" max="12" width="29.5" bestFit="1" customWidth="1"/>
  </cols>
  <sheetData>
    <row r="1" spans="1:17" x14ac:dyDescent="0.2">
      <c r="A1" s="41" t="s">
        <v>20</v>
      </c>
      <c r="B1" s="42" t="s">
        <v>0</v>
      </c>
      <c r="C1" s="2" t="s">
        <v>47</v>
      </c>
      <c r="D1" s="43" t="s">
        <v>21</v>
      </c>
      <c r="E1" s="2" t="s">
        <v>110</v>
      </c>
      <c r="F1" s="1" t="s">
        <v>111</v>
      </c>
      <c r="G1" s="56" t="s">
        <v>150</v>
      </c>
      <c r="I1" t="s">
        <v>149</v>
      </c>
      <c r="J1" s="55">
        <f ca="1">TODAY()</f>
        <v>44803</v>
      </c>
    </row>
    <row r="2" spans="1:17" x14ac:dyDescent="0.2">
      <c r="A2" s="6">
        <v>44747</v>
      </c>
      <c r="B2" s="38" t="s">
        <v>147</v>
      </c>
      <c r="C2" s="43" t="s">
        <v>48</v>
      </c>
      <c r="D2" s="43">
        <f>3964*-1</f>
        <v>-3964</v>
      </c>
      <c r="E2" s="2">
        <f>IF(D2&gt;0,D2,0)</f>
        <v>0</v>
      </c>
      <c r="F2" s="2">
        <f>IF(D2&lt;0,D2,0)</f>
        <v>-3964</v>
      </c>
      <c r="G2" s="56" t="str">
        <f>_xlfn.CONCAT(IF(C2="PAGADO","0",A2-$J$1)," días")</f>
        <v>0 días</v>
      </c>
    </row>
    <row r="3" spans="1:17" x14ac:dyDescent="0.2">
      <c r="A3" s="6">
        <v>44747</v>
      </c>
      <c r="B3" s="38" t="s">
        <v>159</v>
      </c>
      <c r="C3" s="43" t="s">
        <v>48</v>
      </c>
      <c r="D3" s="43">
        <f>-6623.77-608</f>
        <v>-7231.77</v>
      </c>
      <c r="E3" s="2">
        <f>IF(D3&gt;0,D3,0)</f>
        <v>0</v>
      </c>
      <c r="F3" s="2">
        <f>IF(D3&lt;0,D3,0)</f>
        <v>-7231.77</v>
      </c>
      <c r="G3" s="56" t="str">
        <f>_xlfn.CONCAT(IF(C3="PAGADO","0",A3-$J$1)," días")</f>
        <v>0 días</v>
      </c>
      <c r="I3" s="40"/>
    </row>
    <row r="4" spans="1:17" x14ac:dyDescent="0.2">
      <c r="A4" s="6">
        <v>44749</v>
      </c>
      <c r="B4" s="38" t="s">
        <v>153</v>
      </c>
      <c r="C4" s="43" t="s">
        <v>48</v>
      </c>
      <c r="D4" s="43">
        <f>-4258.08</f>
        <v>-4258.08</v>
      </c>
      <c r="E4" s="2">
        <f>IF(D4&gt;0,D4,0)</f>
        <v>0</v>
      </c>
      <c r="F4" s="2">
        <f>IF(D4&lt;0,D4,0)</f>
        <v>-4258.08</v>
      </c>
      <c r="G4" s="56" t="str">
        <f>_xlfn.CONCAT(IF(C4="PAGADO","0",A4-$J$1)," días")</f>
        <v>0 días</v>
      </c>
    </row>
    <row r="5" spans="1:17" x14ac:dyDescent="0.2">
      <c r="A5" s="6">
        <v>44749</v>
      </c>
      <c r="B5" t="s">
        <v>151</v>
      </c>
      <c r="C5" s="43" t="s">
        <v>48</v>
      </c>
      <c r="D5" s="43">
        <f>(190*3.7)+(110*3.7)</f>
        <v>1110</v>
      </c>
      <c r="E5" s="2">
        <f t="shared" ref="E5" si="0">IF(D5&gt;0,D5,0)</f>
        <v>1110</v>
      </c>
      <c r="F5" s="2">
        <f t="shared" ref="F5" si="1">IF(D5&lt;0,D5,0)</f>
        <v>0</v>
      </c>
      <c r="G5" s="56" t="str">
        <f t="shared" ref="G5:G14" si="2">_xlfn.CONCAT(IF(C5="PAGADO","0",A5-$J$1)," días")</f>
        <v>0 días</v>
      </c>
    </row>
    <row r="6" spans="1:17" x14ac:dyDescent="0.2">
      <c r="A6" s="6">
        <v>44749</v>
      </c>
      <c r="B6" t="s">
        <v>122</v>
      </c>
      <c r="C6" s="43" t="s">
        <v>48</v>
      </c>
      <c r="D6" s="43">
        <f>(400*3.7)/2</f>
        <v>740</v>
      </c>
      <c r="E6" s="2">
        <f t="shared" ref="E6" si="3">IF(D6&gt;0,D6,0)</f>
        <v>740</v>
      </c>
      <c r="F6" s="2">
        <f t="shared" ref="F6" si="4">IF(D6&lt;0,D6,0)</f>
        <v>0</v>
      </c>
      <c r="G6" s="56" t="str">
        <f t="shared" si="2"/>
        <v>0 días</v>
      </c>
    </row>
    <row r="7" spans="1:17" x14ac:dyDescent="0.2">
      <c r="A7" s="6">
        <v>44750</v>
      </c>
      <c r="B7" t="s">
        <v>123</v>
      </c>
      <c r="C7" s="43" t="s">
        <v>48</v>
      </c>
      <c r="D7" s="43">
        <v>7739</v>
      </c>
      <c r="E7" s="2">
        <f>IF(D7&gt;0,D7,0)</f>
        <v>7739</v>
      </c>
      <c r="F7" s="2">
        <f>IF(D7&lt;0,D7,0)</f>
        <v>0</v>
      </c>
      <c r="G7" s="56" t="str">
        <f>_xlfn.CONCAT(IF(C7="PAGADO","0",A7-$J$1)," días")</f>
        <v>0 días</v>
      </c>
    </row>
    <row r="8" spans="1:17" x14ac:dyDescent="0.2">
      <c r="A8" s="6">
        <v>44752</v>
      </c>
      <c r="B8" t="s">
        <v>99</v>
      </c>
      <c r="C8" s="43" t="s">
        <v>48</v>
      </c>
      <c r="D8" s="43">
        <f>(2200+220)*-1</f>
        <v>-2420</v>
      </c>
      <c r="E8" s="2">
        <f t="shared" ref="E8:E20" si="5">IF(D8&gt;0,D8,0)</f>
        <v>0</v>
      </c>
      <c r="F8" s="2">
        <f t="shared" ref="F8:F20" si="6">IF(D8&lt;0,D8,0)</f>
        <v>-2420</v>
      </c>
      <c r="G8" s="56" t="str">
        <f t="shared" si="2"/>
        <v>0 días</v>
      </c>
    </row>
    <row r="9" spans="1:17" x14ac:dyDescent="0.2">
      <c r="A9" s="6">
        <v>44755</v>
      </c>
      <c r="B9" t="s">
        <v>162</v>
      </c>
      <c r="C9" s="43" t="s">
        <v>48</v>
      </c>
      <c r="D9" s="43">
        <f>(1000/1.18)</f>
        <v>847.45762711864415</v>
      </c>
      <c r="E9" s="2">
        <f t="shared" ref="E9:E10" si="7">IF(D9&gt;0,D9,0)</f>
        <v>847.45762711864415</v>
      </c>
      <c r="F9" s="2">
        <f t="shared" ref="F9:F10" si="8">IF(D9&lt;0,D9,0)</f>
        <v>0</v>
      </c>
      <c r="G9" s="56" t="str">
        <f t="shared" ref="G9:G10" si="9">_xlfn.CONCAT(IF(C9="PAGADO","0",A9-$J$1)," días")</f>
        <v>0 días</v>
      </c>
    </row>
    <row r="10" spans="1:17" x14ac:dyDescent="0.2">
      <c r="A10" s="6">
        <v>44756</v>
      </c>
      <c r="B10" t="s">
        <v>163</v>
      </c>
      <c r="C10" s="43" t="s">
        <v>48</v>
      </c>
      <c r="D10" s="43">
        <f>3000*-1</f>
        <v>-3000</v>
      </c>
      <c r="E10" s="2">
        <f t="shared" si="7"/>
        <v>0</v>
      </c>
      <c r="F10" s="2">
        <f t="shared" si="8"/>
        <v>-3000</v>
      </c>
      <c r="G10" s="56" t="str">
        <f t="shared" si="9"/>
        <v>0 días</v>
      </c>
    </row>
    <row r="11" spans="1:17" x14ac:dyDescent="0.2">
      <c r="A11" s="6">
        <v>44757</v>
      </c>
      <c r="B11" t="s">
        <v>158</v>
      </c>
      <c r="C11" s="43" t="s">
        <v>48</v>
      </c>
      <c r="D11" s="43">
        <f>1000*-1</f>
        <v>-1000</v>
      </c>
      <c r="E11" s="2">
        <f t="shared" si="5"/>
        <v>0</v>
      </c>
      <c r="F11" s="2">
        <f t="shared" si="6"/>
        <v>-1000</v>
      </c>
      <c r="G11" s="56" t="str">
        <f t="shared" si="2"/>
        <v>0 días</v>
      </c>
    </row>
    <row r="12" spans="1:17" x14ac:dyDescent="0.2">
      <c r="A12" s="6">
        <v>44757</v>
      </c>
      <c r="B12" t="s">
        <v>126</v>
      </c>
      <c r="C12" s="43" t="s">
        <v>48</v>
      </c>
      <c r="D12" s="43">
        <f>4500</f>
        <v>4500</v>
      </c>
      <c r="E12" s="2">
        <f t="shared" si="5"/>
        <v>4500</v>
      </c>
      <c r="F12" s="2">
        <f t="shared" si="6"/>
        <v>0</v>
      </c>
      <c r="G12" s="56" t="str">
        <f t="shared" si="2"/>
        <v>0 días</v>
      </c>
    </row>
    <row r="13" spans="1:17" x14ac:dyDescent="0.2">
      <c r="A13" s="6">
        <v>44757</v>
      </c>
      <c r="B13" t="s">
        <v>145</v>
      </c>
      <c r="C13" s="43" t="s">
        <v>48</v>
      </c>
      <c r="D13" s="43">
        <v>11200</v>
      </c>
      <c r="E13" s="2">
        <f t="shared" si="5"/>
        <v>11200</v>
      </c>
      <c r="F13" s="2">
        <f t="shared" si="6"/>
        <v>0</v>
      </c>
      <c r="G13" s="56" t="str">
        <f t="shared" si="2"/>
        <v>0 días</v>
      </c>
    </row>
    <row r="14" spans="1:17" x14ac:dyDescent="0.2">
      <c r="A14" s="6">
        <v>44759</v>
      </c>
      <c r="B14" t="s">
        <v>144</v>
      </c>
      <c r="C14" s="43" t="s">
        <v>48</v>
      </c>
      <c r="D14" s="43">
        <f>18400/4</f>
        <v>4600</v>
      </c>
      <c r="E14" s="2">
        <f t="shared" si="5"/>
        <v>4600</v>
      </c>
      <c r="F14" s="2">
        <f t="shared" si="6"/>
        <v>0</v>
      </c>
      <c r="G14" s="56" t="str">
        <f t="shared" si="2"/>
        <v>0 días</v>
      </c>
    </row>
    <row r="15" spans="1:17" x14ac:dyDescent="0.2">
      <c r="K15" s="6">
        <v>44752</v>
      </c>
      <c r="L15" t="s">
        <v>146</v>
      </c>
      <c r="M15" s="43" t="s">
        <v>94</v>
      </c>
      <c r="N15" s="43">
        <f>((4800*0.4)-4800)*-1/2</f>
        <v>1440</v>
      </c>
      <c r="O15" s="2">
        <f>IF(N15&gt;0,N15,0)</f>
        <v>1440</v>
      </c>
      <c r="P15" s="2">
        <f>IF(N15&lt;0,N15,0)</f>
        <v>0</v>
      </c>
      <c r="Q15" s="56" t="str">
        <f ca="1">_xlfn.CONCAT(IF(M15="PAGADO","0",K15-$J$1)," días")</f>
        <v>-51 días</v>
      </c>
    </row>
    <row r="16" spans="1:17" x14ac:dyDescent="0.2">
      <c r="A16" s="6">
        <v>44763</v>
      </c>
      <c r="B16" s="38" t="s">
        <v>167</v>
      </c>
      <c r="C16" s="43" t="s">
        <v>48</v>
      </c>
      <c r="D16" s="43">
        <f>6976.01*-1</f>
        <v>-6976.01</v>
      </c>
      <c r="E16" s="2">
        <f t="shared" ref="E16" si="10">IF(D16&gt;0,D16,0)</f>
        <v>0</v>
      </c>
      <c r="F16" s="2">
        <f t="shared" ref="F16" si="11">IF(D16&lt;0,D16,0)</f>
        <v>-6976.01</v>
      </c>
      <c r="G16" s="56" t="str">
        <f t="shared" ref="G16:G23" si="12">_xlfn.CONCAT(IF(C16="PAGADO","0",A16-$J$1)," días")</f>
        <v>0 días</v>
      </c>
      <c r="K16" s="6"/>
      <c r="M16" s="43"/>
      <c r="N16" s="43"/>
      <c r="O16" s="2"/>
      <c r="P16" s="2"/>
      <c r="Q16" s="56"/>
    </row>
    <row r="17" spans="1:12" x14ac:dyDescent="0.2">
      <c r="A17" s="6">
        <v>44763</v>
      </c>
      <c r="B17" s="38" t="s">
        <v>132</v>
      </c>
      <c r="C17" s="43" t="s">
        <v>48</v>
      </c>
      <c r="D17" s="43">
        <f>2826*-1</f>
        <v>-2826</v>
      </c>
      <c r="E17" s="2">
        <f t="shared" si="5"/>
        <v>0</v>
      </c>
      <c r="F17" s="2">
        <f t="shared" si="6"/>
        <v>-2826</v>
      </c>
      <c r="G17" s="56" t="str">
        <f t="shared" si="12"/>
        <v>0 días</v>
      </c>
    </row>
    <row r="18" spans="1:12" x14ac:dyDescent="0.2">
      <c r="A18" s="44">
        <v>44767</v>
      </c>
      <c r="B18" s="58" t="s">
        <v>133</v>
      </c>
      <c r="C18" s="43" t="s">
        <v>48</v>
      </c>
      <c r="D18" s="43">
        <f>509.14*-1</f>
        <v>-509.14</v>
      </c>
      <c r="E18" s="2">
        <f t="shared" si="5"/>
        <v>0</v>
      </c>
      <c r="F18" s="2">
        <f t="shared" si="6"/>
        <v>-509.14</v>
      </c>
      <c r="G18" s="56" t="str">
        <f t="shared" si="12"/>
        <v>0 días</v>
      </c>
    </row>
    <row r="19" spans="1:12" x14ac:dyDescent="0.2">
      <c r="A19" s="6">
        <v>44772</v>
      </c>
      <c r="B19" t="s">
        <v>125</v>
      </c>
      <c r="C19" s="43" t="s">
        <v>94</v>
      </c>
      <c r="D19" s="43">
        <f>7480-4500</f>
        <v>2980</v>
      </c>
      <c r="E19" s="2">
        <f t="shared" si="5"/>
        <v>2980</v>
      </c>
      <c r="F19" s="2">
        <f t="shared" si="6"/>
        <v>0</v>
      </c>
      <c r="G19" s="56" t="str">
        <f t="shared" ca="1" si="12"/>
        <v>-31 días</v>
      </c>
    </row>
    <row r="20" spans="1:12" x14ac:dyDescent="0.2">
      <c r="A20" s="6">
        <v>44772</v>
      </c>
      <c r="B20" s="38" t="s">
        <v>131</v>
      </c>
      <c r="C20" s="43" t="s">
        <v>48</v>
      </c>
      <c r="D20" s="43">
        <f>1012.33*-1</f>
        <v>-1012.33</v>
      </c>
      <c r="E20" s="2">
        <f t="shared" si="5"/>
        <v>0</v>
      </c>
      <c r="F20" s="2">
        <f t="shared" si="6"/>
        <v>-1012.33</v>
      </c>
      <c r="G20" s="56" t="str">
        <f t="shared" si="12"/>
        <v>0 días</v>
      </c>
    </row>
    <row r="21" spans="1:12" x14ac:dyDescent="0.2">
      <c r="A21" s="6">
        <v>44772</v>
      </c>
      <c r="B21" t="s">
        <v>160</v>
      </c>
      <c r="C21" s="43" t="s">
        <v>48</v>
      </c>
      <c r="D21" s="43">
        <f>(900/1.18)</f>
        <v>762.71186440677968</v>
      </c>
      <c r="E21" s="2">
        <f t="shared" ref="E21:E22" si="13">IF(D21&gt;0,D21,0)</f>
        <v>762.71186440677968</v>
      </c>
      <c r="F21" s="2">
        <f t="shared" ref="F21:F22" si="14">IF(D21&lt;0,D21,0)</f>
        <v>0</v>
      </c>
      <c r="G21" s="56" t="str">
        <f t="shared" si="12"/>
        <v>0 días</v>
      </c>
    </row>
    <row r="22" spans="1:12" x14ac:dyDescent="0.2">
      <c r="A22" s="6">
        <v>44773</v>
      </c>
      <c r="B22" t="s">
        <v>161</v>
      </c>
      <c r="C22" s="43" t="s">
        <v>48</v>
      </c>
      <c r="D22" s="43">
        <f>450</f>
        <v>450</v>
      </c>
      <c r="E22" s="2">
        <f t="shared" si="13"/>
        <v>450</v>
      </c>
      <c r="F22" s="2">
        <f t="shared" si="14"/>
        <v>0</v>
      </c>
      <c r="G22" s="56" t="str">
        <f t="shared" si="12"/>
        <v>0 días</v>
      </c>
    </row>
    <row r="23" spans="1:12" x14ac:dyDescent="0.2">
      <c r="A23" s="6">
        <v>44773</v>
      </c>
      <c r="B23" t="s">
        <v>166</v>
      </c>
      <c r="C23" s="43" t="s">
        <v>48</v>
      </c>
      <c r="D23" s="43">
        <f>-522.49</f>
        <v>-522.49</v>
      </c>
      <c r="G23" s="56" t="str">
        <f t="shared" si="12"/>
        <v>0 días</v>
      </c>
    </row>
    <row r="29" spans="1:12" x14ac:dyDescent="0.2">
      <c r="L29" s="60" t="s">
        <v>165</v>
      </c>
    </row>
    <row r="30" spans="1:12" x14ac:dyDescent="0.2">
      <c r="D30" s="43">
        <f>SUM(D2:D29)</f>
        <v>1209.3494915254225</v>
      </c>
      <c r="E30" s="43">
        <f>SUM(E2:E29)</f>
        <v>34929.169491525427</v>
      </c>
      <c r="F30" s="43">
        <f>SUM(F2:F29)</f>
        <v>-33197.33</v>
      </c>
      <c r="G30" s="40"/>
    </row>
  </sheetData>
  <conditionalFormatting sqref="D30:F30 M15:N16 C2:D14 C17:D23">
    <cfRule type="cellIs" dxfId="97" priority="35" operator="greaterThanOrEqual">
      <formula>0</formula>
    </cfRule>
    <cfRule type="cellIs" dxfId="96" priority="36" operator="lessThan">
      <formula>0</formula>
    </cfRule>
  </conditionalFormatting>
  <conditionalFormatting sqref="M15:M16 C2:C14 C19:C23 C17">
    <cfRule type="cellIs" dxfId="95" priority="30" operator="equal">
      <formula>"PENDIENTE"</formula>
    </cfRule>
  </conditionalFormatting>
  <conditionalFormatting sqref="C18">
    <cfRule type="cellIs" dxfId="94" priority="27" operator="equal">
      <formula>"PENDIENTE"</formula>
    </cfRule>
  </conditionalFormatting>
  <conditionalFormatting sqref="Q15:Q16 G2:G14 G16:G23">
    <cfRule type="cellIs" dxfId="93" priority="20" operator="between">
      <formula>1</formula>
      <formula>6</formula>
    </cfRule>
  </conditionalFormatting>
  <conditionalFormatting sqref="Q15:Q16 G2:G14 G16:G23">
    <cfRule type="cellIs" dxfId="92" priority="19" operator="between">
      <formula>1</formula>
      <formula>6</formula>
    </cfRule>
  </conditionalFormatting>
  <conditionalFormatting sqref="D16">
    <cfRule type="cellIs" dxfId="91" priority="9" operator="greaterThanOrEqual">
      <formula>0</formula>
    </cfRule>
    <cfRule type="cellIs" dxfId="90" priority="10" operator="lessThan">
      <formula>0</formula>
    </cfRule>
  </conditionalFormatting>
  <conditionalFormatting sqref="C16">
    <cfRule type="cellIs" dxfId="89" priority="1" operator="equal">
      <formula>"PAGADO"</formula>
    </cfRule>
    <cfRule type="cellIs" dxfId="88" priority="2" operator="equal">
      <formula>"PENDIENTE"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4A46-08ED-E943-A6F4-A941D4867E4A}">
  <dimension ref="A1:L31"/>
  <sheetViews>
    <sheetView zoomScale="97" workbookViewId="0">
      <selection activeCell="E30" sqref="E30:F30"/>
    </sheetView>
  </sheetViews>
  <sheetFormatPr baseColWidth="10" defaultRowHeight="16" x14ac:dyDescent="0.2"/>
  <cols>
    <col min="1" max="1" width="10.83203125" style="1"/>
    <col min="2" max="2" width="39.1640625" bestFit="1" customWidth="1"/>
    <col min="3" max="3" width="19.83203125" customWidth="1"/>
    <col min="4" max="4" width="13" style="2" bestFit="1" customWidth="1"/>
    <col min="5" max="5" width="11" bestFit="1" customWidth="1"/>
    <col min="6" max="6" width="11.6640625" bestFit="1" customWidth="1"/>
    <col min="9" max="9" width="13.5" bestFit="1" customWidth="1"/>
  </cols>
  <sheetData>
    <row r="1" spans="1:12" x14ac:dyDescent="0.2">
      <c r="A1" s="62" t="s">
        <v>20</v>
      </c>
      <c r="B1" s="63" t="s">
        <v>0</v>
      </c>
      <c r="C1" s="64" t="s">
        <v>47</v>
      </c>
      <c r="D1" s="65" t="s">
        <v>21</v>
      </c>
      <c r="E1" s="64" t="s">
        <v>110</v>
      </c>
      <c r="F1" s="66" t="s">
        <v>111</v>
      </c>
      <c r="G1" s="67" t="s">
        <v>150</v>
      </c>
      <c r="I1" t="s">
        <v>149</v>
      </c>
      <c r="J1" s="55">
        <f ca="1">TODAY()</f>
        <v>44803</v>
      </c>
    </row>
    <row r="2" spans="1:12" x14ac:dyDescent="0.2">
      <c r="A2" s="68">
        <v>44777</v>
      </c>
      <c r="B2" s="63" t="s">
        <v>172</v>
      </c>
      <c r="C2" s="65" t="s">
        <v>48</v>
      </c>
      <c r="D2" s="65">
        <f>900+13911.42+4317.34+3000+1439+959</f>
        <v>24526.760000000002</v>
      </c>
      <c r="E2" s="64">
        <f t="shared" ref="E2:E5" si="0">IF(D2&gt;0,D2,0)</f>
        <v>24526.760000000002</v>
      </c>
      <c r="F2" s="64">
        <f t="shared" ref="F2:F5" si="1">IF(D2&lt;0,D2,0)</f>
        <v>0</v>
      </c>
      <c r="G2" s="67" t="str">
        <f t="shared" ref="G2:G5" si="2">_xlfn.CONCAT(IF(C2="PAGADO","0",A2-$J$1)," días")</f>
        <v>0 días</v>
      </c>
      <c r="J2" s="55"/>
    </row>
    <row r="3" spans="1:12" x14ac:dyDescent="0.2">
      <c r="A3" s="68">
        <v>44777</v>
      </c>
      <c r="B3" s="63" t="s">
        <v>177</v>
      </c>
      <c r="C3" s="65" t="s">
        <v>48</v>
      </c>
      <c r="D3" s="65">
        <f>-1080</f>
        <v>-1080</v>
      </c>
      <c r="E3" s="64">
        <f t="shared" ref="E3" si="3">IF(D3&gt;0,D3,0)</f>
        <v>0</v>
      </c>
      <c r="F3" s="64">
        <f t="shared" ref="F3" si="4">IF(D3&lt;0,D3,0)</f>
        <v>-1080</v>
      </c>
      <c r="G3" s="67" t="str">
        <f t="shared" ref="G3" si="5">_xlfn.CONCAT(IF(C3="PAGADO","0",A3-$J$1)," días")</f>
        <v>0 días</v>
      </c>
      <c r="J3" s="55"/>
    </row>
    <row r="4" spans="1:12" x14ac:dyDescent="0.2">
      <c r="A4" s="69">
        <v>44778</v>
      </c>
      <c r="B4" s="70" t="s">
        <v>169</v>
      </c>
      <c r="C4" s="65" t="s">
        <v>48</v>
      </c>
      <c r="D4" s="65">
        <f>-8994.64-200</f>
        <v>-9194.64</v>
      </c>
      <c r="E4" s="64">
        <f t="shared" si="0"/>
        <v>0</v>
      </c>
      <c r="F4" s="64">
        <f t="shared" si="1"/>
        <v>-9194.64</v>
      </c>
      <c r="G4" s="67" t="str">
        <f t="shared" si="2"/>
        <v>0 días</v>
      </c>
      <c r="J4" s="55"/>
    </row>
    <row r="5" spans="1:12" x14ac:dyDescent="0.2">
      <c r="A5" s="69">
        <v>44778</v>
      </c>
      <c r="B5" s="70" t="s">
        <v>170</v>
      </c>
      <c r="C5" s="65" t="s">
        <v>48</v>
      </c>
      <c r="D5" s="65">
        <f>-8567.07</f>
        <v>-8567.07</v>
      </c>
      <c r="E5" s="64">
        <f t="shared" si="0"/>
        <v>0</v>
      </c>
      <c r="F5" s="64">
        <f t="shared" si="1"/>
        <v>-8567.07</v>
      </c>
      <c r="G5" s="67" t="str">
        <f t="shared" si="2"/>
        <v>0 días</v>
      </c>
      <c r="H5">
        <v>177.18</v>
      </c>
      <c r="J5" s="55"/>
      <c r="K5" s="40">
        <f>D5</f>
        <v>-8567.07</v>
      </c>
      <c r="L5" s="40">
        <f>K5+2000+3500+600</f>
        <v>-2467.0699999999997</v>
      </c>
    </row>
    <row r="6" spans="1:12" x14ac:dyDescent="0.2">
      <c r="A6" s="69">
        <v>44778</v>
      </c>
      <c r="B6" s="70" t="s">
        <v>171</v>
      </c>
      <c r="C6" s="65" t="s">
        <v>48</v>
      </c>
      <c r="D6" s="65">
        <f>-11374.15</f>
        <v>-11374.15</v>
      </c>
      <c r="E6" s="64">
        <f t="shared" ref="E6:E7" si="6">IF(D6&gt;0,D6,0)</f>
        <v>0</v>
      </c>
      <c r="F6" s="64">
        <f t="shared" ref="F6:F7" si="7">IF(D6&lt;0,D6,0)</f>
        <v>-11374.15</v>
      </c>
      <c r="G6" s="67" t="str">
        <f t="shared" ref="G6:G9" si="8">_xlfn.CONCAT(IF(C6="PAGADO","0",A6-$J$1)," días")</f>
        <v>0 días</v>
      </c>
      <c r="H6">
        <v>140</v>
      </c>
      <c r="J6" s="55"/>
    </row>
    <row r="7" spans="1:12" x14ac:dyDescent="0.2">
      <c r="A7" s="69">
        <v>44779</v>
      </c>
      <c r="B7" s="70" t="s">
        <v>179</v>
      </c>
      <c r="C7" s="65" t="s">
        <v>48</v>
      </c>
      <c r="D7" s="65">
        <f>-300</f>
        <v>-300</v>
      </c>
      <c r="E7" s="64">
        <f t="shared" si="6"/>
        <v>0</v>
      </c>
      <c r="F7" s="64">
        <f t="shared" si="7"/>
        <v>-300</v>
      </c>
      <c r="G7" s="67" t="str">
        <f t="shared" si="8"/>
        <v>0 días</v>
      </c>
      <c r="J7" s="55"/>
    </row>
    <row r="8" spans="1:12" x14ac:dyDescent="0.2">
      <c r="A8" s="69">
        <v>44780</v>
      </c>
      <c r="B8" s="70" t="s">
        <v>158</v>
      </c>
      <c r="C8" s="65" t="s">
        <v>48</v>
      </c>
      <c r="D8" s="65">
        <f>1000*-1</f>
        <v>-1000</v>
      </c>
      <c r="E8" s="64">
        <f t="shared" ref="E8:E9" si="9">IF(D8&gt;0,D8,0)</f>
        <v>0</v>
      </c>
      <c r="F8" s="64">
        <f t="shared" ref="F8:F9" si="10">IF(D8&lt;0,D8,0)</f>
        <v>-1000</v>
      </c>
      <c r="G8" s="67" t="str">
        <f t="shared" si="8"/>
        <v>0 días</v>
      </c>
      <c r="J8" s="55"/>
    </row>
    <row r="9" spans="1:12" x14ac:dyDescent="0.2">
      <c r="A9" s="69">
        <v>44780</v>
      </c>
      <c r="B9" s="70" t="s">
        <v>180</v>
      </c>
      <c r="C9" s="65" t="s">
        <v>48</v>
      </c>
      <c r="D9" s="65">
        <f>-250</f>
        <v>-250</v>
      </c>
      <c r="E9" s="64">
        <f t="shared" si="9"/>
        <v>0</v>
      </c>
      <c r="F9" s="64">
        <f t="shared" si="10"/>
        <v>-250</v>
      </c>
      <c r="G9" s="67" t="str">
        <f t="shared" si="8"/>
        <v>0 días</v>
      </c>
      <c r="J9" s="55"/>
    </row>
    <row r="10" spans="1:12" x14ac:dyDescent="0.2">
      <c r="A10" s="69">
        <v>44780</v>
      </c>
      <c r="B10" s="70" t="s">
        <v>122</v>
      </c>
      <c r="C10" s="65" t="s">
        <v>48</v>
      </c>
      <c r="D10" s="65">
        <f>(400*3.7)/2</f>
        <v>740</v>
      </c>
      <c r="E10" s="64">
        <f t="shared" ref="E10" si="11">IF(D10&gt;0,D10,0)</f>
        <v>740</v>
      </c>
      <c r="F10" s="64">
        <f t="shared" ref="F10" si="12">IF(D10&lt;0,D10,0)</f>
        <v>0</v>
      </c>
      <c r="G10" s="67" t="str">
        <f t="shared" ref="G10:G20" si="13">_xlfn.CONCAT(IF(C10="PAGADO","0",A10-$J$1)," días")</f>
        <v>0 días</v>
      </c>
    </row>
    <row r="11" spans="1:12" x14ac:dyDescent="0.2">
      <c r="A11" s="69">
        <v>44783</v>
      </c>
      <c r="B11" s="70" t="s">
        <v>99</v>
      </c>
      <c r="C11" s="65" t="s">
        <v>48</v>
      </c>
      <c r="D11" s="65">
        <f>(2200+220)*-1</f>
        <v>-2420</v>
      </c>
      <c r="E11" s="64">
        <f t="shared" ref="E11:E20" si="14">IF(D11&gt;0,D11,0)</f>
        <v>0</v>
      </c>
      <c r="F11" s="64">
        <f t="shared" ref="F11:F20" si="15">IF(D11&lt;0,D11,0)</f>
        <v>-2420</v>
      </c>
      <c r="G11" s="67" t="str">
        <f t="shared" si="13"/>
        <v>0 días</v>
      </c>
    </row>
    <row r="12" spans="1:12" x14ac:dyDescent="0.2">
      <c r="A12" s="69">
        <v>44788</v>
      </c>
      <c r="B12" s="70" t="s">
        <v>123</v>
      </c>
      <c r="C12" s="65" t="s">
        <v>48</v>
      </c>
      <c r="D12" s="65">
        <f>8037-(8037*0.08)</f>
        <v>7394.04</v>
      </c>
      <c r="E12" s="64">
        <f t="shared" si="14"/>
        <v>7394.04</v>
      </c>
      <c r="F12" s="64">
        <f t="shared" si="15"/>
        <v>0</v>
      </c>
      <c r="G12" s="67" t="str">
        <f t="shared" si="13"/>
        <v>0 días</v>
      </c>
    </row>
    <row r="13" spans="1:12" x14ac:dyDescent="0.2">
      <c r="A13" s="69">
        <v>44788</v>
      </c>
      <c r="B13" s="70" t="s">
        <v>126</v>
      </c>
      <c r="C13" s="65" t="s">
        <v>48</v>
      </c>
      <c r="D13" s="65">
        <f>3800</f>
        <v>3800</v>
      </c>
      <c r="E13" s="64">
        <f t="shared" si="14"/>
        <v>3800</v>
      </c>
      <c r="F13" s="64">
        <f t="shared" si="15"/>
        <v>0</v>
      </c>
      <c r="G13" s="67" t="str">
        <f t="shared" si="13"/>
        <v>0 días</v>
      </c>
    </row>
    <row r="14" spans="1:12" x14ac:dyDescent="0.2">
      <c r="A14" s="69">
        <v>44790</v>
      </c>
      <c r="B14" s="70" t="s">
        <v>156</v>
      </c>
      <c r="C14" s="65" t="s">
        <v>48</v>
      </c>
      <c r="D14" s="65">
        <f>4600</f>
        <v>4600</v>
      </c>
      <c r="E14" s="64">
        <f t="shared" si="14"/>
        <v>4600</v>
      </c>
      <c r="F14" s="64">
        <f t="shared" si="15"/>
        <v>0</v>
      </c>
      <c r="G14" s="67" t="str">
        <f t="shared" si="13"/>
        <v>0 días</v>
      </c>
    </row>
    <row r="15" spans="1:12" x14ac:dyDescent="0.2">
      <c r="A15" s="69">
        <v>44794</v>
      </c>
      <c r="B15" s="71" t="s">
        <v>175</v>
      </c>
      <c r="C15" s="65" t="s">
        <v>48</v>
      </c>
      <c r="D15" s="65">
        <f>-852</f>
        <v>-852</v>
      </c>
      <c r="E15" s="64">
        <f t="shared" si="14"/>
        <v>0</v>
      </c>
      <c r="F15" s="64">
        <f t="shared" si="15"/>
        <v>-852</v>
      </c>
      <c r="G15" s="67" t="str">
        <f t="shared" si="13"/>
        <v>0 días</v>
      </c>
    </row>
    <row r="16" spans="1:12" x14ac:dyDescent="0.2">
      <c r="A16" s="69">
        <v>44794</v>
      </c>
      <c r="B16" s="71" t="s">
        <v>173</v>
      </c>
      <c r="C16" s="65" t="s">
        <v>48</v>
      </c>
      <c r="D16" s="65">
        <f>-960</f>
        <v>-960</v>
      </c>
      <c r="E16" s="64">
        <f>IF(D16&gt;0,D16,0)</f>
        <v>0</v>
      </c>
      <c r="F16" s="64">
        <f>IF(D16&lt;0,D16,0)</f>
        <v>-960</v>
      </c>
      <c r="G16" s="67" t="str">
        <f>_xlfn.CONCAT(IF(C16="PAGADO","0",A16-$J$1)," días")</f>
        <v>0 días</v>
      </c>
    </row>
    <row r="17" spans="1:7" x14ac:dyDescent="0.2">
      <c r="A17" s="69">
        <v>44794</v>
      </c>
      <c r="B17" s="71" t="s">
        <v>135</v>
      </c>
      <c r="C17" s="65" t="s">
        <v>48</v>
      </c>
      <c r="D17" s="65">
        <f>2520*-1</f>
        <v>-2520</v>
      </c>
      <c r="E17" s="64">
        <f t="shared" si="14"/>
        <v>0</v>
      </c>
      <c r="F17" s="64">
        <f t="shared" si="15"/>
        <v>-2520</v>
      </c>
      <c r="G17" s="67" t="str">
        <f t="shared" si="13"/>
        <v>0 días</v>
      </c>
    </row>
    <row r="18" spans="1:7" x14ac:dyDescent="0.2">
      <c r="A18" s="69">
        <v>44794</v>
      </c>
      <c r="B18" s="71" t="s">
        <v>178</v>
      </c>
      <c r="C18" s="65" t="s">
        <v>48</v>
      </c>
      <c r="D18" s="65">
        <f>-1038.51</f>
        <v>-1038.51</v>
      </c>
      <c r="E18" s="64">
        <f t="shared" si="14"/>
        <v>0</v>
      </c>
      <c r="F18" s="64">
        <f t="shared" si="15"/>
        <v>-1038.51</v>
      </c>
      <c r="G18" s="67" t="str">
        <f t="shared" si="13"/>
        <v>0 días</v>
      </c>
    </row>
    <row r="19" spans="1:7" x14ac:dyDescent="0.2">
      <c r="A19" s="68">
        <v>44798</v>
      </c>
      <c r="B19" s="72" t="s">
        <v>164</v>
      </c>
      <c r="C19" s="65" t="s">
        <v>48</v>
      </c>
      <c r="D19" s="65">
        <f>509.14*-1</f>
        <v>-509.14</v>
      </c>
      <c r="E19" s="64">
        <f>IF(D19&gt;0,D19,0)</f>
        <v>0</v>
      </c>
      <c r="F19" s="64">
        <f>IF(D19&lt;0,D19,0)</f>
        <v>-509.14</v>
      </c>
      <c r="G19" s="67" t="str">
        <f>_xlfn.CONCAT(IF(C19="PAGADO","0",A19-$J$1)," días")</f>
        <v>0 días</v>
      </c>
    </row>
    <row r="20" spans="1:7" x14ac:dyDescent="0.2">
      <c r="A20" s="69">
        <v>44803</v>
      </c>
      <c r="B20" s="71" t="s">
        <v>134</v>
      </c>
      <c r="C20" s="65" t="s">
        <v>48</v>
      </c>
      <c r="D20" s="65">
        <f>1012.33*-1</f>
        <v>-1012.33</v>
      </c>
      <c r="E20" s="64">
        <f t="shared" si="14"/>
        <v>0</v>
      </c>
      <c r="F20" s="64">
        <f t="shared" si="15"/>
        <v>-1012.33</v>
      </c>
      <c r="G20" s="67" t="str">
        <f t="shared" si="13"/>
        <v>0 días</v>
      </c>
    </row>
    <row r="21" spans="1:7" x14ac:dyDescent="0.2">
      <c r="A21" s="69">
        <v>44803</v>
      </c>
      <c r="B21" s="70" t="s">
        <v>125</v>
      </c>
      <c r="C21" s="65" t="s">
        <v>48</v>
      </c>
      <c r="D21" s="65">
        <f>4072</f>
        <v>4072</v>
      </c>
      <c r="E21" s="64">
        <f t="shared" ref="E21:E26" si="16">IF(D21&gt;0,D21,0)</f>
        <v>4072</v>
      </c>
      <c r="F21" s="64">
        <f t="shared" ref="F21:F26" si="17">IF(D21&lt;0,D21,0)</f>
        <v>0</v>
      </c>
      <c r="G21" s="67" t="str">
        <f>_xlfn.CONCAT(IF(C21="PAGADO","0",A21-$J$1)," días")</f>
        <v>0 días</v>
      </c>
    </row>
    <row r="22" spans="1:7" x14ac:dyDescent="0.2">
      <c r="A22" s="69">
        <v>44803</v>
      </c>
      <c r="B22" s="70" t="s">
        <v>189</v>
      </c>
      <c r="C22" s="65" t="s">
        <v>48</v>
      </c>
      <c r="D22" s="65">
        <f>-814.57</f>
        <v>-814.57</v>
      </c>
      <c r="E22" s="64">
        <f t="shared" si="16"/>
        <v>0</v>
      </c>
      <c r="F22" s="64">
        <f t="shared" si="17"/>
        <v>-814.57</v>
      </c>
      <c r="G22" s="70"/>
    </row>
    <row r="23" spans="1:7" x14ac:dyDescent="0.2">
      <c r="A23" s="66"/>
      <c r="B23" s="70" t="s">
        <v>190</v>
      </c>
      <c r="C23" s="65" t="s">
        <v>48</v>
      </c>
      <c r="D23" s="65">
        <f>-1700</f>
        <v>-1700</v>
      </c>
      <c r="E23" s="64">
        <f t="shared" si="16"/>
        <v>0</v>
      </c>
      <c r="F23" s="64">
        <f t="shared" si="17"/>
        <v>-1700</v>
      </c>
      <c r="G23" s="70"/>
    </row>
    <row r="24" spans="1:7" x14ac:dyDescent="0.2">
      <c r="A24" s="66"/>
      <c r="B24" s="73" t="s">
        <v>188</v>
      </c>
      <c r="C24" s="43" t="s">
        <v>94</v>
      </c>
      <c r="D24" s="43">
        <f>(5664/1.18)/2</f>
        <v>2400</v>
      </c>
      <c r="E24" s="2">
        <f t="shared" si="16"/>
        <v>2400</v>
      </c>
      <c r="F24" s="2">
        <f t="shared" si="17"/>
        <v>0</v>
      </c>
      <c r="G24" s="70"/>
    </row>
    <row r="25" spans="1:7" x14ac:dyDescent="0.2">
      <c r="A25" s="6">
        <v>44811</v>
      </c>
      <c r="B25" t="s">
        <v>158</v>
      </c>
      <c r="C25" s="43" t="s">
        <v>48</v>
      </c>
      <c r="D25" s="43">
        <f>1000*-1</f>
        <v>-1000</v>
      </c>
      <c r="E25" s="2">
        <f t="shared" si="16"/>
        <v>0</v>
      </c>
      <c r="F25" s="2">
        <f t="shared" si="17"/>
        <v>-1000</v>
      </c>
      <c r="G25" s="56" t="str">
        <f>_xlfn.CONCAT(IF(C25="PAGADO","0",A25-'SEP-2022'!$J$1)," días")</f>
        <v>0 días</v>
      </c>
    </row>
    <row r="26" spans="1:7" x14ac:dyDescent="0.2">
      <c r="A26" s="66"/>
      <c r="B26" s="70" t="s">
        <v>191</v>
      </c>
      <c r="C26" s="70"/>
      <c r="D26" s="64">
        <f>-1072</f>
        <v>-1072</v>
      </c>
      <c r="E26" s="2">
        <f t="shared" si="16"/>
        <v>0</v>
      </c>
      <c r="F26" s="2">
        <f t="shared" si="17"/>
        <v>-1072</v>
      </c>
      <c r="G26" s="70"/>
    </row>
    <row r="27" spans="1:7" x14ac:dyDescent="0.2">
      <c r="A27" s="66"/>
      <c r="B27" s="70"/>
      <c r="C27" s="70"/>
      <c r="D27" s="64"/>
      <c r="E27" s="70"/>
      <c r="F27" s="70"/>
      <c r="G27" s="70"/>
    </row>
    <row r="28" spans="1:7" x14ac:dyDescent="0.2">
      <c r="A28" s="66"/>
      <c r="B28" s="70"/>
      <c r="C28" s="70"/>
      <c r="D28" s="64"/>
      <c r="E28" s="70"/>
      <c r="F28" s="70"/>
      <c r="G28" s="70"/>
    </row>
    <row r="29" spans="1:7" x14ac:dyDescent="0.2">
      <c r="A29" s="66"/>
      <c r="B29" s="70"/>
      <c r="C29" s="70"/>
      <c r="D29" s="64"/>
      <c r="E29" s="70"/>
      <c r="F29" s="70"/>
      <c r="G29" s="70"/>
    </row>
    <row r="30" spans="1:7" x14ac:dyDescent="0.2">
      <c r="A30" s="66"/>
      <c r="B30" s="70"/>
      <c r="C30" s="70"/>
      <c r="D30" s="65">
        <f>SUM(D2:D29)</f>
        <v>1868.3900000000031</v>
      </c>
      <c r="E30" s="65">
        <f>SUM(E2:E29)</f>
        <v>47532.800000000003</v>
      </c>
      <c r="F30" s="65">
        <f>SUM(F2:F29)</f>
        <v>-45664.41</v>
      </c>
      <c r="G30" s="70"/>
    </row>
    <row r="31" spans="1:7" x14ac:dyDescent="0.2">
      <c r="G31" s="40"/>
    </row>
  </sheetData>
  <conditionalFormatting sqref="C10:D14 C16:D21">
    <cfRule type="cellIs" dxfId="87" priority="67" operator="greaterThanOrEqual">
      <formula>0</formula>
    </cfRule>
    <cfRule type="cellIs" dxfId="86" priority="68" operator="lessThan">
      <formula>0</formula>
    </cfRule>
  </conditionalFormatting>
  <conditionalFormatting sqref="D30:F30">
    <cfRule type="cellIs" dxfId="85" priority="65" operator="greaterThanOrEqual">
      <formula>0</formula>
    </cfRule>
    <cfRule type="cellIs" dxfId="84" priority="66" operator="lessThan">
      <formula>0</formula>
    </cfRule>
  </conditionalFormatting>
  <conditionalFormatting sqref="C10:C14 C16:C23">
    <cfRule type="cellIs" dxfId="83" priority="62" operator="equal">
      <formula>"PENDIENTE"</formula>
    </cfRule>
  </conditionalFormatting>
  <conditionalFormatting sqref="G10:G14 G16:G21">
    <cfRule type="cellIs" dxfId="82" priority="61" operator="between">
      <formula>1</formula>
      <formula>6</formula>
    </cfRule>
  </conditionalFormatting>
  <conditionalFormatting sqref="G10:G14 G16:G21">
    <cfRule type="cellIs" dxfId="81" priority="60" operator="between">
      <formula>1</formula>
      <formula>6</formula>
    </cfRule>
  </conditionalFormatting>
  <conditionalFormatting sqref="C4:D4">
    <cfRule type="cellIs" dxfId="80" priority="58" operator="greaterThanOrEqual">
      <formula>0</formula>
    </cfRule>
    <cfRule type="cellIs" dxfId="79" priority="59" operator="lessThan">
      <formula>0</formula>
    </cfRule>
  </conditionalFormatting>
  <conditionalFormatting sqref="C2:C4">
    <cfRule type="cellIs" dxfId="78" priority="57" operator="equal">
      <formula>"PENDIENTE"</formula>
    </cfRule>
  </conditionalFormatting>
  <conditionalFormatting sqref="G2:G4">
    <cfRule type="cellIs" dxfId="77" priority="56" operator="between">
      <formula>1</formula>
      <formula>6</formula>
    </cfRule>
  </conditionalFormatting>
  <conditionalFormatting sqref="G2:G4">
    <cfRule type="cellIs" dxfId="76" priority="55" operator="between">
      <formula>1</formula>
      <formula>6</formula>
    </cfRule>
  </conditionalFormatting>
  <conditionalFormatting sqref="C5:D9">
    <cfRule type="cellIs" dxfId="75" priority="53" operator="greaterThanOrEqual">
      <formula>0</formula>
    </cfRule>
    <cfRule type="cellIs" dxfId="74" priority="54" operator="lessThan">
      <formula>0</formula>
    </cfRule>
  </conditionalFormatting>
  <conditionalFormatting sqref="C5:C9">
    <cfRule type="cellIs" dxfId="73" priority="52" operator="equal">
      <formula>"PENDIENTE"</formula>
    </cfRule>
  </conditionalFormatting>
  <conditionalFormatting sqref="G5:G9">
    <cfRule type="cellIs" dxfId="72" priority="51" operator="between">
      <formula>1</formula>
      <formula>6</formula>
    </cfRule>
  </conditionalFormatting>
  <conditionalFormatting sqref="G5:G9">
    <cfRule type="cellIs" dxfId="71" priority="50" operator="between">
      <formula>1</formula>
      <formula>6</formula>
    </cfRule>
  </conditionalFormatting>
  <conditionalFormatting sqref="C2:C3">
    <cfRule type="cellIs" dxfId="70" priority="45" operator="equal">
      <formula>"PENDIENTE"</formula>
    </cfRule>
    <cfRule type="cellIs" dxfId="69" priority="46" operator="greaterThanOrEqual">
      <formula>0</formula>
    </cfRule>
    <cfRule type="cellIs" dxfId="68" priority="47" operator="lessThan">
      <formula>0</formula>
    </cfRule>
  </conditionalFormatting>
  <conditionalFormatting sqref="D2:D3">
    <cfRule type="cellIs" dxfId="67" priority="43" operator="greaterThanOrEqual">
      <formula>0</formula>
    </cfRule>
    <cfRule type="cellIs" dxfId="66" priority="44" operator="lessThan">
      <formula>0</formula>
    </cfRule>
  </conditionalFormatting>
  <conditionalFormatting sqref="C8:D9">
    <cfRule type="cellIs" dxfId="65" priority="41" operator="greaterThanOrEqual">
      <formula>0</formula>
    </cfRule>
    <cfRule type="cellIs" dxfId="64" priority="42" operator="lessThan">
      <formula>0</formula>
    </cfRule>
  </conditionalFormatting>
  <conditionalFormatting sqref="C8:C9">
    <cfRule type="cellIs" dxfId="63" priority="40" operator="equal">
      <formula>"PENDIENTE"</formula>
    </cfRule>
  </conditionalFormatting>
  <conditionalFormatting sqref="G8:G9">
    <cfRule type="cellIs" dxfId="62" priority="39" operator="between">
      <formula>1</formula>
      <formula>6</formula>
    </cfRule>
  </conditionalFormatting>
  <conditionalFormatting sqref="G8:G9">
    <cfRule type="cellIs" dxfId="61" priority="38" operator="between">
      <formula>1</formula>
      <formula>6</formula>
    </cfRule>
  </conditionalFormatting>
  <conditionalFormatting sqref="C15:D15">
    <cfRule type="cellIs" dxfId="60" priority="36" operator="greaterThanOrEqual">
      <formula>0</formula>
    </cfRule>
    <cfRule type="cellIs" dxfId="59" priority="37" operator="lessThan">
      <formula>0</formula>
    </cfRule>
  </conditionalFormatting>
  <conditionalFormatting sqref="C15">
    <cfRule type="cellIs" dxfId="58" priority="35" operator="equal">
      <formula>"PENDIENTE"</formula>
    </cfRule>
  </conditionalFormatting>
  <conditionalFormatting sqref="G15">
    <cfRule type="cellIs" dxfId="57" priority="34" operator="between">
      <formula>1</formula>
      <formula>6</formula>
    </cfRule>
  </conditionalFormatting>
  <conditionalFormatting sqref="G15">
    <cfRule type="cellIs" dxfId="56" priority="33" operator="between">
      <formula>1</formula>
      <formula>6</formula>
    </cfRule>
  </conditionalFormatting>
  <conditionalFormatting sqref="C22:C23">
    <cfRule type="cellIs" dxfId="55" priority="31" operator="greaterThanOrEqual">
      <formula>0</formula>
    </cfRule>
    <cfRule type="cellIs" dxfId="54" priority="32" operator="lessThan">
      <formula>0</formula>
    </cfRule>
  </conditionalFormatting>
  <conditionalFormatting sqref="D22:D23">
    <cfRule type="cellIs" dxfId="53" priority="29" operator="greaterThanOrEqual">
      <formula>0</formula>
    </cfRule>
    <cfRule type="cellIs" dxfId="52" priority="30" operator="lessThan">
      <formula>0</formula>
    </cfRule>
  </conditionalFormatting>
  <conditionalFormatting sqref="C24">
    <cfRule type="cellIs" dxfId="51" priority="28" operator="equal">
      <formula>"PENDIENTE"</formula>
    </cfRule>
  </conditionalFormatting>
  <conditionalFormatting sqref="D24">
    <cfRule type="cellIs" dxfId="50" priority="26" operator="greaterThanOrEqual">
      <formula>0</formula>
    </cfRule>
    <cfRule type="cellIs" dxfId="49" priority="27" operator="lessThan">
      <formula>0</formula>
    </cfRule>
  </conditionalFormatting>
  <conditionalFormatting sqref="C24">
    <cfRule type="cellIs" dxfId="48" priority="24" operator="greaterThanOrEqual">
      <formula>0</formula>
    </cfRule>
    <cfRule type="cellIs" dxfId="47" priority="25" operator="lessThan">
      <formula>0</formula>
    </cfRule>
  </conditionalFormatting>
  <conditionalFormatting sqref="C24">
    <cfRule type="cellIs" dxfId="46" priority="19" operator="equal">
      <formula>"PENDIENTE"</formula>
    </cfRule>
    <cfRule type="cellIs" dxfId="45" priority="22" operator="greaterThanOrEqual">
      <formula>0</formula>
    </cfRule>
    <cfRule type="cellIs" dxfId="44" priority="23" operator="lessThan">
      <formula>0</formula>
    </cfRule>
  </conditionalFormatting>
  <conditionalFormatting sqref="C24">
    <cfRule type="cellIs" dxfId="43" priority="20" operator="greaterThanOrEqual">
      <formula>0</formula>
    </cfRule>
    <cfRule type="cellIs" dxfId="42" priority="21" operator="lessThan">
      <formula>0</formula>
    </cfRule>
  </conditionalFormatting>
  <conditionalFormatting sqref="C25">
    <cfRule type="cellIs" dxfId="41" priority="18" operator="equal">
      <formula>"PENDIENTE"</formula>
    </cfRule>
  </conditionalFormatting>
  <conditionalFormatting sqref="G25">
    <cfRule type="cellIs" dxfId="40" priority="17" operator="between">
      <formula>1</formula>
      <formula>6</formula>
    </cfRule>
  </conditionalFormatting>
  <conditionalFormatting sqref="G25">
    <cfRule type="cellIs" dxfId="39" priority="16" operator="between">
      <formula>1</formula>
      <formula>6</formula>
    </cfRule>
  </conditionalFormatting>
  <conditionalFormatting sqref="C25">
    <cfRule type="cellIs" dxfId="38" priority="13" operator="equal">
      <formula>"PENDIENTE"</formula>
    </cfRule>
    <cfRule type="cellIs" dxfId="37" priority="14" operator="greaterThanOrEqual">
      <formula>0</formula>
    </cfRule>
    <cfRule type="cellIs" dxfId="36" priority="15" operator="lessThan">
      <formula>0</formula>
    </cfRule>
  </conditionalFormatting>
  <conditionalFormatting sqref="D25">
    <cfRule type="cellIs" dxfId="35" priority="11" operator="greaterThanOrEqual">
      <formula>0</formula>
    </cfRule>
    <cfRule type="cellIs" dxfId="34" priority="12" operator="lessThan">
      <formula>0</formula>
    </cfRule>
  </conditionalFormatting>
  <conditionalFormatting sqref="C25:D25">
    <cfRule type="cellIs" dxfId="33" priority="9" operator="greaterThanOrEqual">
      <formula>0</formula>
    </cfRule>
    <cfRule type="cellIs" dxfId="32" priority="10" operator="lessThan">
      <formula>0</formula>
    </cfRule>
  </conditionalFormatting>
  <conditionalFormatting sqref="C25">
    <cfRule type="cellIs" dxfId="31" priority="8" operator="equal">
      <formula>"PENDIENTE"</formula>
    </cfRule>
  </conditionalFormatting>
  <conditionalFormatting sqref="G25">
    <cfRule type="cellIs" dxfId="30" priority="7" operator="between">
      <formula>1</formula>
      <formula>6</formula>
    </cfRule>
  </conditionalFormatting>
  <conditionalFormatting sqref="G25">
    <cfRule type="cellIs" dxfId="29" priority="6" operator="between">
      <formula>1</formula>
      <formula>6</formula>
    </cfRule>
  </conditionalFormatting>
  <conditionalFormatting sqref="C25:D25">
    <cfRule type="cellIs" dxfId="28" priority="4" operator="greaterThanOrEqual">
      <formula>0</formula>
    </cfRule>
    <cfRule type="cellIs" dxfId="27" priority="5" operator="lessThan">
      <formula>0</formula>
    </cfRule>
  </conditionalFormatting>
  <conditionalFormatting sqref="C25">
    <cfRule type="cellIs" dxfId="26" priority="3" operator="equal">
      <formula>"PENDIENTE"</formula>
    </cfRule>
  </conditionalFormatting>
  <conditionalFormatting sqref="G25">
    <cfRule type="cellIs" dxfId="25" priority="2" operator="between">
      <formula>1</formula>
      <formula>6</formula>
    </cfRule>
  </conditionalFormatting>
  <conditionalFormatting sqref="G25">
    <cfRule type="cellIs" dxfId="24" priority="1" operator="between">
      <formula>1</formula>
      <formula>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E31A-A3B8-6541-BA84-D10C4D404EF1}">
  <dimension ref="A1:J25"/>
  <sheetViews>
    <sheetView tabSelected="1" workbookViewId="0">
      <selection activeCell="A6" sqref="A6"/>
    </sheetView>
  </sheetViews>
  <sheetFormatPr baseColWidth="10" defaultRowHeight="16" x14ac:dyDescent="0.2"/>
  <cols>
    <col min="1" max="1" width="10.83203125" style="1"/>
    <col min="2" max="2" width="36.1640625" bestFit="1" customWidth="1"/>
    <col min="3" max="3" width="19.83203125" customWidth="1"/>
    <col min="4" max="4" width="13" style="2" bestFit="1" customWidth="1"/>
    <col min="5" max="5" width="11" bestFit="1" customWidth="1"/>
    <col min="6" max="6" width="11.6640625" bestFit="1" customWidth="1"/>
    <col min="9" max="9" width="13.5" bestFit="1" customWidth="1"/>
  </cols>
  <sheetData>
    <row r="1" spans="1:10" x14ac:dyDescent="0.2">
      <c r="A1" s="41" t="s">
        <v>20</v>
      </c>
      <c r="B1" s="42" t="s">
        <v>0</v>
      </c>
      <c r="C1" s="2" t="s">
        <v>47</v>
      </c>
      <c r="D1" s="43" t="s">
        <v>21</v>
      </c>
      <c r="E1" s="2" t="s">
        <v>110</v>
      </c>
      <c r="F1" s="1" t="s">
        <v>111</v>
      </c>
      <c r="G1" s="56" t="s">
        <v>150</v>
      </c>
      <c r="I1" t="s">
        <v>149</v>
      </c>
      <c r="J1" s="55">
        <f ca="1">TODAY()</f>
        <v>44803</v>
      </c>
    </row>
    <row r="2" spans="1:10" x14ac:dyDescent="0.2">
      <c r="A2" s="44">
        <v>44808</v>
      </c>
      <c r="B2" s="42" t="s">
        <v>172</v>
      </c>
      <c r="C2" s="43" t="s">
        <v>48</v>
      </c>
      <c r="D2" s="43">
        <f>'AGO-2022'!D30</f>
        <v>1868.3900000000031</v>
      </c>
      <c r="E2" s="2">
        <f>IF(D2&gt;0,D2,0)</f>
        <v>1868.3900000000031</v>
      </c>
      <c r="F2" s="2">
        <f>IF(D2&lt;0,D2,0)</f>
        <v>0</v>
      </c>
      <c r="G2" s="56" t="str">
        <f>_xlfn.CONCAT(IF(C2="PAGADO","0",A2-$J$1)," días")</f>
        <v>0 días</v>
      </c>
      <c r="J2" s="55"/>
    </row>
    <row r="3" spans="1:10" x14ac:dyDescent="0.2">
      <c r="A3" s="44">
        <v>44811</v>
      </c>
      <c r="B3" s="42" t="s">
        <v>192</v>
      </c>
      <c r="C3" s="43" t="s">
        <v>94</v>
      </c>
      <c r="D3" s="43">
        <v>-1320.86</v>
      </c>
      <c r="E3" s="2">
        <f t="shared" ref="E3:E4" si="0">IF(D3&gt;0,D3,0)</f>
        <v>0</v>
      </c>
      <c r="F3" s="2">
        <f t="shared" ref="F3:F4" si="1">IF(D3&lt;0,D3,0)</f>
        <v>-1320.86</v>
      </c>
      <c r="G3" s="56"/>
      <c r="J3" s="55"/>
    </row>
    <row r="4" spans="1:10" x14ac:dyDescent="0.2">
      <c r="A4" s="44">
        <v>44811</v>
      </c>
      <c r="B4" s="42" t="s">
        <v>193</v>
      </c>
      <c r="C4" s="43" t="s">
        <v>94</v>
      </c>
      <c r="D4" s="43">
        <f>-4656</f>
        <v>-4656</v>
      </c>
      <c r="E4" s="2">
        <f t="shared" si="0"/>
        <v>0</v>
      </c>
      <c r="F4" s="2">
        <f t="shared" si="1"/>
        <v>-4656</v>
      </c>
      <c r="G4" s="56"/>
      <c r="J4" s="55"/>
    </row>
    <row r="5" spans="1:10" x14ac:dyDescent="0.2">
      <c r="J5" s="55"/>
    </row>
    <row r="6" spans="1:10" x14ac:dyDescent="0.2">
      <c r="A6" s="6">
        <v>44811</v>
      </c>
      <c r="B6" t="s">
        <v>122</v>
      </c>
      <c r="C6" s="43" t="s">
        <v>94</v>
      </c>
      <c r="D6" s="43">
        <f>(400*3.7)/2</f>
        <v>740</v>
      </c>
      <c r="E6" s="2">
        <f t="shared" ref="E6:E15" si="2">IF(D6&gt;0,D6,0)</f>
        <v>740</v>
      </c>
      <c r="F6" s="2">
        <f t="shared" ref="F6:F15" si="3">IF(D6&lt;0,D6,0)</f>
        <v>0</v>
      </c>
      <c r="G6" s="56" t="str">
        <f t="shared" ref="G6:G15" ca="1" si="4">_xlfn.CONCAT(IF(C6="PAGADO","0",A6-$J$1)," días")</f>
        <v>8 días</v>
      </c>
    </row>
    <row r="7" spans="1:10" x14ac:dyDescent="0.2">
      <c r="A7" s="6">
        <v>44814</v>
      </c>
      <c r="B7" t="s">
        <v>99</v>
      </c>
      <c r="C7" s="43" t="s">
        <v>94</v>
      </c>
      <c r="D7" s="43">
        <f>(2200+220)*-1</f>
        <v>-2420</v>
      </c>
      <c r="E7" s="2">
        <f t="shared" si="2"/>
        <v>0</v>
      </c>
      <c r="F7" s="2">
        <f t="shared" si="3"/>
        <v>-2420</v>
      </c>
      <c r="G7" s="56" t="str">
        <f t="shared" ca="1" si="4"/>
        <v>11 días</v>
      </c>
    </row>
    <row r="8" spans="1:10" x14ac:dyDescent="0.2">
      <c r="A8" s="6">
        <v>44819</v>
      </c>
      <c r="B8" t="s">
        <v>123</v>
      </c>
      <c r="C8" s="43" t="s">
        <v>94</v>
      </c>
      <c r="D8" s="43">
        <f>8400-(8400*0.08)</f>
        <v>7728</v>
      </c>
      <c r="E8" s="2">
        <f t="shared" si="2"/>
        <v>7728</v>
      </c>
      <c r="F8" s="2">
        <f t="shared" si="3"/>
        <v>0</v>
      </c>
      <c r="G8" s="56" t="str">
        <f t="shared" ca="1" si="4"/>
        <v>16 días</v>
      </c>
    </row>
    <row r="9" spans="1:10" x14ac:dyDescent="0.2">
      <c r="A9" s="6">
        <v>44819</v>
      </c>
      <c r="B9" t="s">
        <v>126</v>
      </c>
      <c r="C9" s="43" t="s">
        <v>94</v>
      </c>
      <c r="D9" s="43">
        <f>3800</f>
        <v>3800</v>
      </c>
      <c r="E9" s="2">
        <f t="shared" si="2"/>
        <v>3800</v>
      </c>
      <c r="F9" s="2">
        <f t="shared" si="3"/>
        <v>0</v>
      </c>
      <c r="G9" s="56" t="str">
        <f t="shared" ca="1" si="4"/>
        <v>16 días</v>
      </c>
    </row>
    <row r="10" spans="1:10" x14ac:dyDescent="0.2">
      <c r="A10" s="6">
        <v>44825</v>
      </c>
      <c r="B10" s="61" t="s">
        <v>176</v>
      </c>
      <c r="C10" s="43" t="s">
        <v>94</v>
      </c>
      <c r="D10" s="43">
        <f>-852</f>
        <v>-852</v>
      </c>
      <c r="E10" s="2">
        <f t="shared" si="2"/>
        <v>0</v>
      </c>
      <c r="F10" s="2">
        <f t="shared" si="3"/>
        <v>-852</v>
      </c>
      <c r="G10" s="56" t="str">
        <f t="shared" ca="1" si="4"/>
        <v>22 días</v>
      </c>
    </row>
    <row r="11" spans="1:10" x14ac:dyDescent="0.2">
      <c r="A11" s="6">
        <v>44825</v>
      </c>
      <c r="B11" s="61" t="s">
        <v>174</v>
      </c>
      <c r="C11" s="43" t="s">
        <v>94</v>
      </c>
      <c r="D11" s="43">
        <f>-960</f>
        <v>-960</v>
      </c>
      <c r="E11" s="2">
        <f t="shared" si="2"/>
        <v>0</v>
      </c>
      <c r="F11" s="2">
        <f t="shared" si="3"/>
        <v>-960</v>
      </c>
      <c r="G11" s="56" t="str">
        <f t="shared" ca="1" si="4"/>
        <v>22 días</v>
      </c>
    </row>
    <row r="12" spans="1:10" x14ac:dyDescent="0.2">
      <c r="A12" s="6">
        <v>44825</v>
      </c>
      <c r="B12" s="61" t="s">
        <v>181</v>
      </c>
      <c r="C12" s="43" t="s">
        <v>94</v>
      </c>
      <c r="D12" s="43">
        <f>2520*-1</f>
        <v>-2520</v>
      </c>
      <c r="E12" s="2">
        <f t="shared" si="2"/>
        <v>0</v>
      </c>
      <c r="F12" s="2">
        <f t="shared" si="3"/>
        <v>-2520</v>
      </c>
      <c r="G12" s="56" t="str">
        <f t="shared" ca="1" si="4"/>
        <v>22 días</v>
      </c>
    </row>
    <row r="13" spans="1:10" x14ac:dyDescent="0.2">
      <c r="A13" s="44">
        <v>44829</v>
      </c>
      <c r="B13" s="61" t="s">
        <v>182</v>
      </c>
      <c r="C13" s="43" t="s">
        <v>94</v>
      </c>
      <c r="D13" s="43">
        <f>509.14*-1</f>
        <v>-509.14</v>
      </c>
      <c r="E13" s="2">
        <f t="shared" si="2"/>
        <v>0</v>
      </c>
      <c r="F13" s="2">
        <f t="shared" si="3"/>
        <v>-509.14</v>
      </c>
      <c r="G13" s="56" t="str">
        <f t="shared" ca="1" si="4"/>
        <v>26 días</v>
      </c>
    </row>
    <row r="14" spans="1:10" x14ac:dyDescent="0.2">
      <c r="A14" s="6">
        <v>44834</v>
      </c>
      <c r="B14" s="61" t="s">
        <v>183</v>
      </c>
      <c r="C14" s="43" t="s">
        <v>94</v>
      </c>
      <c r="D14" s="43">
        <f>1012.33*-1</f>
        <v>-1012.33</v>
      </c>
      <c r="E14" s="2">
        <f t="shared" si="2"/>
        <v>0</v>
      </c>
      <c r="F14" s="2">
        <f t="shared" si="3"/>
        <v>-1012.33</v>
      </c>
      <c r="G14" s="56" t="str">
        <f t="shared" ca="1" si="4"/>
        <v>31 días</v>
      </c>
    </row>
    <row r="15" spans="1:10" x14ac:dyDescent="0.2">
      <c r="A15" s="6">
        <v>44834</v>
      </c>
      <c r="B15" t="s">
        <v>125</v>
      </c>
      <c r="C15" s="43" t="s">
        <v>94</v>
      </c>
      <c r="D15" s="43">
        <f>4072</f>
        <v>4072</v>
      </c>
      <c r="E15" s="2">
        <f t="shared" si="2"/>
        <v>4072</v>
      </c>
      <c r="F15" s="2">
        <f t="shared" si="3"/>
        <v>0</v>
      </c>
      <c r="G15" s="56" t="str">
        <f t="shared" ca="1" si="4"/>
        <v>31 días</v>
      </c>
    </row>
    <row r="16" spans="1:10" x14ac:dyDescent="0.2">
      <c r="B16" s="73" t="s">
        <v>184</v>
      </c>
      <c r="C16" s="43" t="s">
        <v>94</v>
      </c>
      <c r="D16" s="43">
        <f>750/1.18</f>
        <v>635.59322033898309</v>
      </c>
      <c r="E16" s="2">
        <f t="shared" ref="E16:E20" si="5">IF(D16&gt;0,D16,0)</f>
        <v>635.59322033898309</v>
      </c>
      <c r="F16" s="2">
        <f t="shared" ref="F16:F20" si="6">IF(D16&lt;0,D16,0)</f>
        <v>0</v>
      </c>
    </row>
    <row r="17" spans="2:7" x14ac:dyDescent="0.2">
      <c r="B17" t="s">
        <v>187</v>
      </c>
      <c r="C17" s="43" t="s">
        <v>94</v>
      </c>
      <c r="D17" s="43">
        <f>(1000/1.18)</f>
        <v>847.45762711864415</v>
      </c>
      <c r="E17" s="2">
        <f t="shared" si="5"/>
        <v>847.45762711864415</v>
      </c>
      <c r="F17" s="2">
        <f t="shared" si="6"/>
        <v>0</v>
      </c>
    </row>
    <row r="18" spans="2:7" x14ac:dyDescent="0.2">
      <c r="E18" s="2">
        <f t="shared" si="5"/>
        <v>0</v>
      </c>
      <c r="F18" s="2">
        <f t="shared" si="6"/>
        <v>0</v>
      </c>
    </row>
    <row r="19" spans="2:7" x14ac:dyDescent="0.2">
      <c r="B19" t="s">
        <v>185</v>
      </c>
      <c r="D19" s="2">
        <f>-3500</f>
        <v>-3500</v>
      </c>
      <c r="E19" s="2">
        <f t="shared" si="5"/>
        <v>0</v>
      </c>
      <c r="F19" s="2">
        <f t="shared" si="6"/>
        <v>-3500</v>
      </c>
    </row>
    <row r="20" spans="2:7" x14ac:dyDescent="0.2">
      <c r="B20" s="73" t="s">
        <v>186</v>
      </c>
      <c r="D20" s="2">
        <f>-3800</f>
        <v>-3800</v>
      </c>
      <c r="E20" s="2">
        <f t="shared" si="5"/>
        <v>0</v>
      </c>
      <c r="F20" s="2">
        <f t="shared" si="6"/>
        <v>-3800</v>
      </c>
    </row>
    <row r="24" spans="2:7" x14ac:dyDescent="0.2">
      <c r="D24" s="43">
        <f>SUM(D2:D23)</f>
        <v>-1858.8891525423696</v>
      </c>
      <c r="E24" s="43">
        <f>SUM(E2:E23)</f>
        <v>19691.44084745763</v>
      </c>
      <c r="F24" s="43">
        <f>SUM(F2:F23)</f>
        <v>-21550.33</v>
      </c>
    </row>
    <row r="25" spans="2:7" x14ac:dyDescent="0.2">
      <c r="G25" s="40"/>
    </row>
  </sheetData>
  <conditionalFormatting sqref="C6:D15">
    <cfRule type="cellIs" dxfId="23" priority="50" operator="greaterThanOrEqual">
      <formula>0</formula>
    </cfRule>
    <cfRule type="cellIs" dxfId="22" priority="51" operator="lessThan">
      <formula>0</formula>
    </cfRule>
  </conditionalFormatting>
  <conditionalFormatting sqref="D24:F24">
    <cfRule type="cellIs" dxfId="21" priority="48" operator="greaterThanOrEqual">
      <formula>0</formula>
    </cfRule>
    <cfRule type="cellIs" dxfId="20" priority="49" operator="lessThan">
      <formula>0</formula>
    </cfRule>
  </conditionalFormatting>
  <conditionalFormatting sqref="C6:C17">
    <cfRule type="cellIs" dxfId="19" priority="47" operator="equal">
      <formula>"PENDIENTE"</formula>
    </cfRule>
  </conditionalFormatting>
  <conditionalFormatting sqref="G6:G15">
    <cfRule type="cellIs" dxfId="18" priority="46" operator="between">
      <formula>1</formula>
      <formula>6</formula>
    </cfRule>
  </conditionalFormatting>
  <conditionalFormatting sqref="G6:G15">
    <cfRule type="cellIs" dxfId="17" priority="45" operator="between">
      <formula>1</formula>
      <formula>6</formula>
    </cfRule>
  </conditionalFormatting>
  <conditionalFormatting sqref="C2:C4">
    <cfRule type="cellIs" dxfId="16" priority="42" operator="equal">
      <formula>"PENDIENTE"</formula>
    </cfRule>
  </conditionalFormatting>
  <conditionalFormatting sqref="G2:G4">
    <cfRule type="cellIs" dxfId="15" priority="41" operator="between">
      <formula>1</formula>
      <formula>6</formula>
    </cfRule>
  </conditionalFormatting>
  <conditionalFormatting sqref="G2:G4">
    <cfRule type="cellIs" dxfId="14" priority="40" operator="between">
      <formula>1</formula>
      <formula>6</formula>
    </cfRule>
  </conditionalFormatting>
  <conditionalFormatting sqref="C2:C4">
    <cfRule type="cellIs" dxfId="13" priority="32" operator="equal">
      <formula>"PENDIENTE"</formula>
    </cfRule>
    <cfRule type="cellIs" dxfId="12" priority="33" operator="greaterThanOrEqual">
      <formula>0</formula>
    </cfRule>
    <cfRule type="cellIs" dxfId="11" priority="34" operator="lessThan">
      <formula>0</formula>
    </cfRule>
  </conditionalFormatting>
  <conditionalFormatting sqref="D2:D4">
    <cfRule type="cellIs" dxfId="10" priority="30" operator="greaterThanOrEqual">
      <formula>0</formula>
    </cfRule>
    <cfRule type="cellIs" dxfId="9" priority="31" operator="lessThan">
      <formula>0</formula>
    </cfRule>
  </conditionalFormatting>
  <conditionalFormatting sqref="C17:D17">
    <cfRule type="cellIs" dxfId="8" priority="18" operator="greaterThanOrEqual">
      <formula>0</formula>
    </cfRule>
    <cfRule type="cellIs" dxfId="7" priority="19" operator="lessThan">
      <formula>0</formula>
    </cfRule>
  </conditionalFormatting>
  <conditionalFormatting sqref="C16:C17">
    <cfRule type="cellIs" dxfId="6" priority="6" operator="equal">
      <formula>"PENDIENTE"</formula>
    </cfRule>
    <cfRule type="cellIs" dxfId="5" priority="15" operator="greaterThanOrEqual">
      <formula>0</formula>
    </cfRule>
    <cfRule type="cellIs" dxfId="4" priority="16" operator="lessThan">
      <formula>0</formula>
    </cfRule>
  </conditionalFormatting>
  <conditionalFormatting sqref="D16">
    <cfRule type="cellIs" dxfId="3" priority="13" operator="greaterThanOrEqual">
      <formula>0</formula>
    </cfRule>
    <cfRule type="cellIs" dxfId="2" priority="14" operator="lessThan">
      <formula>0</formula>
    </cfRule>
  </conditionalFormatting>
  <conditionalFormatting sqref="C16:C17">
    <cfRule type="cellIs" dxfId="1" priority="7" operator="greaterThanOrEqual">
      <formula>0</formula>
    </cfRule>
    <cfRule type="cellIs" dxfId="0" priority="8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ENERO2022</vt:lpstr>
      <vt:lpstr>DEUDA ZONKY</vt:lpstr>
      <vt:lpstr>MAR-2022</vt:lpstr>
      <vt:lpstr>ABR-2022</vt:lpstr>
      <vt:lpstr>MAY-2022</vt:lpstr>
      <vt:lpstr>JUN-2022</vt:lpstr>
      <vt:lpstr>JUL-2022</vt:lpstr>
      <vt:lpstr>AGO-2022</vt:lpstr>
      <vt:lpstr>SEP-2022</vt:lpstr>
      <vt:lpstr>TRABAJOS-EC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 Bazalar</dc:creator>
  <cp:lastModifiedBy>Xavi Bazalar</cp:lastModifiedBy>
  <dcterms:created xsi:type="dcterms:W3CDTF">2022-01-17T00:20:17Z</dcterms:created>
  <dcterms:modified xsi:type="dcterms:W3CDTF">2022-08-30T19:40:09Z</dcterms:modified>
</cp:coreProperties>
</file>