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ndra365-my.sharepoint.com/personal/jaminotta_indracompany_com/Documents/Escritorio/"/>
    </mc:Choice>
  </mc:AlternateContent>
  <xr:revisionPtr revIDLastSave="1738" documentId="13_ncr:4000b_{0826BA86-8687-47C7-9F47-C489D9975AA1}" xr6:coauthVersionLast="47" xr6:coauthVersionMax="47" xr10:uidLastSave="{840D0AF3-DCB1-436D-86CF-55147B7E4E29}"/>
  <bookViews>
    <workbookView xWindow="20370" yWindow="-120" windowWidth="29040" windowHeight="15990" activeTab="5" xr2:uid="{00000000-000D-0000-FFFF-FFFF00000000}"/>
  </bookViews>
  <sheets>
    <sheet name="SOS" sheetId="13" r:id="rId1"/>
    <sheet name="CAJA" sheetId="4" r:id="rId2"/>
    <sheet name="Hoja1" sheetId="12" r:id="rId3"/>
    <sheet name="Costos" sheetId="11" r:id="rId4"/>
    <sheet name="Equipo de trabajo" sheetId="9" r:id="rId5"/>
    <sheet name="Hoja2" sheetId="14" r:id="rId6"/>
    <sheet name="copia" sheetId="1" state="hidden" r:id="rId7"/>
    <sheet name="Inventario" sheetId="2" r:id="rId8"/>
    <sheet name="Parametrizacion" sheetId="3" r:id="rId9"/>
    <sheet name="RF" sheetId="5" r:id="rId10"/>
    <sheet name="RNF" sheetId="6" r:id="rId11"/>
    <sheet name="Supuestos" sheetId="8" r:id="rId12"/>
    <sheet name="Riesgos" sheetId="7" r:id="rId13"/>
  </sheets>
  <definedNames>
    <definedName name="_xlnm._FilterDatabase" localSheetId="1" hidden="1">Inventario!$B$3:$B$21</definedName>
    <definedName name="_xlnm._FilterDatabase" localSheetId="6" hidden="1">Inventario!$B$3:$B$21</definedName>
    <definedName name="_xlnm._FilterDatabase" localSheetId="0" hidden="1">Inventario!$B$3:$B$21</definedName>
    <definedName name="BackEnd">Inventario!$D$3:$D$20</definedName>
    <definedName name="BBDD">Inventario!$F$3:$F$20</definedName>
    <definedName name="BPM">Inventario!$H$3:$H$20</definedName>
    <definedName name="Configuracion">Inventario!$N$3:$N$21</definedName>
    <definedName name="ETL">Inventario!$J$3:$J$20</definedName>
    <definedName name="FrontEnd">Inventario!$B$3:$B$21</definedName>
    <definedName name="FrontEndStoryPoints">Inventario!$C$3:$C$21</definedName>
    <definedName name="Pruebas">Inventario!$L$3:$L$20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4" l="1"/>
  <c r="K29" i="13"/>
  <c r="K22" i="13"/>
  <c r="K25" i="13" s="1"/>
  <c r="K20" i="13"/>
  <c r="J11" i="13"/>
  <c r="D37" i="13"/>
  <c r="G24" i="13"/>
  <c r="F24" i="13"/>
  <c r="E24" i="13"/>
  <c r="D24" i="13"/>
  <c r="G21" i="13"/>
  <c r="F21" i="13"/>
  <c r="E21" i="13"/>
  <c r="D21" i="13"/>
  <c r="E18" i="13"/>
  <c r="F18" i="13"/>
  <c r="G18" i="13"/>
  <c r="E10" i="13"/>
  <c r="F10" i="13"/>
  <c r="G10" i="13"/>
  <c r="E4" i="13"/>
  <c r="F4" i="13"/>
  <c r="G4" i="13"/>
  <c r="D18" i="13"/>
  <c r="D10" i="13"/>
  <c r="E26" i="13"/>
  <c r="F26" i="13" s="1"/>
  <c r="G26" i="13" s="1"/>
  <c r="E25" i="13"/>
  <c r="F25" i="13" s="1"/>
  <c r="G25" i="13" s="1"/>
  <c r="E23" i="13"/>
  <c r="F23" i="13" s="1"/>
  <c r="G23" i="13" s="1"/>
  <c r="E22" i="13"/>
  <c r="F22" i="13" s="1"/>
  <c r="G22" i="13" s="1"/>
  <c r="E19" i="13"/>
  <c r="F19" i="13" s="1"/>
  <c r="G19" i="13" s="1"/>
  <c r="E20" i="13"/>
  <c r="F20" i="13" s="1"/>
  <c r="G20" i="13" s="1"/>
  <c r="D27" i="13"/>
  <c r="D47" i="4"/>
  <c r="C48" i="4"/>
  <c r="C47" i="4"/>
  <c r="D13" i="13"/>
  <c r="C13" i="14" l="1"/>
  <c r="C10" i="14"/>
  <c r="C14" i="14"/>
  <c r="K28" i="13"/>
  <c r="K30" i="13" s="1"/>
  <c r="F72" i="13"/>
  <c r="E72" i="13"/>
  <c r="D72" i="13"/>
  <c r="C72" i="13"/>
  <c r="B72" i="13"/>
  <c r="B49" i="13"/>
  <c r="C48" i="13"/>
  <c r="F46" i="13"/>
  <c r="F36" i="13"/>
  <c r="F35" i="13"/>
  <c r="G35" i="13" s="1"/>
  <c r="F34" i="13"/>
  <c r="G34" i="13" s="1"/>
  <c r="F33" i="13"/>
  <c r="F32" i="13"/>
  <c r="G32" i="13" s="1"/>
  <c r="F31" i="13"/>
  <c r="F30" i="13"/>
  <c r="G30" i="13" s="1"/>
  <c r="E29" i="13"/>
  <c r="D29" i="13"/>
  <c r="E28" i="13"/>
  <c r="E27" i="13" s="1"/>
  <c r="E17" i="13"/>
  <c r="F17" i="13" s="1"/>
  <c r="G17" i="13" s="1"/>
  <c r="E16" i="13"/>
  <c r="F16" i="13" s="1"/>
  <c r="G16" i="13" s="1"/>
  <c r="E15" i="13"/>
  <c r="F15" i="13" s="1"/>
  <c r="G15" i="13" s="1"/>
  <c r="E14" i="13"/>
  <c r="E13" i="13" s="1"/>
  <c r="E12" i="13"/>
  <c r="F12" i="13" s="1"/>
  <c r="G12" i="13" s="1"/>
  <c r="E11" i="13"/>
  <c r="E9" i="13"/>
  <c r="F9" i="13" s="1"/>
  <c r="G9" i="13" s="1"/>
  <c r="E8" i="13"/>
  <c r="F8" i="13" s="1"/>
  <c r="G8" i="13" s="1"/>
  <c r="E7" i="13"/>
  <c r="F7" i="13" s="1"/>
  <c r="G7" i="13" s="1"/>
  <c r="E6" i="13"/>
  <c r="F6" i="13" s="1"/>
  <c r="G6" i="13" s="1"/>
  <c r="N5" i="13"/>
  <c r="K6" i="13" s="1"/>
  <c r="E5" i="13"/>
  <c r="D4" i="13"/>
  <c r="E19" i="4"/>
  <c r="F19" i="4" s="1"/>
  <c r="G19" i="4" s="1"/>
  <c r="E18" i="4"/>
  <c r="F18" i="4" s="1"/>
  <c r="G18" i="4" s="1"/>
  <c r="E17" i="4"/>
  <c r="F17" i="4" s="1"/>
  <c r="G17" i="4" s="1"/>
  <c r="E16" i="4"/>
  <c r="F16" i="4" s="1"/>
  <c r="G16" i="4" s="1"/>
  <c r="E15" i="4"/>
  <c r="F15" i="4" s="1"/>
  <c r="G15" i="4" s="1"/>
  <c r="E14" i="4"/>
  <c r="F14" i="4" s="1"/>
  <c r="G14" i="4" s="1"/>
  <c r="E12" i="4"/>
  <c r="F12" i="4" s="1"/>
  <c r="G12" i="4" s="1"/>
  <c r="C15" i="14" l="1"/>
  <c r="K32" i="13"/>
  <c r="K31" i="13"/>
  <c r="C39" i="13"/>
  <c r="E37" i="13"/>
  <c r="B74" i="13"/>
  <c r="M6" i="13"/>
  <c r="G33" i="13"/>
  <c r="C55" i="13"/>
  <c r="J6" i="13"/>
  <c r="L6" i="13"/>
  <c r="D52" i="13"/>
  <c r="C52" i="13"/>
  <c r="F14" i="13"/>
  <c r="F13" i="13" s="1"/>
  <c r="F37" i="13" s="1"/>
  <c r="F28" i="13"/>
  <c r="F27" i="13" s="1"/>
  <c r="F29" i="13"/>
  <c r="H47" i="13" s="1"/>
  <c r="G31" i="13"/>
  <c r="G36" i="13"/>
  <c r="D55" i="13"/>
  <c r="F11" i="13"/>
  <c r="F5" i="13"/>
  <c r="C17" i="14" l="1"/>
  <c r="C16" i="14"/>
  <c r="L7" i="13"/>
  <c r="M7" i="13"/>
  <c r="J7" i="13"/>
  <c r="K7" i="13"/>
  <c r="K11" i="13" s="1"/>
  <c r="K13" i="13" s="1"/>
  <c r="K14" i="13" s="1"/>
  <c r="K15" i="13" s="1"/>
  <c r="K16" i="13" s="1"/>
  <c r="F47" i="13"/>
  <c r="B44" i="13"/>
  <c r="G14" i="13"/>
  <c r="G13" i="13" s="1"/>
  <c r="G37" i="13" s="1"/>
  <c r="G29" i="13"/>
  <c r="G28" i="13"/>
  <c r="G27" i="13" s="1"/>
  <c r="G5" i="13"/>
  <c r="G11" i="13"/>
  <c r="C44" i="13" l="1"/>
  <c r="F45" i="13"/>
  <c r="C53" i="13"/>
  <c r="D53" i="13" l="1"/>
  <c r="E53" i="13" s="1"/>
  <c r="C54" i="13"/>
  <c r="D54" i="13"/>
  <c r="G45" i="13"/>
  <c r="H45" i="13" s="1"/>
  <c r="I45" i="13" s="1"/>
  <c r="J45" i="13" s="1"/>
  <c r="F48" i="13"/>
  <c r="H43" i="13"/>
  <c r="F43" i="13"/>
  <c r="G43" i="13" s="1"/>
  <c r="E67" i="4"/>
  <c r="C67" i="4"/>
  <c r="D67" i="4"/>
  <c r="F67" i="4"/>
  <c r="B67" i="4"/>
  <c r="H46" i="13" l="1"/>
  <c r="G46" i="13"/>
  <c r="B69" i="4"/>
  <c r="E5" i="4" l="1"/>
  <c r="F5" i="4" s="1"/>
  <c r="G5" i="4" s="1"/>
  <c r="D4" i="4"/>
  <c r="F30" i="4" l="1"/>
  <c r="F31" i="4"/>
  <c r="B44" i="4" l="1"/>
  <c r="C43" i="4"/>
  <c r="G31" i="4"/>
  <c r="C40" i="11" l="1"/>
  <c r="B43" i="11"/>
  <c r="N5" i="4" l="1"/>
  <c r="K6" i="4" l="1"/>
  <c r="L6" i="4"/>
  <c r="M6" i="4"/>
  <c r="J6" i="4"/>
  <c r="C34" i="11"/>
  <c r="A6" i="9"/>
  <c r="E6" i="4" l="1"/>
  <c r="F6" i="4" s="1"/>
  <c r="E7" i="4"/>
  <c r="F7" i="4" s="1"/>
  <c r="E9" i="4"/>
  <c r="F9" i="4" s="1"/>
  <c r="E8" i="4"/>
  <c r="F8" i="4" s="1"/>
  <c r="D10" i="4"/>
  <c r="E11" i="4"/>
  <c r="E10" i="4" s="1"/>
  <c r="D13" i="4"/>
  <c r="D20" i="4"/>
  <c r="E21" i="4"/>
  <c r="F21" i="4" s="1"/>
  <c r="D22" i="4"/>
  <c r="E23" i="4"/>
  <c r="F23" i="4" s="1"/>
  <c r="D24" i="4"/>
  <c r="F25" i="4"/>
  <c r="F26" i="4"/>
  <c r="C25" i="11" s="1"/>
  <c r="F27" i="4"/>
  <c r="C26" i="11" s="1"/>
  <c r="F28" i="4"/>
  <c r="D50" i="4" s="1"/>
  <c r="F29" i="4"/>
  <c r="C28" i="11" s="1"/>
  <c r="C29" i="11"/>
  <c r="D32" i="4" l="1"/>
  <c r="C27" i="11"/>
  <c r="C50" i="4"/>
  <c r="C24" i="11"/>
  <c r="C8" i="11"/>
  <c r="F11" i="4"/>
  <c r="F10" i="4" s="1"/>
  <c r="C4" i="11" s="1"/>
  <c r="C30" i="11"/>
  <c r="F20" i="4"/>
  <c r="C6" i="11" s="1"/>
  <c r="C9" i="11"/>
  <c r="E20" i="4"/>
  <c r="C22" i="11"/>
  <c r="C12" i="11"/>
  <c r="F4" i="4"/>
  <c r="C18" i="11"/>
  <c r="E4" i="4"/>
  <c r="C23" i="11"/>
  <c r="F22" i="4"/>
  <c r="C20" i="11" s="1"/>
  <c r="C14" i="11"/>
  <c r="C11" i="11"/>
  <c r="E22" i="4"/>
  <c r="C16" i="11"/>
  <c r="C10" i="11"/>
  <c r="C21" i="11"/>
  <c r="F24" i="4"/>
  <c r="E24" i="4"/>
  <c r="C17" i="11"/>
  <c r="C13" i="11"/>
  <c r="C7" i="11"/>
  <c r="C3" i="11"/>
  <c r="C19" i="11"/>
  <c r="C15" i="11"/>
  <c r="F13" i="4"/>
  <c r="C5" i="11" s="1"/>
  <c r="E13" i="4"/>
  <c r="G30" i="4"/>
  <c r="G29" i="4"/>
  <c r="C34" i="4" l="1"/>
  <c r="E32" i="4"/>
  <c r="F32" i="4"/>
  <c r="H38" i="4" s="1"/>
  <c r="C2" i="11"/>
  <c r="C31" i="11" s="1"/>
  <c r="D14" i="11" s="1"/>
  <c r="D49" i="4" l="1"/>
  <c r="D48" i="4"/>
  <c r="E48" i="4" s="1"/>
  <c r="C49" i="4"/>
  <c r="F38" i="4"/>
  <c r="G38" i="4" s="1"/>
  <c r="D11" i="11"/>
  <c r="D25" i="11"/>
  <c r="D8" i="11"/>
  <c r="D9" i="11"/>
  <c r="D12" i="11"/>
  <c r="D24" i="11"/>
  <c r="D3" i="11"/>
  <c r="D18" i="11"/>
  <c r="D28" i="11"/>
  <c r="D27" i="11"/>
  <c r="D21" i="11"/>
  <c r="D5" i="11"/>
  <c r="D15" i="11"/>
  <c r="D7" i="11"/>
  <c r="D6" i="11"/>
  <c r="D16" i="11"/>
  <c r="D17" i="11"/>
  <c r="D2" i="11"/>
  <c r="D26" i="11"/>
  <c r="D10" i="11"/>
  <c r="D30" i="11"/>
  <c r="D23" i="11"/>
  <c r="D22" i="11"/>
  <c r="D29" i="11"/>
  <c r="D13" i="11"/>
  <c r="D19" i="11"/>
  <c r="D4" i="11"/>
  <c r="D20" i="11"/>
  <c r="D31" i="11" l="1"/>
  <c r="G28" i="4" l="1"/>
  <c r="G27" i="4"/>
  <c r="G25" i="4" l="1"/>
  <c r="G6" i="4"/>
  <c r="G7" i="4"/>
  <c r="G9" i="4"/>
  <c r="G8" i="4"/>
  <c r="D46" i="1"/>
  <c r="D44" i="1"/>
  <c r="D18" i="1"/>
  <c r="D17" i="1"/>
  <c r="D43" i="1"/>
  <c r="D41" i="1"/>
  <c r="D40" i="1"/>
  <c r="D38" i="1"/>
  <c r="D37" i="1"/>
  <c r="D35" i="1"/>
  <c r="D34" i="1"/>
  <c r="D33" i="1"/>
  <c r="D32" i="1"/>
  <c r="D28" i="1"/>
  <c r="D30" i="1"/>
  <c r="D29" i="1"/>
  <c r="D27" i="1"/>
  <c r="D25" i="1"/>
  <c r="D24" i="1"/>
  <c r="D23" i="1"/>
  <c r="D22" i="1"/>
  <c r="D21" i="1"/>
  <c r="D15" i="1"/>
  <c r="D14" i="1"/>
  <c r="D13" i="1"/>
  <c r="D12" i="1"/>
  <c r="D11" i="1"/>
  <c r="D10" i="1"/>
  <c r="D8" i="1"/>
  <c r="D7" i="1"/>
  <c r="D6" i="1"/>
  <c r="D5" i="1"/>
  <c r="B49" i="1" s="1"/>
  <c r="G11" i="4" l="1"/>
  <c r="G10" i="4" s="1"/>
  <c r="G13" i="4"/>
  <c r="G21" i="4"/>
  <c r="G20" i="4" s="1"/>
  <c r="G23" i="4" l="1"/>
  <c r="G22" i="4" s="1"/>
  <c r="G4" i="4"/>
  <c r="F40" i="4"/>
  <c r="F43" i="4" s="1"/>
  <c r="F41" i="4"/>
  <c r="G26" i="4"/>
  <c r="G40" i="4" l="1"/>
  <c r="G24" i="4"/>
  <c r="G32" i="4" s="1"/>
  <c r="C39" i="4" l="1"/>
  <c r="B39" i="4"/>
  <c r="F42" i="4"/>
  <c r="H42" i="4"/>
  <c r="H41" i="4"/>
  <c r="G41" i="4"/>
  <c r="H40" i="4"/>
  <c r="I40" i="4" l="1"/>
  <c r="J40" i="4" s="1"/>
</calcChain>
</file>

<file path=xl/sharedStrings.xml><?xml version="1.0" encoding="utf-8"?>
<sst xmlns="http://schemas.openxmlformats.org/spreadsheetml/2006/main" count="748" uniqueCount="458">
  <si>
    <t>Piezas</t>
  </si>
  <si>
    <t>Story Points</t>
  </si>
  <si>
    <t>Front-End</t>
  </si>
  <si>
    <t>Página Web Sencilla</t>
  </si>
  <si>
    <t>Página Web Media</t>
  </si>
  <si>
    <t>Página Web Compleja</t>
  </si>
  <si>
    <t>Cuadro de Diálogo Modal</t>
  </si>
  <si>
    <t>Cambio Sencillo en CSS</t>
  </si>
  <si>
    <t>Cambio Medio en CSS</t>
  </si>
  <si>
    <t>Cambio Commplejo en CSS</t>
  </si>
  <si>
    <t>Librería JavaScript Sencilla</t>
  </si>
  <si>
    <t>Librería JavaScript Media</t>
  </si>
  <si>
    <t>Librería JavaScript Compleja</t>
  </si>
  <si>
    <t>Cambiar un icono</t>
  </si>
  <si>
    <t>Cliente de un Servicio Ajax Sencillo</t>
  </si>
  <si>
    <t>Cliente de un Servicio Ajax Medio</t>
  </si>
  <si>
    <t>Cliente de un Servicio Ajax Complejo</t>
  </si>
  <si>
    <t>Back-End</t>
  </si>
  <si>
    <t>Clase Sencilla</t>
  </si>
  <si>
    <t>Clase Media</t>
  </si>
  <si>
    <t>Clase Compleja</t>
  </si>
  <si>
    <t>Test Front-End Sencillo</t>
  </si>
  <si>
    <t>Test Front-End Medio</t>
  </si>
  <si>
    <t>Test Front-End Complejo</t>
  </si>
  <si>
    <t>Base de Datos</t>
  </si>
  <si>
    <t>Servicio Web Sencillo</t>
  </si>
  <si>
    <t>DAO Sencillo</t>
  </si>
  <si>
    <t>DAO Medio</t>
  </si>
  <si>
    <t>DAO Complejo</t>
  </si>
  <si>
    <t>BPM</t>
  </si>
  <si>
    <t>ETL</t>
  </si>
  <si>
    <t>Servicio Web Medio</t>
  </si>
  <si>
    <t>Controlador Sencillo</t>
  </si>
  <si>
    <t>Controlador Medio</t>
  </si>
  <si>
    <t>Controlador Complejo</t>
  </si>
  <si>
    <t>Servicio Web Complejo</t>
  </si>
  <si>
    <t>Cliente HTTP Sencillo</t>
  </si>
  <si>
    <t>Cliente HTTP Medio</t>
  </si>
  <si>
    <t>Cliente HTTP Complejo</t>
  </si>
  <si>
    <t>Test Unitario Sencillo</t>
  </si>
  <si>
    <t>Test Unitario Medio</t>
  </si>
  <si>
    <t>Test Unitario Complejo</t>
  </si>
  <si>
    <t>Pruebas</t>
  </si>
  <si>
    <t>Prueba de Integración sencilla</t>
  </si>
  <si>
    <t>Prueba de Integración Media</t>
  </si>
  <si>
    <t>Prueba de Integración Compleja</t>
  </si>
  <si>
    <t>Autentificación y Autorización</t>
  </si>
  <si>
    <t>Plantilla para estimar el coste de un desarrollo de software "Mi Tienda Web"</t>
  </si>
  <si>
    <t>Formulario</t>
  </si>
  <si>
    <t>Configuración</t>
  </si>
  <si>
    <t>Servicio de Autentificación</t>
  </si>
  <si>
    <t>Servicio de Autorización</t>
  </si>
  <si>
    <t>Redirección de usuario</t>
  </si>
  <si>
    <t>Escaparate Principal</t>
  </si>
  <si>
    <t>Detalle de Producto</t>
  </si>
  <si>
    <t>Busquedas por nombre o referencia</t>
  </si>
  <si>
    <t>Ofertas destacadas</t>
  </si>
  <si>
    <t>Navegación por categorías</t>
  </si>
  <si>
    <t>Recomendaciones</t>
  </si>
  <si>
    <t>Catálogo</t>
  </si>
  <si>
    <t>Carrito</t>
  </si>
  <si>
    <t>Agregar al carro</t>
  </si>
  <si>
    <t>Mostrar carro</t>
  </si>
  <si>
    <t>Resumen de pre-checkout</t>
  </si>
  <si>
    <t>Registro de Usuarios</t>
  </si>
  <si>
    <t>Formulario de Registro</t>
  </si>
  <si>
    <t>Recuperar Contraseña</t>
  </si>
  <si>
    <t>Confirmar Registro</t>
  </si>
  <si>
    <t>Enviar E-mail de Confirmación</t>
  </si>
  <si>
    <t>Pago</t>
  </si>
  <si>
    <t>Pago de usuario registrado</t>
  </si>
  <si>
    <t>Pago de usuario no registrado</t>
  </si>
  <si>
    <t>Confirmar Pago</t>
  </si>
  <si>
    <t>Pasarela Bancaria</t>
  </si>
  <si>
    <t>Ayuda y Contenidos</t>
  </si>
  <si>
    <t>Aviso Legal</t>
  </si>
  <si>
    <t>Preguntas Frecuentes</t>
  </si>
  <si>
    <t>Contacto</t>
  </si>
  <si>
    <t>Formulario de Contacto</t>
  </si>
  <si>
    <t>Registro de Contactos</t>
  </si>
  <si>
    <t>Auditoría de Logins</t>
  </si>
  <si>
    <t>Bloquear Ataques</t>
  </si>
  <si>
    <t>Pantalla de Login</t>
  </si>
  <si>
    <t>Añadir una columna</t>
  </si>
  <si>
    <t>Añadir una Tabla</t>
  </si>
  <si>
    <t>Añadir una Restricción</t>
  </si>
  <si>
    <t>Añadir un Disparador</t>
  </si>
  <si>
    <t>Pieza</t>
  </si>
  <si>
    <t>Cantidad</t>
  </si>
  <si>
    <t>Procedimiento Almacenado Sencillo</t>
  </si>
  <si>
    <t>Procedimiento Almacenado Medio</t>
  </si>
  <si>
    <t>Procedimiento Almacenado Complejo</t>
  </si>
  <si>
    <t>Añadir una Tarea</t>
  </si>
  <si>
    <t>Cambiar un Temporizador</t>
  </si>
  <si>
    <t>Proceso Sencillo</t>
  </si>
  <si>
    <t>Proceso Medio</t>
  </si>
  <si>
    <t>Proceso Complejo</t>
  </si>
  <si>
    <t>ETL Sencilla</t>
  </si>
  <si>
    <t>ETL Media</t>
  </si>
  <si>
    <t>ETL Compleja</t>
  </si>
  <si>
    <t>Cambiar un fichero de configuración</t>
  </si>
  <si>
    <t>Modelos de Datos</t>
  </si>
  <si>
    <t>Tablas</t>
  </si>
  <si>
    <t>Guardar Carro</t>
  </si>
  <si>
    <t>Google Analytics</t>
  </si>
  <si>
    <t>Analíticas</t>
  </si>
  <si>
    <t>Optimizely</t>
  </si>
  <si>
    <t>Exportación Contable</t>
  </si>
  <si>
    <t>Pasarela de Pago</t>
  </si>
  <si>
    <t>Resultado</t>
  </si>
  <si>
    <t>Parametrización</t>
  </si>
  <si>
    <t>Correspondencia Story Points → Horas/Hombre</t>
  </si>
  <si>
    <t>horas</t>
  </si>
  <si>
    <t>Consultas</t>
  </si>
  <si>
    <t>Productos</t>
  </si>
  <si>
    <t>Instalaciones</t>
  </si>
  <si>
    <t>Expertos</t>
  </si>
  <si>
    <t>Pantalla de perfil</t>
  </si>
  <si>
    <t>Terminos y condiciones</t>
  </si>
  <si>
    <t>Modificar perfil</t>
  </si>
  <si>
    <t>Certificación productos</t>
  </si>
  <si>
    <t>Inspección</t>
  </si>
  <si>
    <t>Laboratorios / Pruebas</t>
  </si>
  <si>
    <t>Solicitar prueba</t>
  </si>
  <si>
    <t>Flujo Certificación</t>
  </si>
  <si>
    <t>Flujo Pruebas</t>
  </si>
  <si>
    <t>Flujo Inspección</t>
  </si>
  <si>
    <t>Compra productos</t>
  </si>
  <si>
    <t>Flujo compra</t>
  </si>
  <si>
    <t>Exportación productos</t>
  </si>
  <si>
    <t>Arquitectura</t>
  </si>
  <si>
    <t>Pruebas Especializadas</t>
  </si>
  <si>
    <t>Módulo de cargas masivas</t>
  </si>
  <si>
    <t>Módulo de reportes</t>
  </si>
  <si>
    <t>Documentación</t>
  </si>
  <si>
    <t>Capacitación</t>
  </si>
  <si>
    <t>Módulo de envío de SMS</t>
  </si>
  <si>
    <t>Módulo de envío de Email</t>
  </si>
  <si>
    <t>Diseño gráfico</t>
  </si>
  <si>
    <t>Encriptación</t>
  </si>
  <si>
    <t>ANS</t>
  </si>
  <si>
    <t>Auditorías</t>
  </si>
  <si>
    <t>Requisitos funcionales</t>
  </si>
  <si>
    <t>Descripción</t>
  </si>
  <si>
    <t>RF01</t>
  </si>
  <si>
    <t>RF02</t>
  </si>
  <si>
    <t>RF03</t>
  </si>
  <si>
    <t>RF04</t>
  </si>
  <si>
    <t>RF05</t>
  </si>
  <si>
    <t>RF06</t>
  </si>
  <si>
    <t>Pagos</t>
  </si>
  <si>
    <t>RF07</t>
  </si>
  <si>
    <t>RF08</t>
  </si>
  <si>
    <t>RF09</t>
  </si>
  <si>
    <t>RF10</t>
  </si>
  <si>
    <t>RF11</t>
  </si>
  <si>
    <t>RF12</t>
  </si>
  <si>
    <t>Requisito No funcional</t>
  </si>
  <si>
    <t>NE01</t>
  </si>
  <si>
    <t>Revision por Pares</t>
  </si>
  <si>
    <t>NE02</t>
  </si>
  <si>
    <t>Supuestos</t>
  </si>
  <si>
    <t>NE03</t>
  </si>
  <si>
    <t>Riesgo</t>
  </si>
  <si>
    <t>NE04</t>
  </si>
  <si>
    <t>Soporte a pruebas y Estabilizacion entre ambientes</t>
  </si>
  <si>
    <t>NE05</t>
  </si>
  <si>
    <t>Transferencia de conocimiento</t>
  </si>
  <si>
    <t>NE06</t>
  </si>
  <si>
    <t>Configuración inicial</t>
  </si>
  <si>
    <t>Riesgos</t>
  </si>
  <si>
    <t>RE01</t>
  </si>
  <si>
    <t>Que Las reglas de negocio puedan cambiar en el detalle de la solución</t>
  </si>
  <si>
    <t>RE02</t>
  </si>
  <si>
    <t>RE03</t>
  </si>
  <si>
    <t>RE04</t>
  </si>
  <si>
    <t>Que la información de la configuración inicial no esté en el formato requerido</t>
  </si>
  <si>
    <t>RE05</t>
  </si>
  <si>
    <t>Que no se cuente con un ambiente de desarrollo / pruebas con datos confiables</t>
  </si>
  <si>
    <t>RE06</t>
  </si>
  <si>
    <t>S01</t>
  </si>
  <si>
    <t>S02</t>
  </si>
  <si>
    <t>S03</t>
  </si>
  <si>
    <t>S04</t>
  </si>
  <si>
    <t>S05</t>
  </si>
  <si>
    <t>Autenticación</t>
  </si>
  <si>
    <t>Registro</t>
  </si>
  <si>
    <t>Carrito compras</t>
  </si>
  <si>
    <t>Modelo de datos</t>
  </si>
  <si>
    <t>CIDET se encargará de realizar la depuración de la información incial que se desea importar</t>
  </si>
  <si>
    <t>No se contemplan comunicaciones con sistemas externos diferentes a la plataforma de pagos</t>
  </si>
  <si>
    <t>Los flujos de los procesos y paybox definidos no se modificarán en la versión actual</t>
  </si>
  <si>
    <t>Inicialmente se presentan los reportes básicos sugeridos por Axede</t>
  </si>
  <si>
    <t>Se utilizarán archivos PDF, Excel y planos, los videos y audios no se almacenarán sobre la aplicación</t>
  </si>
  <si>
    <t>La comparación de productos se realizaría dependiendo la categoría por calificación, imagen y precio</t>
  </si>
  <si>
    <t>Se discriminan los valores que se deben pagar y se realiza el pago a los diferentes actores mediante la pasarela de manera independiente, la aplicación deberá contar con el mecanismo de realizar una transacción con cada pago interno a realizar</t>
  </si>
  <si>
    <t>CIDET deberá controlar la renovación de las certificaciones e inspecciones</t>
  </si>
  <si>
    <t>La garantía de los productos no se procesarán mediante la aplicación</t>
  </si>
  <si>
    <t>La aplicación no realizará validaciones ni certificaciones de los productos, procesos o valores ingresados</t>
  </si>
  <si>
    <t>El modelo de valores ingresados no incluirán impuestos</t>
  </si>
  <si>
    <t>Inicialmente no se incluyen procesos de faturación electrónica</t>
  </si>
  <si>
    <t>Inicialmente no se incluyen módulos de cartera y contabilidad</t>
  </si>
  <si>
    <t>S06</t>
  </si>
  <si>
    <t>S07</t>
  </si>
  <si>
    <t>S08</t>
  </si>
  <si>
    <t>S09</t>
  </si>
  <si>
    <t>S10</t>
  </si>
  <si>
    <t>S11</t>
  </si>
  <si>
    <t>S12</t>
  </si>
  <si>
    <t>S13</t>
  </si>
  <si>
    <t>Que los archivos a importar no cuenten con el formado deseado</t>
  </si>
  <si>
    <t>Que la respuesta del equipo funcional de CIDET vinculado al proyecto no sea oportuna</t>
  </si>
  <si>
    <t>Que se realicen definiciones posteriores (modulos de cartera, facturación electrónica, contabilidad)</t>
  </si>
  <si>
    <t>CIDET entregará los referentes visuales para el diseño de la aplicación</t>
  </si>
  <si>
    <t>S14</t>
  </si>
  <si>
    <t>Formulario complejo</t>
  </si>
  <si>
    <t>Pruebas de estrés</t>
  </si>
  <si>
    <t>Horas</t>
  </si>
  <si>
    <t>Días</t>
  </si>
  <si>
    <t>Pantalla modificar perfil</t>
  </si>
  <si>
    <t>Pruebas QA</t>
  </si>
  <si>
    <t>Requisitos no funcionales</t>
  </si>
  <si>
    <t>Implementación Cloud</t>
  </si>
  <si>
    <t>Rol</t>
  </si>
  <si>
    <t>Gerente de proyectos</t>
  </si>
  <si>
    <t>Scrum Master</t>
  </si>
  <si>
    <t>Developer Team</t>
  </si>
  <si>
    <t>Analista de pruebas</t>
  </si>
  <si>
    <t>Perfil</t>
  </si>
  <si>
    <t>NE07</t>
  </si>
  <si>
    <t>Maestros de configuración</t>
  </si>
  <si>
    <t>Refinamiento necesidad</t>
  </si>
  <si>
    <t>Revisión por pares</t>
  </si>
  <si>
    <t>Descripción Técnica del Requerimiento</t>
  </si>
  <si>
    <t>Componentes</t>
  </si>
  <si>
    <t>Total</t>
  </si>
  <si>
    <t>Requerimiento</t>
  </si>
  <si>
    <t>Servicio de autorización de login</t>
  </si>
  <si>
    <t>Pantalla de términos y condiciones</t>
  </si>
  <si>
    <t>Servicio de direccionamiento desde el registro/login de usuarios</t>
  </si>
  <si>
    <t>Servicio de auditoría de login/logout de usuarios</t>
  </si>
  <si>
    <t>NE08</t>
  </si>
  <si>
    <t>NE09</t>
  </si>
  <si>
    <t>NE10</t>
  </si>
  <si>
    <t>NE11</t>
  </si>
  <si>
    <t>NE12</t>
  </si>
  <si>
    <t>NE13</t>
  </si>
  <si>
    <t>NE14</t>
  </si>
  <si>
    <t>NE15</t>
  </si>
  <si>
    <t>NE16</t>
  </si>
  <si>
    <t>NE17</t>
  </si>
  <si>
    <t>NE18</t>
  </si>
  <si>
    <t>NE19</t>
  </si>
  <si>
    <t>NE20</t>
  </si>
  <si>
    <t>NE21</t>
  </si>
  <si>
    <t>NE22</t>
  </si>
  <si>
    <t>NE23</t>
  </si>
  <si>
    <t>NE24</t>
  </si>
  <si>
    <t>NE25</t>
  </si>
  <si>
    <t>NE26</t>
  </si>
  <si>
    <t>Desarrollado Senior FullStack .Net</t>
  </si>
  <si>
    <t>DLLO</t>
  </si>
  <si>
    <t>Pruebas Integrales</t>
  </si>
  <si>
    <t>QA</t>
  </si>
  <si>
    <t>RNF</t>
  </si>
  <si>
    <t>RF13</t>
  </si>
  <si>
    <t>RF14</t>
  </si>
  <si>
    <t>RF15</t>
  </si>
  <si>
    <t>RF16</t>
  </si>
  <si>
    <t>RF17</t>
  </si>
  <si>
    <t>RF18</t>
  </si>
  <si>
    <t>RF19</t>
  </si>
  <si>
    <t>RF20</t>
  </si>
  <si>
    <t>ITEM</t>
  </si>
  <si>
    <t>DESCRIPCION</t>
  </si>
  <si>
    <t>HORAS</t>
  </si>
  <si>
    <t>VALOR</t>
  </si>
  <si>
    <t>Usuarios</t>
  </si>
  <si>
    <t xml:space="preserve"> Autentificación y Autorización</t>
  </si>
  <si>
    <t>Analista Funcional</t>
  </si>
  <si>
    <t>AF</t>
  </si>
  <si>
    <t>Contrato de soporte y mantenimiento</t>
  </si>
  <si>
    <t>Unificación Documentación</t>
  </si>
  <si>
    <t>Refinamiento necesidad, estabilización e incertidumbre</t>
  </si>
  <si>
    <t>Arquitectura de Sofware</t>
  </si>
  <si>
    <t>Actividades SCRUM</t>
  </si>
  <si>
    <t>Actividades</t>
  </si>
  <si>
    <t>Territoriedad</t>
  </si>
  <si>
    <t>Tipo de Operación</t>
  </si>
  <si>
    <t>Tipo de documento</t>
  </si>
  <si>
    <t>Periodicidades</t>
  </si>
  <si>
    <t>Impuestos</t>
  </si>
  <si>
    <t>Reportes</t>
  </si>
  <si>
    <t>Clientes</t>
  </si>
  <si>
    <t>Paises</t>
  </si>
  <si>
    <t>Retención en la fuente (Renta)</t>
  </si>
  <si>
    <t>Retención en la fuente (IVA)</t>
  </si>
  <si>
    <t>Cuentas contables</t>
  </si>
  <si>
    <t>Autoretenciones especiales</t>
  </si>
  <si>
    <t>Autoretenciones de renta</t>
  </si>
  <si>
    <t>Libro de ICA</t>
  </si>
  <si>
    <t>Libro de Ventas</t>
  </si>
  <si>
    <t>Liquidación de factura de venta</t>
  </si>
  <si>
    <t>Flujo Operación</t>
  </si>
  <si>
    <t>Recibir actividades</t>
  </si>
  <si>
    <t>Recibir servicios</t>
  </si>
  <si>
    <t>Creación cliente</t>
  </si>
  <si>
    <t>Generar retenciones</t>
  </si>
  <si>
    <t>Calcular impuestos</t>
  </si>
  <si>
    <t>Asociar impuestos</t>
  </si>
  <si>
    <t>Identificar tipo documento</t>
  </si>
  <si>
    <t>Identificar cliente</t>
  </si>
  <si>
    <t>Determinar impuestos</t>
  </si>
  <si>
    <t>Asociar valores a cuentas</t>
  </si>
  <si>
    <t>Notificaciones</t>
  </si>
  <si>
    <t>Ajustes</t>
  </si>
  <si>
    <t>Reporte liquidación de facturas</t>
  </si>
  <si>
    <t>Calcular impuestos directos</t>
  </si>
  <si>
    <t>Configuración sistema</t>
  </si>
  <si>
    <t>Comunicaciones</t>
  </si>
  <si>
    <t>Usuarios / Roles</t>
  </si>
  <si>
    <t>API creación</t>
  </si>
  <si>
    <t>Creación de pantalla de login</t>
  </si>
  <si>
    <t>Reporte</t>
  </si>
  <si>
    <t>Aviso Legal / FAQ</t>
  </si>
  <si>
    <t>Supuestos / Riesgo</t>
  </si>
  <si>
    <t>Implementación Cloud / Despliegue</t>
  </si>
  <si>
    <t>Calcular impuestos (IVA, tableros, rete fuente, rete ICA, retenciones especiales)</t>
  </si>
  <si>
    <t>Desarrollador</t>
  </si>
  <si>
    <t>Arquitecto</t>
  </si>
  <si>
    <t>Diseñador</t>
  </si>
  <si>
    <t>a&amp;D</t>
  </si>
  <si>
    <t>DEVP</t>
  </si>
  <si>
    <t>Módulo</t>
  </si>
  <si>
    <t>Requisito Funcional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</si>
  <si>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</si>
  <si>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</si>
  <si>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</si>
  <si>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</si>
  <si>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</si>
  <si>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</si>
  <si>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</si>
  <si>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</si>
  <si>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</si>
  <si>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</si>
  <si>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</si>
  <si>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</si>
  <si>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RF33</t>
  </si>
  <si>
    <t>RF34</t>
  </si>
  <si>
    <t>RF35</t>
  </si>
  <si>
    <t>RF36</t>
  </si>
  <si>
    <t>RF37</t>
  </si>
  <si>
    <t>RF38</t>
  </si>
  <si>
    <t>RF39</t>
  </si>
  <si>
    <t>RF40</t>
  </si>
  <si>
    <t>RF41</t>
  </si>
  <si>
    <t>RF42</t>
  </si>
  <si>
    <t>RF43</t>
  </si>
  <si>
    <t>RF44</t>
  </si>
  <si>
    <t>RF45</t>
  </si>
  <si>
    <t>RF46</t>
  </si>
  <si>
    <t>RF47</t>
  </si>
  <si>
    <t>RF48</t>
  </si>
  <si>
    <t>RF49</t>
  </si>
  <si>
    <t>RF50</t>
  </si>
  <si>
    <t>RF51</t>
  </si>
  <si>
    <t>RF52</t>
  </si>
  <si>
    <t>RF53</t>
  </si>
  <si>
    <t>RF54</t>
  </si>
  <si>
    <t>Redirección de usuarios</t>
  </si>
  <si>
    <t>Pantallas de inicio login de la aplicación</t>
  </si>
  <si>
    <t>Servicios de integración y autenticación al directorio activo</t>
  </si>
  <si>
    <t>Sistema de auditoría de ingresos y salidas de la aplicación</t>
  </si>
  <si>
    <t>Redireccionamiento del ingreso de usuarios</t>
  </si>
  <si>
    <t>Pantalla de lista de perfiles existentes</t>
  </si>
  <si>
    <t>Pantalla de asignación y modificación de perfiles de usuarios</t>
  </si>
  <si>
    <t>Servicio de actualización de perfiles</t>
  </si>
  <si>
    <t>API de gestión de perfiles de usuarios</t>
  </si>
  <si>
    <t>Maestro de configuración de actividades</t>
  </si>
  <si>
    <t>Maestro de configuración de territorios</t>
  </si>
  <si>
    <t>Maestro de configuración de tipos de operación</t>
  </si>
  <si>
    <t>Maestro de configuración de tipos de documento</t>
  </si>
  <si>
    <t>Maestro de configuración de periodicidades</t>
  </si>
  <si>
    <t>Maestro de configuración de parámetros de impuestos</t>
  </si>
  <si>
    <t>Maestro de configuración de los reportes</t>
  </si>
  <si>
    <t>Maestro de configuración de la retención en la fuente - Renta</t>
  </si>
  <si>
    <t>Maestro de configuración de la retención en la fuente - IVA</t>
  </si>
  <si>
    <t>Maestro de configuración de clientes</t>
  </si>
  <si>
    <t>Maestro de configuración de lista de paises</t>
  </si>
  <si>
    <t>Maestro de configuración de las cuentas contables</t>
  </si>
  <si>
    <t>Maestro de configuración de autoretenciones especiales</t>
  </si>
  <si>
    <t>Maestro de confifugración de autoretenciones de renta</t>
  </si>
  <si>
    <t>Maestro de configuración de parámetros del sistema</t>
  </si>
  <si>
    <t>Maestro de configuración de las comunicaciones de la aplicación</t>
  </si>
  <si>
    <t>Generación de reportes de ICA y sus filtros</t>
  </si>
  <si>
    <t>Generación de reportes de Ventas y sus filtros</t>
  </si>
  <si>
    <t>Liquidación de facturas de venta</t>
  </si>
  <si>
    <t>Reporte de la liquidación de las facturas</t>
  </si>
  <si>
    <t>Servicios de comunicación e integración de servicios</t>
  </si>
  <si>
    <t>Servicios de comunicación e integración de actividades</t>
  </si>
  <si>
    <t>Servicios de comunicación e integración para creación de clientes</t>
  </si>
  <si>
    <t>Servicios de generación de retenciones</t>
  </si>
  <si>
    <t>Métodos de cálculo y generación de impuestos</t>
  </si>
  <si>
    <t>Métodos y servicios para asociar los impuestos correpsondientes</t>
  </si>
  <si>
    <t>Servicios para identificar el tipo de impuesto a aplicar</t>
  </si>
  <si>
    <t xml:space="preserve">Servicios y métodos para identiificar el cliente </t>
  </si>
  <si>
    <t>Método y servicio para determinar el cálculo de impuestos</t>
  </si>
  <si>
    <t>Métodos de generación de los diferentes impuestos</t>
  </si>
  <si>
    <t>Métodos para la actualización de los valores en las cuentas contables</t>
  </si>
  <si>
    <t>Servicios y métodos de notificación</t>
  </si>
  <si>
    <t>Servicios y métodos de ajuste de impuestos</t>
  </si>
  <si>
    <t>Métodos para el cálculo de impuestos directos</t>
  </si>
  <si>
    <t>Pantallas de información adicional</t>
  </si>
  <si>
    <t>Creación del modelo de datos</t>
  </si>
  <si>
    <t>Creación del módulo que permita importar información masivamente</t>
  </si>
  <si>
    <t>Implementación del módulo de reportes y generación de información</t>
  </si>
  <si>
    <t>Despliegue en ambientes Cloud (Desarrollo, Pruebas y Producción)</t>
  </si>
  <si>
    <t>Generación de documentación funcional y técnica</t>
  </si>
  <si>
    <t>Capacitación y transferencia de conocimiento del funcionamiento de la solución</t>
  </si>
  <si>
    <t>Diseño gráfico de la herramienta</t>
  </si>
  <si>
    <t>Ajustes y refinamiento de la necesidad</t>
  </si>
  <si>
    <t>Actividades SCRUM, incluido el inception y levantamiento de historias de usuario</t>
  </si>
  <si>
    <t>Gestión de supuestos y riesgo asociado</t>
  </si>
  <si>
    <t>Diseño de la arquitectura de software de la solución</t>
  </si>
  <si>
    <t>dllo</t>
  </si>
  <si>
    <t>dllo2</t>
  </si>
  <si>
    <t>arq</t>
  </si>
  <si>
    <t>qa</t>
  </si>
  <si>
    <t>dise</t>
  </si>
  <si>
    <t>Trámites</t>
  </si>
  <si>
    <t>Registro e ingreso al portal personas de afiliaciones (CAJA)</t>
  </si>
  <si>
    <t>Consultar/Historial procesos</t>
  </si>
  <si>
    <t>Generación de certificados de afiliación y envío por correo electrónico (CAJA)</t>
  </si>
  <si>
    <t>Consulta de saldo de subsidio familiar monetario (CAJA)</t>
  </si>
  <si>
    <t>Motivos de no pago de subsidio familiar monetario (CAJA)</t>
  </si>
  <si>
    <t>Radicación de certificados escolares (CAJA)</t>
  </si>
  <si>
    <t>Conexión con el contact center (CAJA)</t>
  </si>
  <si>
    <t>Trámite</t>
  </si>
  <si>
    <t>Plantilla para estimar el coste de un desarrollo de software</t>
  </si>
  <si>
    <t>Militantes</t>
  </si>
  <si>
    <t>Cuentas claras</t>
  </si>
  <si>
    <t>Reposición</t>
  </si>
  <si>
    <t>Jurídico</t>
  </si>
  <si>
    <t>Ingreso</t>
  </si>
  <si>
    <t>Consulta</t>
  </si>
  <si>
    <t>Modificación</t>
  </si>
  <si>
    <t>Buscar</t>
  </si>
  <si>
    <t>Consultar</t>
  </si>
  <si>
    <t>Valor hora</t>
  </si>
  <si>
    <t>Inicial</t>
  </si>
  <si>
    <t>Periodos</t>
  </si>
  <si>
    <t>Valor mes</t>
  </si>
  <si>
    <t>% margen</t>
  </si>
  <si>
    <t>Ingresos</t>
  </si>
  <si>
    <t>Costo</t>
  </si>
  <si>
    <t>Utilidad</t>
  </si>
  <si>
    <t>Rentabilidad</t>
  </si>
  <si>
    <t>Margen contribución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</si>
</sst>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\ #,##0.00_);[Red]\(&quot;$&quot;\ #,##0.00\)"/>
    <numFmt numFmtId="165" formatCode="_(&quot;$&quot;\ * #,##0.00_);_(&quot;$&quot;\ * \(#,##0.00\);_(&quot;$&quot;\ * &quot;-&quot;??_);_(@_)"/>
    <numFmt numFmtId="166" formatCode="_(&quot;$&quot;\ * #,##0_);_(&quot;$&quot;\ * \(#,##0\);_(&quot;$&quot;\ * &quot;-&quot;??_);_(@_)"/>
  </numFmts>
  <fonts count="18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6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name val="Arial Nova"/>
      <family val="2"/>
    </font>
    <font>
      <b/>
      <sz val="10"/>
      <name val="Calibri"/>
      <family val="2"/>
    </font>
    <font>
      <sz val="10"/>
      <name val="Arial"/>
      <family val="2"/>
    </font>
    <font>
      <b/>
      <sz val="11"/>
      <color rgb="FFFFFFFF"/>
      <name val="Arial Nov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3003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165" fontId="12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3" fillId="0" borderId="0" xfId="0" applyFont="1"/>
    <xf numFmtId="0" fontId="2" fillId="0" borderId="0" xfId="0" applyFont="1" applyAlignment="1">
      <alignment horizontal="left" indent="1"/>
    </xf>
    <xf numFmtId="0" fontId="4" fillId="2" borderId="0" xfId="0" applyFont="1" applyFill="1"/>
    <xf numFmtId="0" fontId="5" fillId="2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5" xfId="0" applyBorder="1"/>
    <xf numFmtId="0" fontId="6" fillId="0" borderId="6" xfId="0" applyFont="1" applyBorder="1"/>
    <xf numFmtId="0" fontId="0" fillId="0" borderId="7" xfId="0" applyBorder="1"/>
    <xf numFmtId="0" fontId="6" fillId="0" borderId="8" xfId="0" applyFont="1" applyBorder="1"/>
    <xf numFmtId="0" fontId="0" fillId="0" borderId="8" xfId="0" applyBorder="1"/>
    <xf numFmtId="0" fontId="6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Fill="1" applyBorder="1"/>
    <xf numFmtId="0" fontId="9" fillId="3" borderId="4" xfId="0" applyFont="1" applyFill="1" applyBorder="1" applyAlignment="1">
      <alignment horizontal="left" indent="1"/>
    </xf>
    <xf numFmtId="0" fontId="8" fillId="4" borderId="2" xfId="0" applyFont="1" applyFill="1" applyBorder="1"/>
    <xf numFmtId="0" fontId="6" fillId="5" borderId="10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horizontal="left" indent="2"/>
    </xf>
    <xf numFmtId="0" fontId="8" fillId="4" borderId="2" xfId="0" applyFont="1" applyFill="1" applyBorder="1" applyAlignment="1">
      <alignment horizontal="left" indent="1"/>
    </xf>
    <xf numFmtId="0" fontId="8" fillId="4" borderId="2" xfId="0" applyFont="1" applyFill="1" applyBorder="1" applyAlignment="1"/>
    <xf numFmtId="0" fontId="9" fillId="3" borderId="4" xfId="0" applyFont="1" applyFill="1" applyBorder="1" applyAlignment="1"/>
    <xf numFmtId="0" fontId="8" fillId="4" borderId="2" xfId="0" applyFont="1" applyFill="1" applyBorder="1" applyAlignment="1">
      <alignment horizontal="left"/>
    </xf>
    <xf numFmtId="0" fontId="5" fillId="6" borderId="0" xfId="0" applyFont="1" applyFill="1"/>
    <xf numFmtId="0" fontId="5" fillId="6" borderId="8" xfId="0" applyFont="1" applyFill="1" applyBorder="1"/>
    <xf numFmtId="0" fontId="8" fillId="4" borderId="2" xfId="0" applyFont="1" applyFill="1" applyBorder="1" applyAlignment="1">
      <alignment wrapText="1"/>
    </xf>
    <xf numFmtId="0" fontId="9" fillId="3" borderId="4" xfId="0" applyFont="1" applyFill="1" applyBorder="1" applyAlignment="1">
      <alignment horizontal="left" wrapText="1"/>
    </xf>
    <xf numFmtId="0" fontId="8" fillId="4" borderId="2" xfId="0" applyFont="1" applyFill="1" applyBorder="1" applyAlignment="1">
      <alignment horizontal="left" wrapText="1"/>
    </xf>
    <xf numFmtId="0" fontId="9" fillId="4" borderId="2" xfId="0" applyFont="1" applyFill="1" applyBorder="1" applyAlignment="1">
      <alignment horizontal="left" wrapText="1"/>
    </xf>
    <xf numFmtId="0" fontId="5" fillId="6" borderId="8" xfId="0" applyFont="1" applyFill="1" applyBorder="1" applyAlignment="1">
      <alignment wrapText="1"/>
    </xf>
    <xf numFmtId="0" fontId="5" fillId="6" borderId="0" xfId="0" applyFont="1" applyFill="1" applyAlignment="1">
      <alignment wrapText="1"/>
    </xf>
    <xf numFmtId="0" fontId="0" fillId="0" borderId="0" xfId="0" applyAlignment="1">
      <alignment wrapText="1"/>
    </xf>
    <xf numFmtId="0" fontId="11" fillId="0" borderId="0" xfId="0" applyFont="1"/>
    <xf numFmtId="0" fontId="11" fillId="0" borderId="0" xfId="0" applyFont="1" applyFill="1" applyBorder="1"/>
    <xf numFmtId="0" fontId="10" fillId="0" borderId="0" xfId="0" applyFont="1"/>
    <xf numFmtId="0" fontId="13" fillId="0" borderId="8" xfId="0" applyFont="1" applyBorder="1" applyAlignment="1">
      <alignment vertical="center" wrapText="1"/>
    </xf>
    <xf numFmtId="0" fontId="13" fillId="0" borderId="8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166" fontId="0" fillId="0" borderId="0" xfId="1" applyNumberFormat="1" applyFont="1"/>
    <xf numFmtId="1" fontId="2" fillId="0" borderId="0" xfId="1" applyNumberFormat="1" applyFont="1"/>
    <xf numFmtId="166" fontId="2" fillId="0" borderId="0" xfId="1" applyNumberFormat="1" applyFont="1"/>
    <xf numFmtId="0" fontId="10" fillId="0" borderId="0" xfId="0" applyFont="1" applyFill="1" applyBorder="1"/>
    <xf numFmtId="164" fontId="0" fillId="0" borderId="0" xfId="0" applyNumberFormat="1"/>
    <xf numFmtId="9" fontId="0" fillId="0" borderId="0" xfId="2" applyFont="1"/>
    <xf numFmtId="0" fontId="17" fillId="7" borderId="13" xfId="0" applyFont="1" applyFill="1" applyBorder="1" applyAlignment="1">
      <alignment horizontal="center" vertical="center" wrapText="1"/>
    </xf>
    <xf numFmtId="0" fontId="17" fillId="7" borderId="14" xfId="0" applyFont="1" applyFill="1" applyBorder="1" applyAlignment="1">
      <alignment horizontal="center" vertical="center" wrapText="1"/>
    </xf>
    <xf numFmtId="0" fontId="17" fillId="7" borderId="1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7" fillId="7" borderId="14" xfId="0" applyFont="1" applyFill="1" applyBorder="1" applyAlignment="1">
      <alignment horizontal="center" wrapText="1"/>
    </xf>
    <xf numFmtId="0" fontId="0" fillId="8" borderId="0" xfId="0" applyFill="1"/>
    <xf numFmtId="0" fontId="0" fillId="9" borderId="0" xfId="0" applyFill="1"/>
    <xf numFmtId="166" fontId="0" fillId="0" borderId="0" xfId="1" applyNumberFormat="1" applyFont="1" applyAlignment="1">
      <alignment horizontal="left" indent="1"/>
    </xf>
    <xf numFmtId="9" fontId="11" fillId="0" borderId="0" xfId="0" applyNumberFormat="1" applyFont="1"/>
    <xf numFmtId="166" fontId="11" fillId="0" borderId="0" xfId="0" applyNumberFormat="1" applyFont="1"/>
    <xf numFmtId="166" fontId="0" fillId="0" borderId="0" xfId="0" applyNumberFormat="1"/>
    <xf numFmtId="0" fontId="4" fillId="6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4" fontId="15" fillId="0" borderId="11" xfId="0" applyNumberFormat="1" applyFont="1" applyBorder="1" applyAlignment="1">
      <alignment horizontal="center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4" fillId="2" borderId="0" xfId="0" applyFont="1" applyFill="1" applyAlignme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FDAF-0BC8-4218-A2E8-6E76FCF95883}">
  <dimension ref="A1:N74"/>
  <sheetViews>
    <sheetView topLeftCell="A12" zoomScale="110" zoomScaleNormal="110" workbookViewId="0">
      <selection activeCell="J19" sqref="J19:K32"/>
    </sheetView>
  </sheetViews>
  <sheetFormatPr baseColWidth="10" defaultColWidth="9.140625" defaultRowHeight="12.75" outlineLevelRow="1" x14ac:dyDescent="0.2"/>
  <cols>
    <col min="1" max="1" width="55.140625" customWidth="1"/>
    <col min="2" max="2" width="32.28515625" style="40" customWidth="1"/>
    <col min="3" max="3" width="25.140625" customWidth="1"/>
    <col min="4" max="4" width="9.140625" customWidth="1"/>
    <col min="5" max="5" width="12.42578125" customWidth="1"/>
    <col min="6" max="6" width="10.28515625" bestFit="1" customWidth="1"/>
    <col min="7" max="7" width="13.7109375" customWidth="1"/>
    <col min="10" max="10" width="19.42578125" customWidth="1"/>
    <col min="11" max="11" width="14.7109375" bestFit="1" customWidth="1"/>
    <col min="13" max="13" width="15.5703125" bestFit="1" customWidth="1"/>
  </cols>
  <sheetData>
    <row r="1" spans="1:14" ht="16.5" thickBot="1" x14ac:dyDescent="0.3">
      <c r="A1" s="65" t="s">
        <v>438</v>
      </c>
      <c r="B1" s="65"/>
      <c r="C1" s="65"/>
      <c r="D1" s="65"/>
      <c r="E1" s="65"/>
      <c r="F1" s="65"/>
      <c r="G1" s="65"/>
    </row>
    <row r="2" spans="1:14" ht="30.75" thickBot="1" x14ac:dyDescent="0.3">
      <c r="A2" s="26" t="s">
        <v>236</v>
      </c>
      <c r="B2" s="26" t="s">
        <v>233</v>
      </c>
      <c r="C2" s="26" t="s">
        <v>234</v>
      </c>
      <c r="D2" s="26" t="s">
        <v>88</v>
      </c>
      <c r="E2" s="26" t="s">
        <v>1</v>
      </c>
      <c r="F2" s="26" t="s">
        <v>217</v>
      </c>
      <c r="G2" s="26" t="s">
        <v>218</v>
      </c>
    </row>
    <row r="3" spans="1:14" ht="15.75" thickBot="1" x14ac:dyDescent="0.3">
      <c r="A3" s="25"/>
      <c r="B3" s="34"/>
      <c r="C3" s="25" t="s">
        <v>87</v>
      </c>
      <c r="D3" s="25" t="s">
        <v>88</v>
      </c>
      <c r="E3" s="25" t="s">
        <v>1</v>
      </c>
      <c r="F3" s="25" t="s">
        <v>217</v>
      </c>
      <c r="G3" s="25" t="s">
        <v>218</v>
      </c>
    </row>
    <row r="4" spans="1:14" ht="15" x14ac:dyDescent="0.25">
      <c r="A4" s="25" t="s">
        <v>278</v>
      </c>
      <c r="B4" s="34"/>
      <c r="C4" s="29"/>
      <c r="D4" s="29">
        <f>SUM(D5:D9)</f>
        <v>5</v>
      </c>
      <c r="E4" s="29">
        <f t="shared" ref="E4:G4" si="0">SUM(E5:E9)</f>
        <v>18</v>
      </c>
      <c r="F4" s="29">
        <f t="shared" si="0"/>
        <v>36</v>
      </c>
      <c r="G4" s="29">
        <f t="shared" si="0"/>
        <v>4.5</v>
      </c>
      <c r="J4" s="43" t="s">
        <v>331</v>
      </c>
      <c r="K4" s="43" t="s">
        <v>261</v>
      </c>
      <c r="L4" s="43" t="s">
        <v>263</v>
      </c>
      <c r="M4" s="50" t="s">
        <v>332</v>
      </c>
    </row>
    <row r="5" spans="1:14" ht="15" outlineLevel="1" x14ac:dyDescent="0.25">
      <c r="A5" s="24" t="s">
        <v>82</v>
      </c>
      <c r="B5" s="35"/>
      <c r="C5" s="30" t="s">
        <v>48</v>
      </c>
      <c r="D5" s="30">
        <v>1</v>
      </c>
      <c r="E5" s="30">
        <f>VLOOKUP(C5,Inventario!$B$3:$C$21,2,0)*D5</f>
        <v>4</v>
      </c>
      <c r="F5" s="30">
        <f>E5*Parametrizacion!$B$3</f>
        <v>8</v>
      </c>
      <c r="G5" s="30">
        <f t="shared" ref="G5:G28" si="1">F5/8</f>
        <v>1</v>
      </c>
      <c r="J5">
        <v>2</v>
      </c>
      <c r="K5">
        <v>4</v>
      </c>
      <c r="L5">
        <v>2</v>
      </c>
      <c r="M5">
        <v>1</v>
      </c>
      <c r="N5">
        <f>SUM(I5:M5)</f>
        <v>9</v>
      </c>
    </row>
    <row r="6" spans="1:14" ht="15" outlineLevel="1" x14ac:dyDescent="0.25">
      <c r="A6" s="24" t="s">
        <v>51</v>
      </c>
      <c r="B6" s="35"/>
      <c r="C6" s="30" t="s">
        <v>25</v>
      </c>
      <c r="D6" s="30">
        <v>1</v>
      </c>
      <c r="E6" s="30">
        <f>VLOOKUP(C6,Inventario!$D$3:$E$20,2,0)*D6</f>
        <v>4</v>
      </c>
      <c r="F6" s="30">
        <f>E6*Parametrizacion!$B$3</f>
        <v>8</v>
      </c>
      <c r="G6" s="30">
        <f t="shared" si="1"/>
        <v>1</v>
      </c>
      <c r="J6" s="52">
        <f>J5/$N$5</f>
        <v>0.22222222222222221</v>
      </c>
      <c r="K6" s="52">
        <f t="shared" ref="K6:M6" si="2">K5/$N$5</f>
        <v>0.44444444444444442</v>
      </c>
      <c r="L6" s="52">
        <f t="shared" si="2"/>
        <v>0.22222222222222221</v>
      </c>
      <c r="M6" s="52">
        <f t="shared" si="2"/>
        <v>0.1111111111111111</v>
      </c>
    </row>
    <row r="7" spans="1:14" ht="15" outlineLevel="1" x14ac:dyDescent="0.25">
      <c r="A7" s="24" t="s">
        <v>118</v>
      </c>
      <c r="B7" s="35"/>
      <c r="C7" s="30" t="s">
        <v>48</v>
      </c>
      <c r="D7" s="30">
        <v>1</v>
      </c>
      <c r="E7" s="30">
        <f>VLOOKUP(C7,Inventario!B7:C24,2,0)*D7</f>
        <v>4</v>
      </c>
      <c r="F7" s="30">
        <f>E7*Parametrizacion!$B$3</f>
        <v>8</v>
      </c>
      <c r="G7" s="30">
        <f t="shared" si="1"/>
        <v>1</v>
      </c>
      <c r="J7">
        <f>J6*$C$39</f>
        <v>68</v>
      </c>
      <c r="K7">
        <f t="shared" ref="K7:M7" si="3">K6*$C$39</f>
        <v>136</v>
      </c>
      <c r="L7">
        <f t="shared" si="3"/>
        <v>68</v>
      </c>
      <c r="M7">
        <f t="shared" si="3"/>
        <v>34</v>
      </c>
    </row>
    <row r="8" spans="1:14" ht="15" outlineLevel="1" x14ac:dyDescent="0.25">
      <c r="A8" s="24" t="s">
        <v>80</v>
      </c>
      <c r="B8" s="35"/>
      <c r="C8" s="30" t="s">
        <v>19</v>
      </c>
      <c r="D8" s="30">
        <v>1</v>
      </c>
      <c r="E8" s="30">
        <f>VLOOKUP(C8,Inventario!D3:E20,2,0)*D8</f>
        <v>4</v>
      </c>
      <c r="F8" s="30">
        <f>E8*Parametrizacion!$B$3</f>
        <v>8</v>
      </c>
      <c r="G8" s="30">
        <f>F8/8</f>
        <v>1</v>
      </c>
    </row>
    <row r="9" spans="1:14" ht="15.75" outlineLevel="1" thickBot="1" x14ac:dyDescent="0.3">
      <c r="A9" s="24" t="s">
        <v>52</v>
      </c>
      <c r="B9" s="35"/>
      <c r="C9" s="30" t="s">
        <v>18</v>
      </c>
      <c r="D9" s="30">
        <v>1</v>
      </c>
      <c r="E9" s="30">
        <f>VLOOKUP(C9,Inventario!D3:E20,2,0)*D9</f>
        <v>2</v>
      </c>
      <c r="F9" s="30">
        <f>E9*Parametrizacion!$B$3</f>
        <v>4</v>
      </c>
      <c r="G9" s="30">
        <f t="shared" si="1"/>
        <v>0.5</v>
      </c>
    </row>
    <row r="10" spans="1:14" ht="15" x14ac:dyDescent="0.25">
      <c r="A10" s="25" t="s">
        <v>113</v>
      </c>
      <c r="B10" s="36"/>
      <c r="C10" s="29"/>
      <c r="D10" s="29">
        <f>SUM(D11:D12)</f>
        <v>2</v>
      </c>
      <c r="E10" s="29">
        <f t="shared" ref="E10:G10" si="4">SUM(E11:E12)</f>
        <v>16</v>
      </c>
      <c r="F10" s="29">
        <f t="shared" si="4"/>
        <v>32</v>
      </c>
      <c r="G10" s="29">
        <f t="shared" si="4"/>
        <v>4</v>
      </c>
    </row>
    <row r="11" spans="1:14" ht="15" outlineLevel="1" x14ac:dyDescent="0.25">
      <c r="A11" s="24" t="s">
        <v>431</v>
      </c>
      <c r="B11" s="35"/>
      <c r="C11" s="30" t="s">
        <v>3</v>
      </c>
      <c r="D11" s="30">
        <v>1</v>
      </c>
      <c r="E11" s="30">
        <f>VLOOKUP(C11,Inventario!$B$3:$C$21,2,0)*D11</f>
        <v>8</v>
      </c>
      <c r="F11" s="30">
        <f>E11*Parametrizacion!$B$3</f>
        <v>16</v>
      </c>
      <c r="G11" s="30">
        <f t="shared" si="1"/>
        <v>2</v>
      </c>
      <c r="J11" s="61">
        <f>K11*45000</f>
        <v>7650000</v>
      </c>
      <c r="K11">
        <f>K7+M7</f>
        <v>170</v>
      </c>
    </row>
    <row r="12" spans="1:14" ht="15.75" outlineLevel="1" thickBot="1" x14ac:dyDescent="0.3">
      <c r="A12" s="24" t="s">
        <v>49</v>
      </c>
      <c r="B12" s="35"/>
      <c r="C12" s="30" t="s">
        <v>3</v>
      </c>
      <c r="D12" s="30">
        <v>1</v>
      </c>
      <c r="E12" s="30">
        <f>VLOOKUP(C12,Inventario!$B$3:$C$21,2,0)*D12</f>
        <v>8</v>
      </c>
      <c r="F12" s="30">
        <f>E12*Parametrizacion!$B$3</f>
        <v>16</v>
      </c>
      <c r="G12" s="30">
        <f t="shared" si="1"/>
        <v>2</v>
      </c>
    </row>
    <row r="13" spans="1:14" ht="15" x14ac:dyDescent="0.25">
      <c r="A13" s="28" t="s">
        <v>439</v>
      </c>
      <c r="B13" s="36"/>
      <c r="C13" s="29"/>
      <c r="D13" s="29">
        <f>SUM(D14:D17)</f>
        <v>4</v>
      </c>
      <c r="E13" s="29">
        <f t="shared" ref="E13:G13" si="5">SUM(E14:E17)</f>
        <v>32</v>
      </c>
      <c r="F13" s="29">
        <f t="shared" si="5"/>
        <v>64</v>
      </c>
      <c r="G13" s="29">
        <f t="shared" si="5"/>
        <v>8</v>
      </c>
      <c r="K13">
        <f>K11/160</f>
        <v>1.0625</v>
      </c>
    </row>
    <row r="14" spans="1:14" ht="15" outlineLevel="1" x14ac:dyDescent="0.25">
      <c r="A14" s="27" t="s">
        <v>443</v>
      </c>
      <c r="B14" s="35"/>
      <c r="C14" s="30" t="s">
        <v>36</v>
      </c>
      <c r="D14" s="30">
        <v>1</v>
      </c>
      <c r="E14" s="30">
        <f>VLOOKUP(C14,Inventario!$D$3:$E$20,2,0)*D14</f>
        <v>8</v>
      </c>
      <c r="F14" s="30">
        <f>E14*Parametrizacion!$B$3</f>
        <v>16</v>
      </c>
      <c r="G14" s="30">
        <f t="shared" ref="G14:G17" si="6">F14/8</f>
        <v>2</v>
      </c>
      <c r="I14" s="41"/>
      <c r="J14" s="41"/>
      <c r="K14" s="41">
        <f>K13-1</f>
        <v>6.25E-2</v>
      </c>
      <c r="L14" s="42"/>
      <c r="M14" s="42"/>
    </row>
    <row r="15" spans="1:14" ht="15" outlineLevel="1" x14ac:dyDescent="0.25">
      <c r="A15" s="27" t="s">
        <v>444</v>
      </c>
      <c r="B15" s="35"/>
      <c r="C15" s="30" t="s">
        <v>36</v>
      </c>
      <c r="D15" s="30">
        <v>1</v>
      </c>
      <c r="E15" s="30">
        <f>VLOOKUP(C15,Inventario!$D$3:$E$20,2,0)*D15</f>
        <v>8</v>
      </c>
      <c r="F15" s="30">
        <f>E15*Parametrizacion!$B$3</f>
        <v>16</v>
      </c>
      <c r="G15" s="30">
        <f t="shared" si="6"/>
        <v>2</v>
      </c>
      <c r="K15">
        <f>K14*12</f>
        <v>0.75</v>
      </c>
    </row>
    <row r="16" spans="1:14" ht="15" outlineLevel="1" x14ac:dyDescent="0.25">
      <c r="A16" s="27" t="s">
        <v>445</v>
      </c>
      <c r="B16" s="35"/>
      <c r="C16" s="30" t="s">
        <v>36</v>
      </c>
      <c r="D16" s="30">
        <v>1</v>
      </c>
      <c r="E16" s="30">
        <f>VLOOKUP(C16,Inventario!$D$3:$E$20,2,0)*D16</f>
        <v>8</v>
      </c>
      <c r="F16" s="30">
        <f>E16*Parametrizacion!$B$3</f>
        <v>16</v>
      </c>
      <c r="G16" s="30">
        <f t="shared" si="6"/>
        <v>2</v>
      </c>
      <c r="K16">
        <f>K15*30</f>
        <v>22.5</v>
      </c>
    </row>
    <row r="17" spans="1:13" ht="15.75" outlineLevel="1" thickBot="1" x14ac:dyDescent="0.3">
      <c r="A17" s="27" t="s">
        <v>446</v>
      </c>
      <c r="B17" s="35"/>
      <c r="C17" s="30" t="s">
        <v>36</v>
      </c>
      <c r="D17" s="30">
        <v>1</v>
      </c>
      <c r="E17" s="30">
        <f>VLOOKUP(C17,Inventario!$D$3:$E$20,2,0)*D17</f>
        <v>8</v>
      </c>
      <c r="F17" s="30">
        <f>E17*Parametrizacion!$B$3</f>
        <v>16</v>
      </c>
      <c r="G17" s="30">
        <f t="shared" si="6"/>
        <v>2</v>
      </c>
    </row>
    <row r="18" spans="1:13" ht="15" x14ac:dyDescent="0.25">
      <c r="A18" s="28" t="s">
        <v>440</v>
      </c>
      <c r="B18" s="36"/>
      <c r="C18" s="29"/>
      <c r="D18" s="29">
        <f>SUM(D19:D20)</f>
        <v>2</v>
      </c>
      <c r="E18" s="29">
        <f t="shared" ref="E18:G18" si="7">SUM(E19:E20)</f>
        <v>16</v>
      </c>
      <c r="F18" s="29">
        <f t="shared" si="7"/>
        <v>32</v>
      </c>
      <c r="G18" s="29">
        <f t="shared" si="7"/>
        <v>4</v>
      </c>
    </row>
    <row r="19" spans="1:13" ht="15" outlineLevel="1" x14ac:dyDescent="0.25">
      <c r="A19" s="27" t="s">
        <v>443</v>
      </c>
      <c r="B19" s="35"/>
      <c r="C19" s="30" t="s">
        <v>3</v>
      </c>
      <c r="D19" s="30">
        <v>1</v>
      </c>
      <c r="E19" s="30">
        <f>VLOOKUP(C19,Inventario!$B$3:$C$21,2,0)*D19</f>
        <v>8</v>
      </c>
      <c r="F19" s="30">
        <f>E19*Parametrizacion!$B$3</f>
        <v>16</v>
      </c>
      <c r="G19" s="30">
        <f t="shared" ref="G19" si="8">F19/8</f>
        <v>2</v>
      </c>
      <c r="I19" s="41"/>
      <c r="J19" s="43" t="s">
        <v>452</v>
      </c>
      <c r="K19" s="62">
        <v>1</v>
      </c>
      <c r="L19" s="42"/>
      <c r="M19" s="42"/>
    </row>
    <row r="20" spans="1:13" ht="15.75" outlineLevel="1" thickBot="1" x14ac:dyDescent="0.3">
      <c r="A20" s="27" t="s">
        <v>447</v>
      </c>
      <c r="B20" s="35"/>
      <c r="C20" s="30" t="s">
        <v>36</v>
      </c>
      <c r="D20" s="30">
        <v>1</v>
      </c>
      <c r="E20" s="30">
        <f>VLOOKUP(C20,Inventario!$D$3:$E$20,2,0)*D20</f>
        <v>8</v>
      </c>
      <c r="F20" s="30">
        <f>E20*Parametrizacion!$B$3</f>
        <v>16</v>
      </c>
      <c r="G20" s="30">
        <f t="shared" ref="G20" si="9">F20/8</f>
        <v>2</v>
      </c>
      <c r="J20" s="43" t="s">
        <v>217</v>
      </c>
      <c r="K20">
        <f>K11</f>
        <v>170</v>
      </c>
    </row>
    <row r="21" spans="1:13" ht="15" x14ac:dyDescent="0.25">
      <c r="A21" s="28" t="s">
        <v>441</v>
      </c>
      <c r="B21" s="36"/>
      <c r="C21" s="29"/>
      <c r="D21" s="29">
        <f>SUM(D22:D23)</f>
        <v>2</v>
      </c>
      <c r="E21" s="29">
        <f t="shared" ref="E21" si="10">SUM(E22:E23)</f>
        <v>16</v>
      </c>
      <c r="F21" s="29">
        <f t="shared" ref="F21" si="11">SUM(F22:F23)</f>
        <v>32</v>
      </c>
      <c r="G21" s="29">
        <f t="shared" ref="G21" si="12">SUM(G22:G23)</f>
        <v>4</v>
      </c>
      <c r="J21" s="43" t="s">
        <v>448</v>
      </c>
      <c r="K21" s="47">
        <v>45000</v>
      </c>
    </row>
    <row r="22" spans="1:13" ht="15" outlineLevel="1" x14ac:dyDescent="0.25">
      <c r="A22" s="27" t="s">
        <v>443</v>
      </c>
      <c r="B22" s="35"/>
      <c r="C22" s="30" t="s">
        <v>3</v>
      </c>
      <c r="D22" s="30">
        <v>1</v>
      </c>
      <c r="E22" s="30">
        <f>VLOOKUP(C22,Inventario!$B$3:$C$21,2,0)*D22</f>
        <v>8</v>
      </c>
      <c r="F22" s="30">
        <f>E22*Parametrizacion!$B$3</f>
        <v>16</v>
      </c>
      <c r="G22" s="30">
        <f t="shared" ref="G22:G23" si="13">F22/8</f>
        <v>2</v>
      </c>
      <c r="I22" s="41"/>
      <c r="J22" s="2" t="s">
        <v>235</v>
      </c>
      <c r="K22" s="63">
        <f>(K21*K20)*(1+K19)</f>
        <v>15300000</v>
      </c>
      <c r="L22" s="42"/>
      <c r="M22" s="42"/>
    </row>
    <row r="23" spans="1:13" ht="15.75" outlineLevel="1" thickBot="1" x14ac:dyDescent="0.3">
      <c r="A23" s="27" t="s">
        <v>447</v>
      </c>
      <c r="B23" s="35"/>
      <c r="C23" s="30" t="s">
        <v>36</v>
      </c>
      <c r="D23" s="30">
        <v>1</v>
      </c>
      <c r="E23" s="30">
        <f>VLOOKUP(C23,Inventario!$D$3:$E$20,2,0)*D23</f>
        <v>8</v>
      </c>
      <c r="F23" s="30">
        <f>E23*Parametrizacion!$B$3</f>
        <v>16</v>
      </c>
      <c r="G23" s="30">
        <f t="shared" si="13"/>
        <v>2</v>
      </c>
      <c r="J23" s="43" t="s">
        <v>449</v>
      </c>
      <c r="K23" s="47">
        <v>4000000</v>
      </c>
    </row>
    <row r="24" spans="1:13" ht="15" x14ac:dyDescent="0.25">
      <c r="A24" s="28" t="s">
        <v>442</v>
      </c>
      <c r="B24" s="36"/>
      <c r="C24" s="29"/>
      <c r="D24" s="29">
        <f>SUM(D25:D26)</f>
        <v>2</v>
      </c>
      <c r="E24" s="29">
        <f t="shared" ref="E24" si="14">SUM(E25:E26)</f>
        <v>16</v>
      </c>
      <c r="F24" s="29">
        <f t="shared" ref="F24" si="15">SUM(F25:F26)</f>
        <v>32</v>
      </c>
      <c r="G24" s="29">
        <f t="shared" ref="G24" si="16">SUM(G25:G26)</f>
        <v>4</v>
      </c>
      <c r="J24" s="43" t="s">
        <v>450</v>
      </c>
      <c r="K24">
        <v>12</v>
      </c>
    </row>
    <row r="25" spans="1:13" ht="15" outlineLevel="1" x14ac:dyDescent="0.25">
      <c r="A25" s="27" t="s">
        <v>443</v>
      </c>
      <c r="B25" s="35"/>
      <c r="C25" s="30" t="s">
        <v>3</v>
      </c>
      <c r="D25" s="30">
        <v>1</v>
      </c>
      <c r="E25" s="30">
        <f>VLOOKUP(C25,Inventario!$B$3:$C$21,2,0)*D25</f>
        <v>8</v>
      </c>
      <c r="F25" s="30">
        <f>E25*Parametrizacion!$B$3</f>
        <v>16</v>
      </c>
      <c r="G25" s="30">
        <f t="shared" ref="G25:G26" si="17">F25/8</f>
        <v>2</v>
      </c>
      <c r="I25" s="41"/>
      <c r="J25" s="43" t="s">
        <v>451</v>
      </c>
      <c r="K25" s="63">
        <f>(K22-K23)/K24</f>
        <v>941666.66666666663</v>
      </c>
      <c r="L25" s="42"/>
      <c r="M25" s="42"/>
    </row>
    <row r="26" spans="1:13" ht="15.75" outlineLevel="1" thickBot="1" x14ac:dyDescent="0.3">
      <c r="A26" s="27" t="s">
        <v>447</v>
      </c>
      <c r="B26" s="35"/>
      <c r="C26" s="30" t="s">
        <v>36</v>
      </c>
      <c r="D26" s="30">
        <v>1</v>
      </c>
      <c r="E26" s="30">
        <f>VLOOKUP(C26,Inventario!$D$3:$E$20,2,0)*D26</f>
        <v>8</v>
      </c>
      <c r="F26" s="30">
        <f>E26*Parametrizacion!$B$3</f>
        <v>16</v>
      </c>
      <c r="G26" s="30">
        <f t="shared" si="17"/>
        <v>2</v>
      </c>
    </row>
    <row r="27" spans="1:13" ht="15" x14ac:dyDescent="0.25">
      <c r="A27" s="28" t="s">
        <v>292</v>
      </c>
      <c r="B27" s="36"/>
      <c r="C27" s="29"/>
      <c r="D27" s="29">
        <f>SUM(D28:D28)</f>
        <v>2</v>
      </c>
      <c r="E27" s="29">
        <f>SUM(E28:E28)</f>
        <v>16</v>
      </c>
      <c r="F27" s="29">
        <f>SUM(F28:F28)</f>
        <v>32</v>
      </c>
      <c r="G27" s="29">
        <f>SUM(G28:G28)</f>
        <v>4</v>
      </c>
    </row>
    <row r="28" spans="1:13" ht="15.75" outlineLevel="1" thickBot="1" x14ac:dyDescent="0.3">
      <c r="A28" s="27" t="s">
        <v>292</v>
      </c>
      <c r="B28" s="35" t="s">
        <v>323</v>
      </c>
      <c r="C28" s="30" t="s">
        <v>3</v>
      </c>
      <c r="D28" s="30">
        <v>2</v>
      </c>
      <c r="E28" s="30">
        <f>VLOOKUP(C28,Inventario!$B$3:$C$21,2,0)*D28</f>
        <v>16</v>
      </c>
      <c r="F28" s="30">
        <f>E28*Parametrizacion!$B$3</f>
        <v>32</v>
      </c>
      <c r="G28" s="30">
        <f t="shared" si="1"/>
        <v>4</v>
      </c>
      <c r="J28" s="43" t="s">
        <v>453</v>
      </c>
      <c r="K28" s="64">
        <f>K22</f>
        <v>15300000</v>
      </c>
    </row>
    <row r="29" spans="1:13" ht="15" x14ac:dyDescent="0.25">
      <c r="A29" s="25" t="s">
        <v>221</v>
      </c>
      <c r="B29" s="37"/>
      <c r="C29" s="31"/>
      <c r="D29" s="29">
        <f>SUM(D30:D36)</f>
        <v>7</v>
      </c>
      <c r="E29" s="29">
        <f>SUM(E30:E36)</f>
        <v>23</v>
      </c>
      <c r="F29" s="29">
        <f>SUM(F30:F36)</f>
        <v>46</v>
      </c>
      <c r="G29" s="29">
        <f>SUM(G30:G36)</f>
        <v>5.75</v>
      </c>
      <c r="J29" s="43" t="s">
        <v>454</v>
      </c>
      <c r="K29" s="64">
        <f>K21*K20</f>
        <v>7650000</v>
      </c>
    </row>
    <row r="30" spans="1:13" ht="15" outlineLevel="1" x14ac:dyDescent="0.25">
      <c r="A30" s="24" t="s">
        <v>326</v>
      </c>
      <c r="B30" s="35"/>
      <c r="C30" s="30" t="s">
        <v>20</v>
      </c>
      <c r="D30" s="30">
        <v>1</v>
      </c>
      <c r="E30" s="30">
        <v>5</v>
      </c>
      <c r="F30" s="30">
        <f>E30*Parametrizacion!$B$3</f>
        <v>10</v>
      </c>
      <c r="G30" s="30">
        <f t="shared" ref="G30:G34" si="18">F30/8</f>
        <v>1.25</v>
      </c>
      <c r="J30" s="43" t="s">
        <v>455</v>
      </c>
      <c r="K30" s="64">
        <f>K28-K29</f>
        <v>7650000</v>
      </c>
    </row>
    <row r="31" spans="1:13" ht="15" outlineLevel="1" x14ac:dyDescent="0.25">
      <c r="A31" s="24" t="s">
        <v>282</v>
      </c>
      <c r="B31" s="35"/>
      <c r="C31" s="30"/>
      <c r="D31" s="30">
        <v>1</v>
      </c>
      <c r="E31" s="30">
        <v>2</v>
      </c>
      <c r="F31" s="30">
        <f>E31*Parametrizacion!$B$3</f>
        <v>4</v>
      </c>
      <c r="G31" s="30">
        <f t="shared" si="18"/>
        <v>0.5</v>
      </c>
      <c r="J31" s="43" t="s">
        <v>456</v>
      </c>
      <c r="K31" s="52">
        <f>K30/K28</f>
        <v>0.5</v>
      </c>
    </row>
    <row r="32" spans="1:13" ht="15" outlineLevel="1" x14ac:dyDescent="0.25">
      <c r="A32" s="24" t="s">
        <v>135</v>
      </c>
      <c r="B32" s="35"/>
      <c r="C32" s="30"/>
      <c r="D32" s="30">
        <v>1</v>
      </c>
      <c r="E32" s="30">
        <v>4</v>
      </c>
      <c r="F32" s="30">
        <f>E32*Parametrizacion!$B$3</f>
        <v>8</v>
      </c>
      <c r="G32" s="30">
        <f t="shared" si="18"/>
        <v>1</v>
      </c>
      <c r="J32" s="43" t="s">
        <v>457</v>
      </c>
      <c r="K32" s="52">
        <f>K30/K29</f>
        <v>1</v>
      </c>
    </row>
    <row r="33" spans="1:10" ht="15" outlineLevel="1" x14ac:dyDescent="0.25">
      <c r="A33" s="24" t="s">
        <v>138</v>
      </c>
      <c r="B33" s="35"/>
      <c r="C33" s="30" t="s">
        <v>8</v>
      </c>
      <c r="D33" s="30">
        <v>1</v>
      </c>
      <c r="E33" s="30">
        <v>2</v>
      </c>
      <c r="F33" s="30">
        <f>E33*Parametrizacion!$B$3</f>
        <v>4</v>
      </c>
      <c r="G33" s="30">
        <f t="shared" si="18"/>
        <v>0.5</v>
      </c>
    </row>
    <row r="34" spans="1:10" ht="15" outlineLevel="1" x14ac:dyDescent="0.25">
      <c r="A34" s="24" t="s">
        <v>231</v>
      </c>
      <c r="B34" s="35"/>
      <c r="C34" s="24"/>
      <c r="D34" s="30">
        <v>1</v>
      </c>
      <c r="E34" s="30">
        <v>2</v>
      </c>
      <c r="F34" s="30">
        <f>E34*Parametrizacion!$B$3</f>
        <v>4</v>
      </c>
      <c r="G34" s="30">
        <f t="shared" si="18"/>
        <v>0.5</v>
      </c>
    </row>
    <row r="35" spans="1:10" ht="15" outlineLevel="1" x14ac:dyDescent="0.25">
      <c r="A35" s="24" t="s">
        <v>325</v>
      </c>
      <c r="B35" s="35"/>
      <c r="C35" s="24"/>
      <c r="D35" s="30">
        <v>1</v>
      </c>
      <c r="E35" s="30">
        <v>4</v>
      </c>
      <c r="F35" s="30">
        <f>E35*Parametrizacion!$B$3</f>
        <v>8</v>
      </c>
      <c r="G35" s="30">
        <f>F35/8</f>
        <v>1</v>
      </c>
    </row>
    <row r="36" spans="1:10" ht="15" outlineLevel="1" x14ac:dyDescent="0.25">
      <c r="A36" s="24" t="s">
        <v>284</v>
      </c>
      <c r="B36" s="35"/>
      <c r="C36" s="24"/>
      <c r="D36" s="30">
        <v>1</v>
      </c>
      <c r="E36" s="30">
        <v>4</v>
      </c>
      <c r="F36" s="30">
        <f>E36*Parametrizacion!$B$3</f>
        <v>8</v>
      </c>
      <c r="G36" s="30">
        <f>F36/8</f>
        <v>1</v>
      </c>
    </row>
    <row r="37" spans="1:10" x14ac:dyDescent="0.2">
      <c r="A37" s="33" t="s">
        <v>109</v>
      </c>
      <c r="B37" s="38" t="s">
        <v>235</v>
      </c>
      <c r="C37" s="33"/>
      <c r="D37" s="33">
        <f>D4+D10+D13++D18+D21+D24+D27+D29</f>
        <v>26</v>
      </c>
      <c r="E37" s="33">
        <f t="shared" ref="E37:F37" si="19">E4+E10+E13++E18+E21+E24+E27+E29</f>
        <v>153</v>
      </c>
      <c r="F37" s="33">
        <f t="shared" si="19"/>
        <v>306</v>
      </c>
      <c r="G37" s="33">
        <f>G4+G10+G13++G18+G21+G24+G27+G29</f>
        <v>38.25</v>
      </c>
    </row>
    <row r="38" spans="1:10" x14ac:dyDescent="0.2">
      <c r="I38" s="41"/>
      <c r="J38" s="41"/>
    </row>
    <row r="39" spans="1:10" x14ac:dyDescent="0.2">
      <c r="A39" s="32" t="s">
        <v>109</v>
      </c>
      <c r="B39" s="39"/>
      <c r="C39" s="32">
        <f>(E4+E10+E13+E18+E21+E24++E27+E29)*Parametrizacion!B3</f>
        <v>306</v>
      </c>
      <c r="D39" s="32" t="s">
        <v>112</v>
      </c>
      <c r="E39" s="32"/>
      <c r="F39" s="32"/>
      <c r="G39" s="32"/>
    </row>
    <row r="40" spans="1:10" ht="13.5" thickBot="1" x14ac:dyDescent="0.25"/>
    <row r="41" spans="1:10" ht="15" x14ac:dyDescent="0.25">
      <c r="A41" s="25"/>
      <c r="B41" s="34" t="s">
        <v>235</v>
      </c>
      <c r="C41" s="25"/>
      <c r="D41" s="25"/>
      <c r="E41" s="25"/>
    </row>
    <row r="43" spans="1:10" x14ac:dyDescent="0.2">
      <c r="F43">
        <f>F37/162</f>
        <v>1.8888888888888888</v>
      </c>
      <c r="G43">
        <f>F43/3</f>
        <v>0.62962962962962965</v>
      </c>
      <c r="H43">
        <f>F37/5</f>
        <v>61.2</v>
      </c>
    </row>
    <row r="44" spans="1:10" x14ac:dyDescent="0.2">
      <c r="B44" s="40">
        <f>C39/162</f>
        <v>1.8888888888888888</v>
      </c>
      <c r="C44">
        <f>3240-C39</f>
        <v>2934</v>
      </c>
    </row>
    <row r="45" spans="1:10" x14ac:dyDescent="0.2">
      <c r="E45" s="41" t="s">
        <v>261</v>
      </c>
      <c r="F45" s="33" t="e">
        <f>F4+#REF!+F10+F13+F27+#REF!+#REF!+#REF!+#REF!+#REF!+#REF!+#REF!+#REF!+#REF!+#REF!+#REF!+#REF!+#REF!+#REF!+#REF!+#REF!</f>
        <v>#REF!</v>
      </c>
      <c r="G45" t="e">
        <f>F45*0.25</f>
        <v>#REF!</v>
      </c>
      <c r="H45" t="e">
        <f>F45-G45</f>
        <v>#REF!</v>
      </c>
      <c r="I45" t="e">
        <f>H45:H47</f>
        <v>#REF!</v>
      </c>
      <c r="J45" t="e">
        <f>I45/3</f>
        <v>#REF!</v>
      </c>
    </row>
    <row r="46" spans="1:10" x14ac:dyDescent="0.2">
      <c r="E46" s="41" t="s">
        <v>263</v>
      </c>
      <c r="F46" t="e">
        <f>#REF!</f>
        <v>#REF!</v>
      </c>
      <c r="G46" t="e">
        <f>G45+F46</f>
        <v>#REF!</v>
      </c>
      <c r="H46" t="e">
        <f>G45+F46</f>
        <v>#REF!</v>
      </c>
      <c r="I46">
        <v>582</v>
      </c>
      <c r="J46">
        <v>582</v>
      </c>
    </row>
    <row r="47" spans="1:10" x14ac:dyDescent="0.2">
      <c r="C47">
        <v>3240</v>
      </c>
      <c r="E47" s="41" t="s">
        <v>264</v>
      </c>
      <c r="F47">
        <f>F29</f>
        <v>46</v>
      </c>
      <c r="H47">
        <f>F29</f>
        <v>46</v>
      </c>
      <c r="I47">
        <v>356</v>
      </c>
      <c r="J47">
        <v>356</v>
      </c>
    </row>
    <row r="48" spans="1:10" x14ac:dyDescent="0.2">
      <c r="B48" s="40">
        <v>2830</v>
      </c>
      <c r="C48">
        <f>C47/5</f>
        <v>648</v>
      </c>
      <c r="E48" s="50" t="s">
        <v>280</v>
      </c>
      <c r="F48" t="e">
        <f>F45*0.25</f>
        <v>#REF!</v>
      </c>
    </row>
    <row r="49" spans="1:6" x14ac:dyDescent="0.2">
      <c r="B49" s="40">
        <f>B48/5</f>
        <v>566</v>
      </c>
    </row>
    <row r="52" spans="1:6" x14ac:dyDescent="0.2">
      <c r="A52" s="43" t="s">
        <v>329</v>
      </c>
      <c r="B52" s="40">
        <v>1</v>
      </c>
      <c r="C52">
        <f>F36+F30</f>
        <v>18</v>
      </c>
      <c r="D52">
        <f>F36+F30</f>
        <v>18</v>
      </c>
      <c r="E52" s="43"/>
    </row>
    <row r="53" spans="1:6" x14ac:dyDescent="0.2">
      <c r="A53" s="43" t="s">
        <v>328</v>
      </c>
      <c r="C53">
        <f>F37-C52-C55</f>
        <v>284</v>
      </c>
      <c r="D53">
        <f>C53*80%</f>
        <v>227.20000000000002</v>
      </c>
      <c r="E53" s="43">
        <f>D53/162/2</f>
        <v>0.70123456790123462</v>
      </c>
    </row>
    <row r="54" spans="1:6" x14ac:dyDescent="0.2">
      <c r="A54" s="43" t="s">
        <v>42</v>
      </c>
      <c r="C54" s="43">
        <f>C53*20%</f>
        <v>56.800000000000004</v>
      </c>
      <c r="D54" s="43">
        <f>C53*20%</f>
        <v>56.800000000000004</v>
      </c>
      <c r="E54" s="43"/>
    </row>
    <row r="55" spans="1:6" x14ac:dyDescent="0.2">
      <c r="A55" s="43" t="s">
        <v>330</v>
      </c>
      <c r="C55">
        <f>F33</f>
        <v>4</v>
      </c>
      <c r="D55">
        <f>F33</f>
        <v>4</v>
      </c>
      <c r="E55" s="43"/>
    </row>
    <row r="56" spans="1:6" x14ac:dyDescent="0.2">
      <c r="E56" s="43"/>
    </row>
    <row r="57" spans="1:6" x14ac:dyDescent="0.2">
      <c r="E57" s="43"/>
    </row>
    <row r="59" spans="1:6" x14ac:dyDescent="0.2">
      <c r="B59" s="40" t="s">
        <v>424</v>
      </c>
      <c r="C59" t="s">
        <v>425</v>
      </c>
      <c r="D59" t="s">
        <v>426</v>
      </c>
      <c r="E59" t="s">
        <v>427</v>
      </c>
      <c r="F59" t="s">
        <v>428</v>
      </c>
    </row>
    <row r="60" spans="1:6" x14ac:dyDescent="0.2">
      <c r="A60" s="59">
        <v>1</v>
      </c>
      <c r="E60">
        <v>40</v>
      </c>
    </row>
    <row r="61" spans="1:6" x14ac:dyDescent="0.2">
      <c r="A61" s="59">
        <v>2</v>
      </c>
      <c r="B61" s="40">
        <v>20</v>
      </c>
      <c r="C61">
        <v>20</v>
      </c>
      <c r="D61">
        <v>12</v>
      </c>
      <c r="E61">
        <v>40</v>
      </c>
    </row>
    <row r="62" spans="1:6" x14ac:dyDescent="0.2">
      <c r="A62" s="59">
        <v>3</v>
      </c>
      <c r="B62" s="40">
        <v>40</v>
      </c>
      <c r="C62" s="40">
        <v>40</v>
      </c>
      <c r="D62">
        <v>40</v>
      </c>
      <c r="E62">
        <v>15</v>
      </c>
      <c r="F62">
        <v>20</v>
      </c>
    </row>
    <row r="63" spans="1:6" x14ac:dyDescent="0.2">
      <c r="A63" s="59">
        <v>4</v>
      </c>
      <c r="B63" s="40">
        <v>40</v>
      </c>
      <c r="C63" s="40">
        <v>40</v>
      </c>
      <c r="D63">
        <v>20</v>
      </c>
      <c r="E63">
        <v>15</v>
      </c>
      <c r="F63">
        <v>20</v>
      </c>
    </row>
    <row r="64" spans="1:6" x14ac:dyDescent="0.2">
      <c r="A64" s="60">
        <v>5</v>
      </c>
      <c r="B64" s="40">
        <v>40</v>
      </c>
      <c r="C64" s="40">
        <v>40</v>
      </c>
      <c r="E64">
        <v>18</v>
      </c>
    </row>
    <row r="65" spans="1:6" x14ac:dyDescent="0.2">
      <c r="A65" s="60">
        <v>6</v>
      </c>
      <c r="B65" s="40">
        <v>40</v>
      </c>
      <c r="C65" s="40">
        <v>40</v>
      </c>
      <c r="E65">
        <v>18</v>
      </c>
    </row>
    <row r="66" spans="1:6" x14ac:dyDescent="0.2">
      <c r="A66" s="60">
        <v>7</v>
      </c>
      <c r="B66" s="40">
        <v>40</v>
      </c>
      <c r="C66" s="40">
        <v>40</v>
      </c>
      <c r="E66">
        <v>18</v>
      </c>
    </row>
    <row r="67" spans="1:6" x14ac:dyDescent="0.2">
      <c r="A67" s="60">
        <v>8</v>
      </c>
      <c r="B67" s="40">
        <v>40</v>
      </c>
      <c r="C67" s="40">
        <v>40</v>
      </c>
      <c r="D67">
        <v>5</v>
      </c>
      <c r="E67">
        <v>18</v>
      </c>
    </row>
    <row r="68" spans="1:6" x14ac:dyDescent="0.2">
      <c r="A68">
        <v>9</v>
      </c>
      <c r="B68" s="40">
        <v>10</v>
      </c>
      <c r="C68" s="40">
        <v>10</v>
      </c>
      <c r="D68">
        <v>5</v>
      </c>
      <c r="E68">
        <v>18</v>
      </c>
    </row>
    <row r="69" spans="1:6" x14ac:dyDescent="0.2">
      <c r="A69">
        <v>10</v>
      </c>
      <c r="B69" s="40">
        <v>7</v>
      </c>
      <c r="C69" s="40">
        <v>7</v>
      </c>
      <c r="D69">
        <v>10</v>
      </c>
      <c r="E69">
        <v>18</v>
      </c>
    </row>
    <row r="72" spans="1:6" x14ac:dyDescent="0.2">
      <c r="B72" s="40">
        <f>SUM(B61:B71)</f>
        <v>277</v>
      </c>
      <c r="C72" s="40">
        <f>SUM(C61:C71)</f>
        <v>277</v>
      </c>
      <c r="D72" s="40">
        <f>SUM(D61:D71)</f>
        <v>92</v>
      </c>
      <c r="E72" s="40">
        <f>SUM(E60:E71)</f>
        <v>218</v>
      </c>
      <c r="F72" s="40">
        <f>SUM(F61:F71)</f>
        <v>40</v>
      </c>
    </row>
    <row r="74" spans="1:6" x14ac:dyDescent="0.2">
      <c r="B74" s="40">
        <f>B72+C72</f>
        <v>554</v>
      </c>
    </row>
  </sheetData>
  <mergeCells count="1">
    <mergeCell ref="A1:G1"/>
  </mergeCells>
  <dataValidations count="3">
    <dataValidation type="list" allowBlank="1" showInputMessage="1" showErrorMessage="1" sqref="C34:C36" xr:uid="{CD9D06B5-F1FB-493D-B02D-56E4451CF909}">
      <formula1>Pruebas</formula1>
    </dataValidation>
    <dataValidation type="list" allowBlank="1" showInputMessage="1" showErrorMessage="1" sqref="C33 C11:C12 C7:C8 C5 C27:C28 C19 C22 C25" xr:uid="{F5F3B764-9048-4654-A997-DE8EE7AFC528}">
      <formula1>FrontEnd</formula1>
    </dataValidation>
    <dataValidation type="list" allowBlank="1" showInputMessage="1" showErrorMessage="1" sqref="C6 C8:C9 C30:C32 C23 C14:C17 C20 C26" xr:uid="{CF29F63D-5F39-43F3-BF6D-E4C529906477}">
      <formula1>BackEnd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69"/>
  <sheetViews>
    <sheetView zoomScale="110" zoomScaleNormal="110" workbookViewId="0">
      <selection activeCell="I13" sqref="I13"/>
    </sheetView>
  </sheetViews>
  <sheetFormatPr baseColWidth="10" defaultColWidth="9.140625" defaultRowHeight="12.75" outlineLevelRow="1" x14ac:dyDescent="0.2"/>
  <cols>
    <col min="1" max="1" width="55.140625" customWidth="1"/>
    <col min="2" max="2" width="32.28515625" style="40" customWidth="1"/>
    <col min="3" max="3" width="25.140625" customWidth="1"/>
    <col min="4" max="4" width="9.140625" customWidth="1"/>
    <col min="5" max="5" width="12.42578125" customWidth="1"/>
    <col min="6" max="6" width="10.28515625" bestFit="1" customWidth="1"/>
    <col min="7" max="7" width="13.7109375" customWidth="1"/>
    <col min="11" max="11" width="11.85546875" bestFit="1" customWidth="1"/>
    <col min="13" max="13" width="15.5703125" bestFit="1" customWidth="1"/>
  </cols>
  <sheetData>
    <row r="1" spans="1:14" ht="16.5" thickBot="1" x14ac:dyDescent="0.3">
      <c r="A1" s="65" t="s">
        <v>438</v>
      </c>
      <c r="B1" s="65"/>
      <c r="C1" s="65"/>
      <c r="D1" s="65"/>
      <c r="E1" s="65"/>
      <c r="F1" s="65"/>
      <c r="G1" s="65"/>
    </row>
    <row r="2" spans="1:14" ht="30.75" thickBot="1" x14ac:dyDescent="0.3">
      <c r="A2" s="26" t="s">
        <v>236</v>
      </c>
      <c r="B2" s="26" t="s">
        <v>233</v>
      </c>
      <c r="C2" s="26" t="s">
        <v>234</v>
      </c>
      <c r="D2" s="26" t="s">
        <v>88</v>
      </c>
      <c r="E2" s="26" t="s">
        <v>1</v>
      </c>
      <c r="F2" s="26" t="s">
        <v>217</v>
      </c>
      <c r="G2" s="26" t="s">
        <v>218</v>
      </c>
    </row>
    <row r="3" spans="1:14" ht="15.75" thickBot="1" x14ac:dyDescent="0.3">
      <c r="A3" s="25"/>
      <c r="B3" s="34"/>
      <c r="C3" s="25" t="s">
        <v>87</v>
      </c>
      <c r="D3" s="25" t="s">
        <v>88</v>
      </c>
      <c r="E3" s="25" t="s">
        <v>1</v>
      </c>
      <c r="F3" s="25" t="s">
        <v>217</v>
      </c>
      <c r="G3" s="25" t="s">
        <v>218</v>
      </c>
    </row>
    <row r="4" spans="1:14" ht="15" x14ac:dyDescent="0.25">
      <c r="A4" s="25" t="s">
        <v>278</v>
      </c>
      <c r="B4" s="34"/>
      <c r="C4" s="29"/>
      <c r="D4" s="29">
        <f>SUM(D5:D9)</f>
        <v>5</v>
      </c>
      <c r="E4" s="29">
        <f>SUM(E5:E9)</f>
        <v>18</v>
      </c>
      <c r="F4" s="29">
        <f>SUM(F5:F9)</f>
        <v>36</v>
      </c>
      <c r="G4" s="29">
        <f>SUM(G5:G9)</f>
        <v>4.5</v>
      </c>
      <c r="J4" s="43" t="s">
        <v>331</v>
      </c>
      <c r="K4" s="43" t="s">
        <v>261</v>
      </c>
      <c r="L4" s="43" t="s">
        <v>263</v>
      </c>
      <c r="M4" s="50" t="s">
        <v>332</v>
      </c>
    </row>
    <row r="5" spans="1:14" ht="15" outlineLevel="1" x14ac:dyDescent="0.25">
      <c r="A5" s="24" t="s">
        <v>82</v>
      </c>
      <c r="B5" s="35" t="s">
        <v>322</v>
      </c>
      <c r="C5" s="30" t="s">
        <v>48</v>
      </c>
      <c r="D5" s="30">
        <v>1</v>
      </c>
      <c r="E5" s="30">
        <f>VLOOKUP(C5,Inventario!$B$3:$C$21,2,0)*D5</f>
        <v>4</v>
      </c>
      <c r="F5" s="30">
        <f>E5*Parametrizacion!$B$3</f>
        <v>8</v>
      </c>
      <c r="G5" s="30">
        <f t="shared" ref="G5" si="0">F5/8</f>
        <v>1</v>
      </c>
      <c r="J5">
        <v>2</v>
      </c>
      <c r="K5">
        <v>4</v>
      </c>
      <c r="L5">
        <v>2</v>
      </c>
      <c r="M5">
        <v>1</v>
      </c>
      <c r="N5">
        <f>SUM(I5:M5)</f>
        <v>9</v>
      </c>
    </row>
    <row r="6" spans="1:14" ht="15" outlineLevel="1" x14ac:dyDescent="0.25">
      <c r="A6" s="24" t="s">
        <v>51</v>
      </c>
      <c r="B6" s="35" t="s">
        <v>237</v>
      </c>
      <c r="C6" s="30" t="s">
        <v>25</v>
      </c>
      <c r="D6" s="30">
        <v>1</v>
      </c>
      <c r="E6" s="30">
        <f>VLOOKUP(C6,Inventario!$D$3:$E$20,2,0)*D6</f>
        <v>4</v>
      </c>
      <c r="F6" s="30">
        <f>E6*Parametrizacion!$B$3</f>
        <v>8</v>
      </c>
      <c r="G6" s="30">
        <f t="shared" ref="G6:G21" si="1">F6/8</f>
        <v>1</v>
      </c>
      <c r="J6" s="52">
        <f>J5/$N$5</f>
        <v>0.22222222222222221</v>
      </c>
      <c r="K6" s="52">
        <f t="shared" ref="K6:M6" si="2">K5/$N$5</f>
        <v>0.44444444444444442</v>
      </c>
      <c r="L6" s="52">
        <f t="shared" si="2"/>
        <v>0.22222222222222221</v>
      </c>
      <c r="M6" s="52">
        <f t="shared" si="2"/>
        <v>0.1111111111111111</v>
      </c>
    </row>
    <row r="7" spans="1:14" ht="15" outlineLevel="1" x14ac:dyDescent="0.25">
      <c r="A7" s="24" t="s">
        <v>118</v>
      </c>
      <c r="B7" s="35" t="s">
        <v>238</v>
      </c>
      <c r="C7" s="30" t="s">
        <v>48</v>
      </c>
      <c r="D7" s="30">
        <v>1</v>
      </c>
      <c r="E7" s="30">
        <f>VLOOKUP(C7,Inventario!B7:C24,2,0)*D7</f>
        <v>4</v>
      </c>
      <c r="F7" s="30">
        <f>E7*Parametrizacion!$B$3</f>
        <v>8</v>
      </c>
      <c r="G7" s="30">
        <f t="shared" si="1"/>
        <v>1</v>
      </c>
    </row>
    <row r="8" spans="1:14" ht="30" outlineLevel="1" x14ac:dyDescent="0.25">
      <c r="A8" s="24" t="s">
        <v>80</v>
      </c>
      <c r="B8" s="35" t="s">
        <v>240</v>
      </c>
      <c r="C8" s="30" t="s">
        <v>19</v>
      </c>
      <c r="D8" s="30">
        <v>1</v>
      </c>
      <c r="E8" s="30">
        <f>VLOOKUP(C8,Inventario!D3:E20,2,0)*D8</f>
        <v>4</v>
      </c>
      <c r="F8" s="30">
        <f>E8*Parametrizacion!$B$3</f>
        <v>8</v>
      </c>
      <c r="G8" s="30">
        <f>F8/8</f>
        <v>1</v>
      </c>
    </row>
    <row r="9" spans="1:14" ht="30.75" outlineLevel="1" thickBot="1" x14ac:dyDescent="0.3">
      <c r="A9" s="24" t="s">
        <v>52</v>
      </c>
      <c r="B9" s="35" t="s">
        <v>239</v>
      </c>
      <c r="C9" s="30" t="s">
        <v>18</v>
      </c>
      <c r="D9" s="30">
        <v>1</v>
      </c>
      <c r="E9" s="30">
        <f>VLOOKUP(C9,Inventario!D3:E20,2,0)*D9</f>
        <v>2</v>
      </c>
      <c r="F9" s="30">
        <f>E9*Parametrizacion!$B$3</f>
        <v>4</v>
      </c>
      <c r="G9" s="30">
        <f t="shared" si="1"/>
        <v>0.5</v>
      </c>
    </row>
    <row r="10" spans="1:14" ht="15" x14ac:dyDescent="0.25">
      <c r="A10" s="25" t="s">
        <v>113</v>
      </c>
      <c r="B10" s="36"/>
      <c r="C10" s="29"/>
      <c r="D10" s="29">
        <f>SUM(D11)</f>
        <v>1</v>
      </c>
      <c r="E10" s="29">
        <f t="shared" ref="E10:G10" si="3">SUM(E11)</f>
        <v>8</v>
      </c>
      <c r="F10" s="29">
        <f t="shared" si="3"/>
        <v>16</v>
      </c>
      <c r="G10" s="29">
        <f t="shared" si="3"/>
        <v>2</v>
      </c>
    </row>
    <row r="11" spans="1:14" ht="15" outlineLevel="1" x14ac:dyDescent="0.25">
      <c r="A11" s="24" t="s">
        <v>431</v>
      </c>
      <c r="B11" s="35"/>
      <c r="C11" s="30" t="s">
        <v>3</v>
      </c>
      <c r="D11" s="30">
        <v>1</v>
      </c>
      <c r="E11" s="30">
        <f>VLOOKUP(C11,Inventario!$B$3:$C$21,2,0)*D11</f>
        <v>8</v>
      </c>
      <c r="F11" s="30">
        <f>E11*Parametrizacion!$B$3</f>
        <v>16</v>
      </c>
      <c r="G11" s="30">
        <f t="shared" si="1"/>
        <v>2</v>
      </c>
    </row>
    <row r="12" spans="1:14" ht="15.75" outlineLevel="1" thickBot="1" x14ac:dyDescent="0.3">
      <c r="A12" s="24" t="s">
        <v>49</v>
      </c>
      <c r="B12" s="35"/>
      <c r="C12" s="30" t="s">
        <v>4</v>
      </c>
      <c r="D12" s="30">
        <v>1</v>
      </c>
      <c r="E12" s="30">
        <f>VLOOKUP(C12,Inventario!$B$3:$C$21,2,0)*D12</f>
        <v>16</v>
      </c>
      <c r="F12" s="30">
        <f>E12*Parametrizacion!$B$3</f>
        <v>32</v>
      </c>
      <c r="G12" s="30">
        <f t="shared" ref="G12" si="4">F12/8</f>
        <v>4</v>
      </c>
    </row>
    <row r="13" spans="1:14" ht="15" x14ac:dyDescent="0.25">
      <c r="A13" s="28" t="s">
        <v>429</v>
      </c>
      <c r="B13" s="36"/>
      <c r="C13" s="29"/>
      <c r="D13" s="29">
        <f>SUM(D14:D19)</f>
        <v>6</v>
      </c>
      <c r="E13" s="29">
        <f>SUM(E14:E19)</f>
        <v>96</v>
      </c>
      <c r="F13" s="29">
        <f>SUM(F14:F19)</f>
        <v>192</v>
      </c>
      <c r="G13" s="29">
        <f>SUM(G14:G19)</f>
        <v>24</v>
      </c>
    </row>
    <row r="14" spans="1:14" ht="15" outlineLevel="1" x14ac:dyDescent="0.25">
      <c r="A14" s="27" t="s">
        <v>430</v>
      </c>
      <c r="B14" s="35" t="s">
        <v>437</v>
      </c>
      <c r="C14" s="30" t="s">
        <v>37</v>
      </c>
      <c r="D14" s="30">
        <v>1</v>
      </c>
      <c r="E14" s="30">
        <f>VLOOKUP(C14,Inventario!$D$3:$E$20,2,0)*D14</f>
        <v>16</v>
      </c>
      <c r="F14" s="30">
        <f>E14*Parametrizacion!$B$3</f>
        <v>32</v>
      </c>
      <c r="G14" s="30">
        <f t="shared" ref="G14:G19" si="5">F14/8</f>
        <v>4</v>
      </c>
    </row>
    <row r="15" spans="1:14" ht="15" outlineLevel="1" x14ac:dyDescent="0.25">
      <c r="A15" s="27" t="s">
        <v>432</v>
      </c>
      <c r="B15" s="35" t="s">
        <v>437</v>
      </c>
      <c r="C15" s="30" t="s">
        <v>37</v>
      </c>
      <c r="D15" s="30">
        <v>1</v>
      </c>
      <c r="E15" s="30">
        <f>VLOOKUP(C15,Inventario!$D$3:$E$20,2,0)*D15</f>
        <v>16</v>
      </c>
      <c r="F15" s="30">
        <f>E15*Parametrizacion!$B$3</f>
        <v>32</v>
      </c>
      <c r="G15" s="30">
        <f t="shared" si="5"/>
        <v>4</v>
      </c>
    </row>
    <row r="16" spans="1:14" ht="15" outlineLevel="1" x14ac:dyDescent="0.25">
      <c r="A16" s="27" t="s">
        <v>433</v>
      </c>
      <c r="B16" s="35" t="s">
        <v>437</v>
      </c>
      <c r="C16" s="30" t="s">
        <v>37</v>
      </c>
      <c r="D16" s="30">
        <v>1</v>
      </c>
      <c r="E16" s="30">
        <f>VLOOKUP(C16,Inventario!$D$3:$E$20,2,0)*D16</f>
        <v>16</v>
      </c>
      <c r="F16" s="30">
        <f>E16*Parametrizacion!$B$3</f>
        <v>32</v>
      </c>
      <c r="G16" s="30">
        <f t="shared" si="5"/>
        <v>4</v>
      </c>
    </row>
    <row r="17" spans="1:7" ht="15" outlineLevel="1" x14ac:dyDescent="0.25">
      <c r="A17" s="27" t="s">
        <v>434</v>
      </c>
      <c r="B17" s="35" t="s">
        <v>437</v>
      </c>
      <c r="C17" s="30" t="s">
        <v>37</v>
      </c>
      <c r="D17" s="30">
        <v>1</v>
      </c>
      <c r="E17" s="30">
        <f>VLOOKUP(C17,Inventario!$D$3:$E$20,2,0)*D17</f>
        <v>16</v>
      </c>
      <c r="F17" s="30">
        <f>E17*Parametrizacion!$B$3</f>
        <v>32</v>
      </c>
      <c r="G17" s="30">
        <f t="shared" si="5"/>
        <v>4</v>
      </c>
    </row>
    <row r="18" spans="1:7" ht="15" outlineLevel="1" x14ac:dyDescent="0.25">
      <c r="A18" s="27" t="s">
        <v>435</v>
      </c>
      <c r="B18" s="35" t="s">
        <v>437</v>
      </c>
      <c r="C18" s="30" t="s">
        <v>37</v>
      </c>
      <c r="D18" s="30">
        <v>1</v>
      </c>
      <c r="E18" s="30">
        <f>VLOOKUP(C18,Inventario!$D$3:$E$20,2,0)*D18</f>
        <v>16</v>
      </c>
      <c r="F18" s="30">
        <f>E18*Parametrizacion!$B$3</f>
        <v>32</v>
      </c>
      <c r="G18" s="30">
        <f t="shared" si="5"/>
        <v>4</v>
      </c>
    </row>
    <row r="19" spans="1:7" ht="15.75" outlineLevel="1" thickBot="1" x14ac:dyDescent="0.3">
      <c r="A19" s="27" t="s">
        <v>436</v>
      </c>
      <c r="B19" s="35" t="s">
        <v>437</v>
      </c>
      <c r="C19" s="30" t="s">
        <v>37</v>
      </c>
      <c r="D19" s="30">
        <v>1</v>
      </c>
      <c r="E19" s="30">
        <f>VLOOKUP(C19,Inventario!$D$3:$E$20,2,0)*D19</f>
        <v>16</v>
      </c>
      <c r="F19" s="30">
        <f>E19*Parametrizacion!$B$3</f>
        <v>32</v>
      </c>
      <c r="G19" s="30">
        <f t="shared" si="5"/>
        <v>4</v>
      </c>
    </row>
    <row r="20" spans="1:7" ht="15" x14ac:dyDescent="0.25">
      <c r="A20" s="28" t="s">
        <v>292</v>
      </c>
      <c r="B20" s="36"/>
      <c r="C20" s="29"/>
      <c r="D20" s="29">
        <f>SUM(D21:D21)</f>
        <v>4</v>
      </c>
      <c r="E20" s="29">
        <f>SUM(E21:E21)</f>
        <v>32</v>
      </c>
      <c r="F20" s="29">
        <f>SUM(F21:F21)</f>
        <v>64</v>
      </c>
      <c r="G20" s="29">
        <f>SUM(G21:G21)</f>
        <v>8</v>
      </c>
    </row>
    <row r="21" spans="1:7" ht="15.75" outlineLevel="1" thickBot="1" x14ac:dyDescent="0.3">
      <c r="A21" s="27" t="s">
        <v>292</v>
      </c>
      <c r="B21" s="35" t="s">
        <v>323</v>
      </c>
      <c r="C21" s="30" t="s">
        <v>3</v>
      </c>
      <c r="D21" s="30">
        <v>4</v>
      </c>
      <c r="E21" s="30">
        <f>VLOOKUP(C21,Inventario!$B$3:$C$21,2,0)*D21</f>
        <v>32</v>
      </c>
      <c r="F21" s="30">
        <f>E21*Parametrizacion!$B$3</f>
        <v>64</v>
      </c>
      <c r="G21" s="30">
        <f t="shared" si="1"/>
        <v>8</v>
      </c>
    </row>
    <row r="22" spans="1:7" ht="15" x14ac:dyDescent="0.25">
      <c r="A22" s="25" t="s">
        <v>74</v>
      </c>
      <c r="B22" s="37"/>
      <c r="C22" s="31"/>
      <c r="D22" s="29">
        <f>SUM(D23:D23)</f>
        <v>1</v>
      </c>
      <c r="E22" s="29">
        <f>SUM(E23:E23)</f>
        <v>4</v>
      </c>
      <c r="F22" s="29">
        <f>SUM(F23:F23)</f>
        <v>8</v>
      </c>
      <c r="G22" s="29">
        <f>SUM(G23:G23)</f>
        <v>1</v>
      </c>
    </row>
    <row r="23" spans="1:7" ht="15.75" outlineLevel="1" thickBot="1" x14ac:dyDescent="0.3">
      <c r="A23" s="24" t="s">
        <v>324</v>
      </c>
      <c r="B23" s="35"/>
      <c r="C23" s="30" t="s">
        <v>48</v>
      </c>
      <c r="D23" s="30">
        <v>1</v>
      </c>
      <c r="E23" s="30">
        <f>VLOOKUP(C23,Inventario!B3:C21,2,0)*D23</f>
        <v>4</v>
      </c>
      <c r="F23" s="30">
        <f>E23*Parametrizacion!$B$3</f>
        <v>8</v>
      </c>
      <c r="G23" s="30">
        <f t="shared" ref="G23:G29" si="6">F23/8</f>
        <v>1</v>
      </c>
    </row>
    <row r="24" spans="1:7" ht="15" x14ac:dyDescent="0.25">
      <c r="A24" s="25" t="s">
        <v>221</v>
      </c>
      <c r="B24" s="37"/>
      <c r="C24" s="31"/>
      <c r="D24" s="29">
        <f>SUM(D25:D31)</f>
        <v>7</v>
      </c>
      <c r="E24" s="29">
        <f>SUM(E25:E31)</f>
        <v>98</v>
      </c>
      <c r="F24" s="29">
        <f>SUM(F25:F31)</f>
        <v>196</v>
      </c>
      <c r="G24" s="29">
        <f>SUM(G25:G31)</f>
        <v>24.5</v>
      </c>
    </row>
    <row r="25" spans="1:7" ht="15" outlineLevel="1" x14ac:dyDescent="0.25">
      <c r="A25" s="24" t="s">
        <v>326</v>
      </c>
      <c r="B25" s="35"/>
      <c r="C25" s="30" t="s">
        <v>20</v>
      </c>
      <c r="D25" s="30">
        <v>1</v>
      </c>
      <c r="E25" s="30">
        <v>10</v>
      </c>
      <c r="F25" s="30">
        <f>E25*Parametrizacion!$B$3</f>
        <v>20</v>
      </c>
      <c r="G25" s="30">
        <f t="shared" si="6"/>
        <v>2.5</v>
      </c>
    </row>
    <row r="26" spans="1:7" ht="15" outlineLevel="1" x14ac:dyDescent="0.25">
      <c r="A26" s="24" t="s">
        <v>282</v>
      </c>
      <c r="B26" s="35"/>
      <c r="C26" s="30"/>
      <c r="D26" s="30">
        <v>1</v>
      </c>
      <c r="E26" s="30">
        <v>8</v>
      </c>
      <c r="F26" s="30">
        <f>E26*Parametrizacion!$B$3</f>
        <v>16</v>
      </c>
      <c r="G26" s="30">
        <f t="shared" si="6"/>
        <v>2</v>
      </c>
    </row>
    <row r="27" spans="1:7" ht="15" outlineLevel="1" x14ac:dyDescent="0.25">
      <c r="A27" s="24" t="s">
        <v>135</v>
      </c>
      <c r="B27" s="35"/>
      <c r="C27" s="30"/>
      <c r="D27" s="30">
        <v>1</v>
      </c>
      <c r="E27" s="30">
        <v>20</v>
      </c>
      <c r="F27" s="30">
        <f>E27*Parametrizacion!$B$3</f>
        <v>40</v>
      </c>
      <c r="G27" s="30">
        <f t="shared" si="6"/>
        <v>5</v>
      </c>
    </row>
    <row r="28" spans="1:7" ht="15" outlineLevel="1" x14ac:dyDescent="0.25">
      <c r="A28" s="24" t="s">
        <v>138</v>
      </c>
      <c r="B28" s="35"/>
      <c r="C28" s="30" t="s">
        <v>8</v>
      </c>
      <c r="D28" s="30">
        <v>1</v>
      </c>
      <c r="E28" s="30">
        <v>20</v>
      </c>
      <c r="F28" s="30">
        <f>E28*Parametrizacion!$B$3</f>
        <v>40</v>
      </c>
      <c r="G28" s="30">
        <f t="shared" si="6"/>
        <v>5</v>
      </c>
    </row>
    <row r="29" spans="1:7" ht="15" outlineLevel="1" x14ac:dyDescent="0.25">
      <c r="A29" s="24" t="s">
        <v>231</v>
      </c>
      <c r="B29" s="35"/>
      <c r="C29" s="24"/>
      <c r="D29" s="30">
        <v>1</v>
      </c>
      <c r="E29" s="30">
        <v>10</v>
      </c>
      <c r="F29" s="30">
        <f>E29*Parametrizacion!$B$3</f>
        <v>20</v>
      </c>
      <c r="G29" s="30">
        <f t="shared" si="6"/>
        <v>2.5</v>
      </c>
    </row>
    <row r="30" spans="1:7" ht="15" outlineLevel="1" x14ac:dyDescent="0.25">
      <c r="A30" s="24" t="s">
        <v>325</v>
      </c>
      <c r="B30" s="35"/>
      <c r="C30" s="24"/>
      <c r="D30" s="30">
        <v>1</v>
      </c>
      <c r="E30" s="30">
        <v>20</v>
      </c>
      <c r="F30" s="30">
        <f>E30*Parametrizacion!$B$3</f>
        <v>40</v>
      </c>
      <c r="G30" s="30">
        <f>F30/8</f>
        <v>5</v>
      </c>
    </row>
    <row r="31" spans="1:7" ht="15" outlineLevel="1" x14ac:dyDescent="0.25">
      <c r="A31" s="24" t="s">
        <v>284</v>
      </c>
      <c r="B31" s="35"/>
      <c r="C31" s="24"/>
      <c r="D31" s="30">
        <v>1</v>
      </c>
      <c r="E31" s="30">
        <v>10</v>
      </c>
      <c r="F31" s="30">
        <f>E31*Parametrizacion!$B$3</f>
        <v>20</v>
      </c>
      <c r="G31" s="30">
        <f>F31/8</f>
        <v>2.5</v>
      </c>
    </row>
    <row r="32" spans="1:7" x14ac:dyDescent="0.2">
      <c r="A32" s="33" t="s">
        <v>109</v>
      </c>
      <c r="B32" s="38" t="s">
        <v>235</v>
      </c>
      <c r="C32" s="33"/>
      <c r="D32" s="33">
        <f>D4+D10+D13+D20+D22+D24</f>
        <v>24</v>
      </c>
      <c r="E32" s="33">
        <f>E4+E10+E13+E20+E22+E24</f>
        <v>256</v>
      </c>
      <c r="F32" s="33">
        <f>F4+F10+F13+F20+F22+F24</f>
        <v>512</v>
      </c>
      <c r="G32" s="33">
        <f>G4+G10+G13+G20+G22+G24</f>
        <v>64</v>
      </c>
    </row>
    <row r="33" spans="1:10" x14ac:dyDescent="0.2">
      <c r="I33" s="41"/>
      <c r="J33" s="41"/>
    </row>
    <row r="34" spans="1:10" x14ac:dyDescent="0.2">
      <c r="A34" s="32" t="s">
        <v>109</v>
      </c>
      <c r="B34" s="39"/>
      <c r="C34" s="32">
        <f>(E4+E10+E13+E20+E22+E24)*Parametrizacion!B3</f>
        <v>512</v>
      </c>
      <c r="D34" s="32" t="s">
        <v>112</v>
      </c>
      <c r="E34" s="32"/>
      <c r="F34" s="32"/>
      <c r="G34" s="32"/>
    </row>
    <row r="35" spans="1:10" ht="13.5" thickBot="1" x14ac:dyDescent="0.25"/>
    <row r="36" spans="1:10" ht="15" x14ac:dyDescent="0.25">
      <c r="A36" s="25"/>
      <c r="B36" s="34" t="s">
        <v>235</v>
      </c>
      <c r="C36" s="25"/>
      <c r="D36" s="25"/>
      <c r="E36" s="25"/>
    </row>
    <row r="38" spans="1:10" x14ac:dyDescent="0.2">
      <c r="F38">
        <f>F32/162</f>
        <v>3.1604938271604937</v>
      </c>
      <c r="G38">
        <f>F38/3</f>
        <v>1.0534979423868311</v>
      </c>
      <c r="H38">
        <f>F32/5</f>
        <v>102.4</v>
      </c>
    </row>
    <row r="39" spans="1:10" x14ac:dyDescent="0.2">
      <c r="B39" s="40">
        <f>C34/162/5</f>
        <v>0.63209876543209875</v>
      </c>
      <c r="C39">
        <f>3240-C34</f>
        <v>2728</v>
      </c>
    </row>
    <row r="40" spans="1:10" x14ac:dyDescent="0.2">
      <c r="E40" s="41" t="s">
        <v>261</v>
      </c>
      <c r="F40" s="33" t="e">
        <f>F4+#REF!+F10+F13+F20+#REF!+#REF!+#REF!+#REF!+#REF!+#REF!+#REF!+#REF!+#REF!+#REF!+#REF!+#REF!+#REF!+F22+#REF!+#REF!</f>
        <v>#REF!</v>
      </c>
      <c r="G40" t="e">
        <f>F40*0.25</f>
        <v>#REF!</v>
      </c>
      <c r="H40" t="e">
        <f>F40-G40</f>
        <v>#REF!</v>
      </c>
      <c r="I40" t="e">
        <f>H40:H42</f>
        <v>#REF!</v>
      </c>
      <c r="J40" t="e">
        <f>I40/3</f>
        <v>#REF!</v>
      </c>
    </row>
    <row r="41" spans="1:10" x14ac:dyDescent="0.2">
      <c r="E41" s="41" t="s">
        <v>263</v>
      </c>
      <c r="F41" t="e">
        <f>#REF!</f>
        <v>#REF!</v>
      </c>
      <c r="G41" t="e">
        <f>G40+F41</f>
        <v>#REF!</v>
      </c>
      <c r="H41" t="e">
        <f>G40+F41</f>
        <v>#REF!</v>
      </c>
      <c r="I41">
        <v>582</v>
      </c>
      <c r="J41">
        <v>582</v>
      </c>
    </row>
    <row r="42" spans="1:10" x14ac:dyDescent="0.2">
      <c r="C42">
        <v>3240</v>
      </c>
      <c r="E42" s="41" t="s">
        <v>264</v>
      </c>
      <c r="F42">
        <f>F24</f>
        <v>196</v>
      </c>
      <c r="H42">
        <f>F24</f>
        <v>196</v>
      </c>
      <c r="I42">
        <v>356</v>
      </c>
      <c r="J42">
        <v>356</v>
      </c>
    </row>
    <row r="43" spans="1:10" x14ac:dyDescent="0.2">
      <c r="B43" s="40">
        <v>2830</v>
      </c>
      <c r="C43">
        <f>C42/5</f>
        <v>648</v>
      </c>
      <c r="E43" s="50" t="s">
        <v>280</v>
      </c>
      <c r="F43" t="e">
        <f>F40*0.25</f>
        <v>#REF!</v>
      </c>
    </row>
    <row r="44" spans="1:10" x14ac:dyDescent="0.2">
      <c r="B44" s="40">
        <f>B43/5</f>
        <v>566</v>
      </c>
    </row>
    <row r="47" spans="1:10" x14ac:dyDescent="0.2">
      <c r="A47" s="43" t="s">
        <v>329</v>
      </c>
      <c r="B47" s="40">
        <v>1</v>
      </c>
      <c r="C47">
        <f>F31+F25</f>
        <v>40</v>
      </c>
      <c r="D47">
        <f>F31+F25</f>
        <v>40</v>
      </c>
      <c r="E47" s="43"/>
    </row>
    <row r="48" spans="1:10" x14ac:dyDescent="0.2">
      <c r="A48" s="43" t="s">
        <v>328</v>
      </c>
      <c r="C48">
        <f>F32-C47-C50</f>
        <v>432</v>
      </c>
      <c r="D48">
        <f>C48*80%</f>
        <v>345.6</v>
      </c>
      <c r="E48" s="43">
        <f>D48/162/2</f>
        <v>1.0666666666666667</v>
      </c>
    </row>
    <row r="49" spans="1:6" x14ac:dyDescent="0.2">
      <c r="A49" s="43" t="s">
        <v>42</v>
      </c>
      <c r="C49" s="43">
        <f>C48*20%</f>
        <v>86.4</v>
      </c>
      <c r="D49" s="43">
        <f>C48*20%</f>
        <v>86.4</v>
      </c>
      <c r="E49" s="43"/>
    </row>
    <row r="50" spans="1:6" x14ac:dyDescent="0.2">
      <c r="A50" s="43" t="s">
        <v>330</v>
      </c>
      <c r="C50">
        <f>F28</f>
        <v>40</v>
      </c>
      <c r="D50">
        <f>F28</f>
        <v>40</v>
      </c>
      <c r="E50" s="43"/>
    </row>
    <row r="51" spans="1:6" x14ac:dyDescent="0.2">
      <c r="E51" s="43"/>
    </row>
    <row r="52" spans="1:6" x14ac:dyDescent="0.2">
      <c r="E52" s="43"/>
    </row>
    <row r="54" spans="1:6" x14ac:dyDescent="0.2">
      <c r="B54" s="40" t="s">
        <v>424</v>
      </c>
      <c r="C54" t="s">
        <v>425</v>
      </c>
      <c r="D54" t="s">
        <v>426</v>
      </c>
      <c r="E54" t="s">
        <v>427</v>
      </c>
      <c r="F54" t="s">
        <v>428</v>
      </c>
    </row>
    <row r="55" spans="1:6" x14ac:dyDescent="0.2">
      <c r="A55" s="59">
        <v>1</v>
      </c>
      <c r="E55">
        <v>40</v>
      </c>
    </row>
    <row r="56" spans="1:6" x14ac:dyDescent="0.2">
      <c r="A56" s="59">
        <v>2</v>
      </c>
      <c r="B56" s="40">
        <v>20</v>
      </c>
      <c r="C56">
        <v>20</v>
      </c>
      <c r="D56">
        <v>12</v>
      </c>
      <c r="E56">
        <v>40</v>
      </c>
    </row>
    <row r="57" spans="1:6" x14ac:dyDescent="0.2">
      <c r="A57" s="59">
        <v>3</v>
      </c>
      <c r="B57" s="40">
        <v>40</v>
      </c>
      <c r="C57" s="40">
        <v>40</v>
      </c>
      <c r="D57">
        <v>40</v>
      </c>
      <c r="E57">
        <v>15</v>
      </c>
      <c r="F57">
        <v>20</v>
      </c>
    </row>
    <row r="58" spans="1:6" x14ac:dyDescent="0.2">
      <c r="A58" s="59">
        <v>4</v>
      </c>
      <c r="B58" s="40">
        <v>40</v>
      </c>
      <c r="C58" s="40">
        <v>40</v>
      </c>
      <c r="D58">
        <v>20</v>
      </c>
      <c r="E58">
        <v>15</v>
      </c>
      <c r="F58">
        <v>20</v>
      </c>
    </row>
    <row r="59" spans="1:6" x14ac:dyDescent="0.2">
      <c r="A59" s="60">
        <v>5</v>
      </c>
      <c r="B59" s="40">
        <v>40</v>
      </c>
      <c r="C59" s="40">
        <v>40</v>
      </c>
      <c r="E59">
        <v>18</v>
      </c>
    </row>
    <row r="60" spans="1:6" x14ac:dyDescent="0.2">
      <c r="A60" s="60">
        <v>6</v>
      </c>
      <c r="B60" s="40">
        <v>40</v>
      </c>
      <c r="C60" s="40">
        <v>40</v>
      </c>
      <c r="E60">
        <v>18</v>
      </c>
    </row>
    <row r="61" spans="1:6" x14ac:dyDescent="0.2">
      <c r="A61" s="60">
        <v>7</v>
      </c>
      <c r="B61" s="40">
        <v>40</v>
      </c>
      <c r="C61" s="40">
        <v>40</v>
      </c>
      <c r="E61">
        <v>18</v>
      </c>
    </row>
    <row r="62" spans="1:6" x14ac:dyDescent="0.2">
      <c r="A62" s="60">
        <v>8</v>
      </c>
      <c r="B62" s="40">
        <v>40</v>
      </c>
      <c r="C62" s="40">
        <v>40</v>
      </c>
      <c r="D62">
        <v>5</v>
      </c>
      <c r="E62">
        <v>18</v>
      </c>
    </row>
    <row r="63" spans="1:6" x14ac:dyDescent="0.2">
      <c r="A63">
        <v>9</v>
      </c>
      <c r="B63" s="40">
        <v>10</v>
      </c>
      <c r="C63" s="40">
        <v>10</v>
      </c>
      <c r="D63">
        <v>5</v>
      </c>
      <c r="E63">
        <v>18</v>
      </c>
    </row>
    <row r="64" spans="1:6" x14ac:dyDescent="0.2">
      <c r="A64">
        <v>10</v>
      </c>
      <c r="B64" s="40">
        <v>7</v>
      </c>
      <c r="C64" s="40">
        <v>7</v>
      </c>
      <c r="D64">
        <v>10</v>
      </c>
      <c r="E64">
        <v>18</v>
      </c>
    </row>
    <row r="67" spans="2:6" x14ac:dyDescent="0.2">
      <c r="B67" s="40">
        <f>SUM(B56:B66)</f>
        <v>277</v>
      </c>
      <c r="C67" s="40">
        <f>SUM(C56:C66)</f>
        <v>277</v>
      </c>
      <c r="D67" s="40">
        <f>SUM(D56:D66)</f>
        <v>92</v>
      </c>
      <c r="E67" s="40">
        <f>SUM(E55:E66)</f>
        <v>218</v>
      </c>
      <c r="F67" s="40">
        <f>SUM(F56:F66)</f>
        <v>40</v>
      </c>
    </row>
    <row r="69" spans="2:6" x14ac:dyDescent="0.2">
      <c r="B69" s="40">
        <f>B67+C67</f>
        <v>554</v>
      </c>
    </row>
  </sheetData>
  <mergeCells count="1">
    <mergeCell ref="A1:G1"/>
  </mergeCells>
  <dataValidations count="3">
    <dataValidation type="list" allowBlank="1" showInputMessage="1" showErrorMessage="1" sqref="C6 C8:C9 C14:C19 C25:C27" xr:uid="{00000000-0002-0000-0000-000003000000}">
      <formula1>BackEnd</formula1>
    </dataValidation>
    <dataValidation type="list" allowBlank="1" showInputMessage="1" showErrorMessage="1" sqref="C28 C23 C11:C12 C7:C8 C5 C20:C21" xr:uid="{00000000-0002-0000-0000-000004000000}">
      <formula1>FrontEnd</formula1>
    </dataValidation>
    <dataValidation type="list" allowBlank="1" showInputMessage="1" showErrorMessage="1" sqref="C29:C31" xr:uid="{00000000-0002-0000-0000-000000000000}">
      <formula1>Pruebas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E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308B-E255-4224-9750-20E6FFCE76A5}">
  <dimension ref="C3:F58"/>
  <sheetViews>
    <sheetView topLeftCell="A23" workbookViewId="0">
      <selection activeCell="C71" sqref="C71"/>
    </sheetView>
  </sheetViews>
  <sheetFormatPr baseColWidth="10" defaultRowHeight="12.75" x14ac:dyDescent="0.2"/>
  <cols>
    <col min="3" max="3" width="26.5703125" bestFit="1" customWidth="1"/>
    <col min="4" max="4" width="10.42578125" style="56" customWidth="1"/>
    <col min="5" max="5" width="35.140625" bestFit="1" customWidth="1"/>
    <col min="6" max="6" width="36.28515625" customWidth="1"/>
  </cols>
  <sheetData>
    <row r="3" spans="3:6" ht="13.5" thickBot="1" x14ac:dyDescent="0.25"/>
    <row r="4" spans="3:6" ht="15" thickBot="1" x14ac:dyDescent="0.25">
      <c r="C4" s="53" t="s">
        <v>333</v>
      </c>
      <c r="D4" s="58"/>
      <c r="E4" s="54" t="s">
        <v>334</v>
      </c>
      <c r="F4" s="55" t="s">
        <v>143</v>
      </c>
    </row>
    <row r="5" spans="3:6" x14ac:dyDescent="0.2">
      <c r="C5" s="67" t="s">
        <v>278</v>
      </c>
      <c r="D5" s="56" t="s">
        <v>144</v>
      </c>
      <c r="E5" t="s">
        <v>82</v>
      </c>
      <c r="F5" s="40" t="s">
        <v>370</v>
      </c>
    </row>
    <row r="6" spans="3:6" ht="25.5" x14ac:dyDescent="0.2">
      <c r="C6" s="66"/>
      <c r="D6" s="56" t="s">
        <v>145</v>
      </c>
      <c r="E6" t="s">
        <v>51</v>
      </c>
      <c r="F6" s="40" t="s">
        <v>371</v>
      </c>
    </row>
    <row r="7" spans="3:6" ht="25.5" x14ac:dyDescent="0.2">
      <c r="C7" s="66"/>
      <c r="D7" s="56" t="s">
        <v>146</v>
      </c>
      <c r="E7" t="s">
        <v>80</v>
      </c>
      <c r="F7" s="40" t="s">
        <v>372</v>
      </c>
    </row>
    <row r="8" spans="3:6" ht="25.5" x14ac:dyDescent="0.2">
      <c r="C8" s="66"/>
      <c r="D8" s="56" t="s">
        <v>147</v>
      </c>
      <c r="E8" t="s">
        <v>369</v>
      </c>
      <c r="F8" s="40" t="s">
        <v>373</v>
      </c>
    </row>
    <row r="9" spans="3:6" x14ac:dyDescent="0.2">
      <c r="C9" s="66" t="s">
        <v>320</v>
      </c>
      <c r="D9" s="56" t="s">
        <v>148</v>
      </c>
      <c r="E9" t="s">
        <v>117</v>
      </c>
      <c r="F9" s="40" t="s">
        <v>374</v>
      </c>
    </row>
    <row r="10" spans="3:6" ht="25.5" x14ac:dyDescent="0.2">
      <c r="C10" s="66"/>
      <c r="D10" s="56" t="s">
        <v>149</v>
      </c>
      <c r="E10" t="s">
        <v>219</v>
      </c>
      <c r="F10" s="40" t="s">
        <v>375</v>
      </c>
    </row>
    <row r="11" spans="3:6" x14ac:dyDescent="0.2">
      <c r="C11" s="66"/>
      <c r="D11" s="56" t="s">
        <v>151</v>
      </c>
      <c r="E11" t="s">
        <v>119</v>
      </c>
      <c r="F11" s="40" t="s">
        <v>376</v>
      </c>
    </row>
    <row r="12" spans="3:6" x14ac:dyDescent="0.2">
      <c r="C12" s="66"/>
      <c r="D12" s="56" t="s">
        <v>152</v>
      </c>
      <c r="E12" t="s">
        <v>321</v>
      </c>
      <c r="F12" s="40" t="s">
        <v>377</v>
      </c>
    </row>
    <row r="13" spans="3:6" x14ac:dyDescent="0.2">
      <c r="C13" s="66" t="s">
        <v>49</v>
      </c>
      <c r="D13" s="56" t="s">
        <v>153</v>
      </c>
      <c r="E13" t="s">
        <v>286</v>
      </c>
      <c r="F13" s="40" t="s">
        <v>378</v>
      </c>
    </row>
    <row r="14" spans="3:6" x14ac:dyDescent="0.2">
      <c r="C14" s="66"/>
      <c r="D14" s="56" t="s">
        <v>154</v>
      </c>
      <c r="E14" t="s">
        <v>287</v>
      </c>
      <c r="F14" s="40" t="s">
        <v>379</v>
      </c>
    </row>
    <row r="15" spans="3:6" ht="25.5" x14ac:dyDescent="0.2">
      <c r="C15" s="66"/>
      <c r="D15" s="56" t="s">
        <v>155</v>
      </c>
      <c r="E15" t="s">
        <v>288</v>
      </c>
      <c r="F15" s="40" t="s">
        <v>380</v>
      </c>
    </row>
    <row r="16" spans="3:6" ht="25.5" x14ac:dyDescent="0.2">
      <c r="C16" s="66"/>
      <c r="D16" s="56" t="s">
        <v>156</v>
      </c>
      <c r="E16" t="s">
        <v>289</v>
      </c>
      <c r="F16" s="40" t="s">
        <v>381</v>
      </c>
    </row>
    <row r="17" spans="3:6" ht="25.5" x14ac:dyDescent="0.2">
      <c r="C17" s="66"/>
      <c r="D17" s="56" t="s">
        <v>265</v>
      </c>
      <c r="E17" t="s">
        <v>290</v>
      </c>
      <c r="F17" s="40" t="s">
        <v>382</v>
      </c>
    </row>
    <row r="18" spans="3:6" ht="25.5" x14ac:dyDescent="0.2">
      <c r="C18" s="66"/>
      <c r="D18" s="56" t="s">
        <v>266</v>
      </c>
      <c r="E18" t="s">
        <v>291</v>
      </c>
      <c r="F18" s="40" t="s">
        <v>383</v>
      </c>
    </row>
    <row r="19" spans="3:6" x14ac:dyDescent="0.2">
      <c r="C19" s="66"/>
      <c r="D19" s="56" t="s">
        <v>267</v>
      </c>
      <c r="E19" t="s">
        <v>292</v>
      </c>
      <c r="F19" s="40" t="s">
        <v>384</v>
      </c>
    </row>
    <row r="20" spans="3:6" ht="25.5" x14ac:dyDescent="0.2">
      <c r="C20" s="66"/>
      <c r="D20" s="56" t="s">
        <v>268</v>
      </c>
      <c r="E20" t="s">
        <v>295</v>
      </c>
      <c r="F20" s="40" t="s">
        <v>385</v>
      </c>
    </row>
    <row r="21" spans="3:6" ht="25.5" x14ac:dyDescent="0.2">
      <c r="C21" s="66"/>
      <c r="D21" s="56" t="s">
        <v>269</v>
      </c>
      <c r="E21" t="s">
        <v>296</v>
      </c>
      <c r="F21" s="40" t="s">
        <v>386</v>
      </c>
    </row>
    <row r="22" spans="3:6" x14ac:dyDescent="0.2">
      <c r="C22" s="66"/>
      <c r="D22" s="56" t="s">
        <v>270</v>
      </c>
      <c r="E22" t="s">
        <v>293</v>
      </c>
      <c r="F22" s="40" t="s">
        <v>387</v>
      </c>
    </row>
    <row r="23" spans="3:6" ht="25.5" x14ac:dyDescent="0.2">
      <c r="C23" s="66"/>
      <c r="D23" s="56" t="s">
        <v>271</v>
      </c>
      <c r="E23" t="s">
        <v>294</v>
      </c>
      <c r="F23" s="40" t="s">
        <v>388</v>
      </c>
    </row>
    <row r="24" spans="3:6" ht="25.5" x14ac:dyDescent="0.2">
      <c r="C24" s="66"/>
      <c r="D24" s="56" t="s">
        <v>272</v>
      </c>
      <c r="E24" t="s">
        <v>297</v>
      </c>
      <c r="F24" s="40" t="s">
        <v>389</v>
      </c>
    </row>
    <row r="25" spans="3:6" ht="25.5" x14ac:dyDescent="0.2">
      <c r="C25" s="66"/>
      <c r="D25" s="56" t="s">
        <v>335</v>
      </c>
      <c r="E25" t="s">
        <v>298</v>
      </c>
      <c r="F25" s="40" t="s">
        <v>390</v>
      </c>
    </row>
    <row r="26" spans="3:6" ht="25.5" x14ac:dyDescent="0.2">
      <c r="C26" s="66"/>
      <c r="D26" s="56" t="s">
        <v>336</v>
      </c>
      <c r="E26" t="s">
        <v>299</v>
      </c>
      <c r="F26" s="40" t="s">
        <v>391</v>
      </c>
    </row>
    <row r="27" spans="3:6" ht="25.5" x14ac:dyDescent="0.2">
      <c r="C27" s="66"/>
      <c r="D27" s="56" t="s">
        <v>337</v>
      </c>
      <c r="E27" t="s">
        <v>318</v>
      </c>
      <c r="F27" s="40" t="s">
        <v>392</v>
      </c>
    </row>
    <row r="28" spans="3:6" ht="25.5" x14ac:dyDescent="0.2">
      <c r="C28" s="66"/>
      <c r="D28" s="56" t="s">
        <v>338</v>
      </c>
      <c r="E28" t="s">
        <v>319</v>
      </c>
      <c r="F28" s="40" t="s">
        <v>393</v>
      </c>
    </row>
    <row r="29" spans="3:6" ht="25.5" x14ac:dyDescent="0.2">
      <c r="C29" s="66" t="s">
        <v>292</v>
      </c>
      <c r="D29" s="56" t="s">
        <v>339</v>
      </c>
      <c r="E29" t="s">
        <v>300</v>
      </c>
      <c r="F29" s="40" t="s">
        <v>394</v>
      </c>
    </row>
    <row r="30" spans="3:6" ht="25.5" x14ac:dyDescent="0.2">
      <c r="C30" s="66"/>
      <c r="D30" s="56" t="s">
        <v>340</v>
      </c>
      <c r="E30" t="s">
        <v>301</v>
      </c>
      <c r="F30" s="40" t="s">
        <v>395</v>
      </c>
    </row>
    <row r="31" spans="3:6" x14ac:dyDescent="0.2">
      <c r="C31" s="66"/>
      <c r="D31" s="56" t="s">
        <v>341</v>
      </c>
      <c r="E31" t="s">
        <v>302</v>
      </c>
      <c r="F31" s="40" t="s">
        <v>396</v>
      </c>
    </row>
    <row r="32" spans="3:6" x14ac:dyDescent="0.2">
      <c r="C32" s="66"/>
      <c r="D32" s="56" t="s">
        <v>342</v>
      </c>
      <c r="E32" t="s">
        <v>316</v>
      </c>
      <c r="F32" s="40" t="s">
        <v>397</v>
      </c>
    </row>
    <row r="33" spans="3:6" ht="25.5" x14ac:dyDescent="0.2">
      <c r="C33" s="66" t="s">
        <v>303</v>
      </c>
      <c r="D33" s="56" t="s">
        <v>343</v>
      </c>
      <c r="E33" t="s">
        <v>304</v>
      </c>
      <c r="F33" s="40" t="s">
        <v>399</v>
      </c>
    </row>
    <row r="34" spans="3:6" ht="25.5" x14ac:dyDescent="0.2">
      <c r="C34" s="66"/>
      <c r="D34" s="56" t="s">
        <v>344</v>
      </c>
      <c r="E34" t="s">
        <v>305</v>
      </c>
      <c r="F34" s="40" t="s">
        <v>398</v>
      </c>
    </row>
    <row r="35" spans="3:6" ht="25.5" x14ac:dyDescent="0.2">
      <c r="C35" s="66"/>
      <c r="D35" s="56" t="s">
        <v>345</v>
      </c>
      <c r="E35" t="s">
        <v>306</v>
      </c>
      <c r="F35" s="40" t="s">
        <v>400</v>
      </c>
    </row>
    <row r="36" spans="3:6" x14ac:dyDescent="0.2">
      <c r="C36" s="66"/>
      <c r="D36" s="56" t="s">
        <v>346</v>
      </c>
      <c r="E36" t="s">
        <v>307</v>
      </c>
      <c r="F36" s="40" t="s">
        <v>401</v>
      </c>
    </row>
    <row r="37" spans="3:6" ht="25.5" x14ac:dyDescent="0.2">
      <c r="C37" s="66"/>
      <c r="D37" s="56" t="s">
        <v>347</v>
      </c>
      <c r="E37" t="s">
        <v>308</v>
      </c>
      <c r="F37" s="40" t="s">
        <v>402</v>
      </c>
    </row>
    <row r="38" spans="3:6" ht="25.5" x14ac:dyDescent="0.2">
      <c r="C38" s="66"/>
      <c r="D38" s="56" t="s">
        <v>348</v>
      </c>
      <c r="E38" t="s">
        <v>309</v>
      </c>
      <c r="F38" s="40" t="s">
        <v>403</v>
      </c>
    </row>
    <row r="39" spans="3:6" ht="25.5" x14ac:dyDescent="0.2">
      <c r="C39" s="66" t="s">
        <v>308</v>
      </c>
      <c r="D39" s="56" t="s">
        <v>349</v>
      </c>
      <c r="E39" t="s">
        <v>310</v>
      </c>
      <c r="F39" s="40" t="s">
        <v>404</v>
      </c>
    </row>
    <row r="40" spans="3:6" ht="25.5" x14ac:dyDescent="0.2">
      <c r="C40" s="66"/>
      <c r="D40" s="56" t="s">
        <v>350</v>
      </c>
      <c r="E40" t="s">
        <v>311</v>
      </c>
      <c r="F40" s="40" t="s">
        <v>405</v>
      </c>
    </row>
    <row r="41" spans="3:6" ht="25.5" x14ac:dyDescent="0.2">
      <c r="C41" s="66"/>
      <c r="D41" s="56" t="s">
        <v>351</v>
      </c>
      <c r="E41" t="s">
        <v>312</v>
      </c>
      <c r="F41" s="40" t="s">
        <v>406</v>
      </c>
    </row>
    <row r="42" spans="3:6" ht="25.5" x14ac:dyDescent="0.2">
      <c r="C42" s="66"/>
      <c r="D42" s="56" t="s">
        <v>352</v>
      </c>
      <c r="E42" t="s">
        <v>327</v>
      </c>
      <c r="F42" s="40" t="s">
        <v>407</v>
      </c>
    </row>
    <row r="43" spans="3:6" ht="25.5" x14ac:dyDescent="0.2">
      <c r="C43" s="66"/>
      <c r="D43" s="56" t="s">
        <v>353</v>
      </c>
      <c r="E43" t="s">
        <v>313</v>
      </c>
      <c r="F43" s="40" t="s">
        <v>408</v>
      </c>
    </row>
    <row r="44" spans="3:6" x14ac:dyDescent="0.2">
      <c r="C44" s="66"/>
      <c r="D44" s="56" t="s">
        <v>354</v>
      </c>
      <c r="E44" t="s">
        <v>314</v>
      </c>
      <c r="F44" s="40" t="s">
        <v>409</v>
      </c>
    </row>
    <row r="45" spans="3:6" ht="25.5" x14ac:dyDescent="0.2">
      <c r="C45" s="66"/>
      <c r="D45" s="56" t="s">
        <v>355</v>
      </c>
      <c r="E45" t="s">
        <v>315</v>
      </c>
      <c r="F45" s="40" t="s">
        <v>410</v>
      </c>
    </row>
    <row r="46" spans="3:6" ht="25.5" x14ac:dyDescent="0.2">
      <c r="C46" s="66"/>
      <c r="D46" s="56" t="s">
        <v>356</v>
      </c>
      <c r="E46" t="s">
        <v>317</v>
      </c>
      <c r="F46" s="40" t="s">
        <v>411</v>
      </c>
    </row>
    <row r="47" spans="3:6" x14ac:dyDescent="0.2">
      <c r="C47" s="57" t="s">
        <v>74</v>
      </c>
      <c r="D47" s="56" t="s">
        <v>357</v>
      </c>
      <c r="E47" t="s">
        <v>324</v>
      </c>
      <c r="F47" s="40" t="s">
        <v>412</v>
      </c>
    </row>
    <row r="48" spans="3:6" x14ac:dyDescent="0.2">
      <c r="C48" s="66" t="s">
        <v>101</v>
      </c>
      <c r="D48" s="56" t="s">
        <v>358</v>
      </c>
      <c r="E48" t="s">
        <v>102</v>
      </c>
      <c r="F48" s="40" t="s">
        <v>413</v>
      </c>
    </row>
    <row r="49" spans="3:6" ht="25.5" x14ac:dyDescent="0.2">
      <c r="C49" s="66"/>
      <c r="D49" s="56" t="s">
        <v>359</v>
      </c>
      <c r="E49" t="s">
        <v>132</v>
      </c>
      <c r="F49" s="40" t="s">
        <v>414</v>
      </c>
    </row>
    <row r="50" spans="3:6" ht="25.5" x14ac:dyDescent="0.2">
      <c r="C50" s="66"/>
      <c r="D50" s="56" t="s">
        <v>360</v>
      </c>
      <c r="E50" t="s">
        <v>133</v>
      </c>
      <c r="F50" s="40" t="s">
        <v>415</v>
      </c>
    </row>
    <row r="51" spans="3:6" ht="25.5" x14ac:dyDescent="0.2">
      <c r="C51" s="66" t="s">
        <v>221</v>
      </c>
      <c r="D51" s="56" t="s">
        <v>361</v>
      </c>
      <c r="E51" t="s">
        <v>326</v>
      </c>
      <c r="F51" s="40" t="s">
        <v>416</v>
      </c>
    </row>
    <row r="52" spans="3:6" ht="25.5" x14ac:dyDescent="0.2">
      <c r="C52" s="66"/>
      <c r="D52" s="56" t="s">
        <v>362</v>
      </c>
      <c r="E52" t="s">
        <v>282</v>
      </c>
      <c r="F52" s="40" t="s">
        <v>417</v>
      </c>
    </row>
    <row r="53" spans="3:6" ht="38.25" x14ac:dyDescent="0.2">
      <c r="C53" s="66"/>
      <c r="D53" s="56" t="s">
        <v>363</v>
      </c>
      <c r="E53" t="s">
        <v>135</v>
      </c>
      <c r="F53" s="40" t="s">
        <v>418</v>
      </c>
    </row>
    <row r="54" spans="3:6" x14ac:dyDescent="0.2">
      <c r="C54" s="66"/>
      <c r="D54" s="56" t="s">
        <v>364</v>
      </c>
      <c r="E54" t="s">
        <v>138</v>
      </c>
      <c r="F54" s="40" t="s">
        <v>419</v>
      </c>
    </row>
    <row r="55" spans="3:6" x14ac:dyDescent="0.2">
      <c r="C55" s="66"/>
      <c r="D55" s="56" t="s">
        <v>365</v>
      </c>
      <c r="E55" t="s">
        <v>231</v>
      </c>
      <c r="F55" s="40" t="s">
        <v>420</v>
      </c>
    </row>
    <row r="56" spans="3:6" ht="25.5" x14ac:dyDescent="0.2">
      <c r="C56" s="66"/>
      <c r="D56" s="56" t="s">
        <v>366</v>
      </c>
      <c r="E56" t="s">
        <v>285</v>
      </c>
      <c r="F56" s="40" t="s">
        <v>421</v>
      </c>
    </row>
    <row r="57" spans="3:6" x14ac:dyDescent="0.2">
      <c r="C57" s="66"/>
      <c r="D57" s="56" t="s">
        <v>367</v>
      </c>
      <c r="E57" t="s">
        <v>325</v>
      </c>
      <c r="F57" s="40" t="s">
        <v>422</v>
      </c>
    </row>
    <row r="58" spans="3:6" ht="25.5" x14ac:dyDescent="0.2">
      <c r="C58" s="66"/>
      <c r="D58" s="56" t="s">
        <v>368</v>
      </c>
      <c r="E58" t="s">
        <v>284</v>
      </c>
      <c r="F58" s="40" t="s">
        <v>423</v>
      </c>
    </row>
  </sheetData>
  <mergeCells count="8">
    <mergeCell ref="C48:C50"/>
    <mergeCell ref="C51:C58"/>
    <mergeCell ref="C5:C8"/>
    <mergeCell ref="C9:C12"/>
    <mergeCell ref="C13:C28"/>
    <mergeCell ref="C29:C32"/>
    <mergeCell ref="C33:C38"/>
    <mergeCell ref="C39:C46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831E-1D53-4115-8F85-30279C818811}">
  <dimension ref="A1:E43"/>
  <sheetViews>
    <sheetView workbookViewId="0">
      <selection activeCell="C30" sqref="C30"/>
    </sheetView>
  </sheetViews>
  <sheetFormatPr baseColWidth="10" defaultRowHeight="12.75" x14ac:dyDescent="0.2"/>
  <cols>
    <col min="1" max="1" width="18.5703125" bestFit="1" customWidth="1"/>
    <col min="2" max="2" width="53.28515625" customWidth="1"/>
    <col min="3" max="3" width="13" customWidth="1"/>
    <col min="4" max="4" width="14.7109375" customWidth="1"/>
    <col min="5" max="5" width="16.5703125" bestFit="1" customWidth="1"/>
  </cols>
  <sheetData>
    <row r="1" spans="1:4" ht="15" x14ac:dyDescent="0.2">
      <c r="A1" s="44" t="s">
        <v>273</v>
      </c>
      <c r="B1" s="45" t="s">
        <v>274</v>
      </c>
      <c r="C1" s="45" t="s">
        <v>275</v>
      </c>
      <c r="D1" s="45" t="s">
        <v>276</v>
      </c>
    </row>
    <row r="2" spans="1:4" ht="15" x14ac:dyDescent="0.2">
      <c r="A2" s="44" t="s">
        <v>144</v>
      </c>
      <c r="B2" s="45" t="s">
        <v>46</v>
      </c>
      <c r="C2" s="19">
        <f>CAJA!F4</f>
        <v>36</v>
      </c>
      <c r="D2" s="47" t="e">
        <f>C2*$E$31/$C$31</f>
        <v>#REF!</v>
      </c>
    </row>
    <row r="3" spans="1:4" ht="15" x14ac:dyDescent="0.2">
      <c r="A3" s="44" t="s">
        <v>145</v>
      </c>
      <c r="B3" s="45" t="s">
        <v>277</v>
      </c>
      <c r="C3" s="19" t="e">
        <f>CAJA!#REF!</f>
        <v>#REF!</v>
      </c>
      <c r="D3" s="47" t="e">
        <f t="shared" ref="D3:D30" si="0">C3*$E$31/$C$31</f>
        <v>#REF!</v>
      </c>
    </row>
    <row r="4" spans="1:4" ht="15" x14ac:dyDescent="0.2">
      <c r="A4" s="44" t="s">
        <v>146</v>
      </c>
      <c r="B4" s="45" t="s">
        <v>113</v>
      </c>
      <c r="C4" s="19">
        <f>CAJA!F10</f>
        <v>16</v>
      </c>
      <c r="D4" s="47" t="e">
        <f t="shared" si="0"/>
        <v>#REF!</v>
      </c>
    </row>
    <row r="5" spans="1:4" ht="15" x14ac:dyDescent="0.2">
      <c r="A5" s="44" t="s">
        <v>147</v>
      </c>
      <c r="B5" s="45" t="s">
        <v>114</v>
      </c>
      <c r="C5" s="19">
        <f>CAJA!F13</f>
        <v>192</v>
      </c>
      <c r="D5" s="47" t="e">
        <f t="shared" si="0"/>
        <v>#REF!</v>
      </c>
    </row>
    <row r="6" spans="1:4" ht="15" x14ac:dyDescent="0.2">
      <c r="A6" s="44" t="s">
        <v>148</v>
      </c>
      <c r="B6" s="45" t="s">
        <v>120</v>
      </c>
      <c r="C6" s="19">
        <f>CAJA!F20</f>
        <v>64</v>
      </c>
      <c r="D6" s="47" t="e">
        <f t="shared" si="0"/>
        <v>#REF!</v>
      </c>
    </row>
    <row r="7" spans="1:4" ht="15" x14ac:dyDescent="0.2">
      <c r="A7" s="44" t="s">
        <v>149</v>
      </c>
      <c r="B7" s="45" t="s">
        <v>124</v>
      </c>
      <c r="C7" s="19" t="e">
        <f>CAJA!#REF!</f>
        <v>#REF!</v>
      </c>
      <c r="D7" s="47" t="e">
        <f t="shared" si="0"/>
        <v>#REF!</v>
      </c>
    </row>
    <row r="8" spans="1:4" ht="15" x14ac:dyDescent="0.2">
      <c r="A8" s="44" t="s">
        <v>151</v>
      </c>
      <c r="B8" s="45" t="s">
        <v>127</v>
      </c>
      <c r="C8" s="19" t="e">
        <f>CAJA!#REF!</f>
        <v>#REF!</v>
      </c>
      <c r="D8" s="47" t="e">
        <f t="shared" si="0"/>
        <v>#REF!</v>
      </c>
    </row>
    <row r="9" spans="1:4" ht="15" x14ac:dyDescent="0.2">
      <c r="A9" s="44" t="s">
        <v>152</v>
      </c>
      <c r="B9" s="45" t="s">
        <v>128</v>
      </c>
      <c r="C9" s="19" t="e">
        <f>CAJA!#REF!</f>
        <v>#REF!</v>
      </c>
      <c r="D9" s="47" t="e">
        <f t="shared" si="0"/>
        <v>#REF!</v>
      </c>
    </row>
    <row r="10" spans="1:4" ht="15" x14ac:dyDescent="0.2">
      <c r="A10" s="44" t="s">
        <v>153</v>
      </c>
      <c r="B10" s="45" t="s">
        <v>115</v>
      </c>
      <c r="C10" s="19" t="e">
        <f>CAJA!#REF!</f>
        <v>#REF!</v>
      </c>
      <c r="D10" s="47" t="e">
        <f t="shared" si="0"/>
        <v>#REF!</v>
      </c>
    </row>
    <row r="11" spans="1:4" ht="15" x14ac:dyDescent="0.2">
      <c r="A11" s="44" t="s">
        <v>154</v>
      </c>
      <c r="B11" s="45" t="s">
        <v>121</v>
      </c>
      <c r="C11" s="19" t="e">
        <f>CAJA!#REF!</f>
        <v>#REF!</v>
      </c>
      <c r="D11" s="47" t="e">
        <f t="shared" si="0"/>
        <v>#REF!</v>
      </c>
    </row>
    <row r="12" spans="1:4" ht="15" x14ac:dyDescent="0.2">
      <c r="A12" s="44" t="s">
        <v>155</v>
      </c>
      <c r="B12" s="45" t="s">
        <v>126</v>
      </c>
      <c r="C12" s="19" t="e">
        <f>CAJA!#REF!</f>
        <v>#REF!</v>
      </c>
      <c r="D12" s="47" t="e">
        <f t="shared" si="0"/>
        <v>#REF!</v>
      </c>
    </row>
    <row r="13" spans="1:4" ht="15" x14ac:dyDescent="0.2">
      <c r="A13" s="44" t="s">
        <v>156</v>
      </c>
      <c r="B13" s="45" t="s">
        <v>116</v>
      </c>
      <c r="C13" s="19" t="e">
        <f>CAJA!#REF!</f>
        <v>#REF!</v>
      </c>
      <c r="D13" s="47" t="e">
        <f t="shared" si="0"/>
        <v>#REF!</v>
      </c>
    </row>
    <row r="14" spans="1:4" ht="15" x14ac:dyDescent="0.2">
      <c r="A14" s="44" t="s">
        <v>265</v>
      </c>
      <c r="B14" s="45" t="s">
        <v>122</v>
      </c>
      <c r="C14" s="19" t="e">
        <f>CAJA!#REF!</f>
        <v>#REF!</v>
      </c>
      <c r="D14" s="47" t="e">
        <f t="shared" si="0"/>
        <v>#REF!</v>
      </c>
    </row>
    <row r="15" spans="1:4" ht="15" x14ac:dyDescent="0.2">
      <c r="A15" s="44" t="s">
        <v>266</v>
      </c>
      <c r="B15" s="45" t="s">
        <v>123</v>
      </c>
      <c r="C15" s="19" t="e">
        <f>CAJA!#REF!</f>
        <v>#REF!</v>
      </c>
      <c r="D15" s="47" t="e">
        <f t="shared" si="0"/>
        <v>#REF!</v>
      </c>
    </row>
    <row r="16" spans="1:4" ht="15" x14ac:dyDescent="0.2">
      <c r="A16" s="44" t="s">
        <v>267</v>
      </c>
      <c r="B16" s="45" t="s">
        <v>125</v>
      </c>
      <c r="C16" s="19" t="e">
        <f>CAJA!#REF!</f>
        <v>#REF!</v>
      </c>
      <c r="D16" s="47" t="e">
        <f t="shared" si="0"/>
        <v>#REF!</v>
      </c>
    </row>
    <row r="17" spans="1:5" ht="15" x14ac:dyDescent="0.2">
      <c r="A17" s="44" t="s">
        <v>268</v>
      </c>
      <c r="B17" s="45" t="s">
        <v>60</v>
      </c>
      <c r="C17" s="19" t="e">
        <f>CAJA!#REF!</f>
        <v>#REF!</v>
      </c>
      <c r="D17" s="47" t="e">
        <f t="shared" si="0"/>
        <v>#REF!</v>
      </c>
    </row>
    <row r="18" spans="1:5" ht="15" x14ac:dyDescent="0.2">
      <c r="A18" s="44" t="s">
        <v>269</v>
      </c>
      <c r="B18" s="45" t="s">
        <v>69</v>
      </c>
      <c r="C18" s="19" t="e">
        <f>CAJA!#REF!</f>
        <v>#REF!</v>
      </c>
      <c r="D18" s="47" t="e">
        <f t="shared" si="0"/>
        <v>#REF!</v>
      </c>
    </row>
    <row r="19" spans="1:5" ht="15" x14ac:dyDescent="0.2">
      <c r="A19" s="44" t="s">
        <v>270</v>
      </c>
      <c r="B19" s="45" t="s">
        <v>77</v>
      </c>
      <c r="C19" s="19" t="e">
        <f>CAJA!#REF!</f>
        <v>#REF!</v>
      </c>
      <c r="D19" s="47" t="e">
        <f t="shared" si="0"/>
        <v>#REF!</v>
      </c>
    </row>
    <row r="20" spans="1:5" ht="15" x14ac:dyDescent="0.2">
      <c r="A20" s="44" t="s">
        <v>271</v>
      </c>
      <c r="B20" s="45" t="s">
        <v>74</v>
      </c>
      <c r="C20" s="19">
        <f>CAJA!F22</f>
        <v>8</v>
      </c>
      <c r="D20" s="47" t="e">
        <f t="shared" si="0"/>
        <v>#REF!</v>
      </c>
    </row>
    <row r="21" spans="1:5" ht="15" x14ac:dyDescent="0.2">
      <c r="A21" s="44" t="s">
        <v>272</v>
      </c>
      <c r="B21" s="45" t="s">
        <v>101</v>
      </c>
      <c r="C21" s="19" t="e">
        <f>CAJA!#REF!</f>
        <v>#REF!</v>
      </c>
      <c r="D21" s="47" t="e">
        <f t="shared" si="0"/>
        <v>#REF!</v>
      </c>
    </row>
    <row r="22" spans="1:5" ht="14.25" x14ac:dyDescent="0.2">
      <c r="A22" s="46" t="s">
        <v>158</v>
      </c>
      <c r="B22" s="46" t="s">
        <v>262</v>
      </c>
      <c r="C22" s="19" t="e">
        <f>CAJA!#REF!</f>
        <v>#REF!</v>
      </c>
      <c r="D22" s="47" t="e">
        <f t="shared" si="0"/>
        <v>#REF!</v>
      </c>
    </row>
    <row r="23" spans="1:5" ht="14.25" x14ac:dyDescent="0.2">
      <c r="A23" s="46" t="s">
        <v>160</v>
      </c>
      <c r="B23" s="46" t="s">
        <v>49</v>
      </c>
      <c r="C23" s="19" t="e">
        <f>CAJA!#REF!</f>
        <v>#REF!</v>
      </c>
      <c r="D23" s="47" t="e">
        <f t="shared" si="0"/>
        <v>#REF!</v>
      </c>
    </row>
    <row r="24" spans="1:5" ht="14.25" x14ac:dyDescent="0.2">
      <c r="A24" s="46" t="s">
        <v>162</v>
      </c>
      <c r="B24" s="46" t="s">
        <v>222</v>
      </c>
      <c r="C24" s="19">
        <f>CAJA!F25</f>
        <v>20</v>
      </c>
      <c r="D24" s="47" t="e">
        <f t="shared" si="0"/>
        <v>#REF!</v>
      </c>
    </row>
    <row r="25" spans="1:5" ht="14.25" x14ac:dyDescent="0.2">
      <c r="A25" s="46" t="s">
        <v>164</v>
      </c>
      <c r="B25" s="46" t="s">
        <v>134</v>
      </c>
      <c r="C25" s="19">
        <f>CAJA!F26</f>
        <v>16</v>
      </c>
      <c r="D25" s="47" t="e">
        <f t="shared" si="0"/>
        <v>#REF!</v>
      </c>
    </row>
    <row r="26" spans="1:5" ht="14.25" x14ac:dyDescent="0.2">
      <c r="A26" s="46" t="s">
        <v>166</v>
      </c>
      <c r="B26" s="46" t="s">
        <v>135</v>
      </c>
      <c r="C26" s="19">
        <f>CAJA!F27</f>
        <v>40</v>
      </c>
      <c r="D26" s="47" t="e">
        <f t="shared" si="0"/>
        <v>#REF!</v>
      </c>
    </row>
    <row r="27" spans="1:5" ht="14.25" x14ac:dyDescent="0.2">
      <c r="A27" s="46" t="s">
        <v>168</v>
      </c>
      <c r="B27" s="46" t="s">
        <v>138</v>
      </c>
      <c r="C27" s="19">
        <f>CAJA!F28</f>
        <v>40</v>
      </c>
      <c r="D27" s="47" t="e">
        <f t="shared" si="0"/>
        <v>#REF!</v>
      </c>
    </row>
    <row r="28" spans="1:5" ht="14.25" x14ac:dyDescent="0.2">
      <c r="A28" s="46" t="s">
        <v>229</v>
      </c>
      <c r="B28" s="46" t="s">
        <v>231</v>
      </c>
      <c r="C28" s="19">
        <f>CAJA!F29</f>
        <v>20</v>
      </c>
      <c r="D28" s="47" t="e">
        <f t="shared" si="0"/>
        <v>#REF!</v>
      </c>
    </row>
    <row r="29" spans="1:5" ht="14.25" x14ac:dyDescent="0.2">
      <c r="A29" s="46" t="s">
        <v>241</v>
      </c>
      <c r="B29" s="46" t="s">
        <v>169</v>
      </c>
      <c r="C29" s="19" t="e">
        <f>CAJA!#REF!</f>
        <v>#REF!</v>
      </c>
      <c r="D29" s="47" t="e">
        <f t="shared" si="0"/>
        <v>#REF!</v>
      </c>
    </row>
    <row r="30" spans="1:5" ht="14.25" x14ac:dyDescent="0.2">
      <c r="A30" s="46" t="s">
        <v>242</v>
      </c>
      <c r="B30" s="46" t="s">
        <v>283</v>
      </c>
      <c r="C30" s="19" t="e">
        <f>CAJA!#REF!+CAJA!F30+CAJA!#REF!+CAJA!#REF!</f>
        <v>#REF!</v>
      </c>
      <c r="D30" s="47" t="e">
        <f t="shared" si="0"/>
        <v>#REF!</v>
      </c>
    </row>
    <row r="31" spans="1:5" x14ac:dyDescent="0.2">
      <c r="C31" s="48" t="e">
        <f>SUM(C2:C30)</f>
        <v>#REF!</v>
      </c>
      <c r="D31" s="49" t="e">
        <f>SUM(D2:D30)</f>
        <v>#REF!</v>
      </c>
      <c r="E31" s="47">
        <v>272048529.56909561</v>
      </c>
    </row>
    <row r="34" spans="2:3" x14ac:dyDescent="0.2">
      <c r="B34" s="43" t="s">
        <v>281</v>
      </c>
      <c r="C34" s="43">
        <f>50*12</f>
        <v>600</v>
      </c>
    </row>
    <row r="38" spans="2:3" ht="13.5" thickBot="1" x14ac:dyDescent="0.25"/>
    <row r="39" spans="2:3" x14ac:dyDescent="0.2">
      <c r="B39" s="68">
        <v>197601129.22</v>
      </c>
    </row>
    <row r="40" spans="2:3" ht="13.5" thickBot="1" x14ac:dyDescent="0.25">
      <c r="B40" s="69"/>
      <c r="C40" s="51">
        <f>B39/3240</f>
        <v>60988.00284567901</v>
      </c>
    </row>
    <row r="41" spans="2:3" x14ac:dyDescent="0.2">
      <c r="B41" s="68">
        <v>56580955.100000001</v>
      </c>
    </row>
    <row r="42" spans="2:3" ht="13.5" thickBot="1" x14ac:dyDescent="0.25">
      <c r="B42" s="69"/>
    </row>
    <row r="43" spans="2:3" x14ac:dyDescent="0.2">
      <c r="B43" s="51">
        <f>SUM(B39:B42)</f>
        <v>254182084.31999999</v>
      </c>
    </row>
  </sheetData>
  <mergeCells count="2">
    <mergeCell ref="B39:B40"/>
    <mergeCell ref="B41:B4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0"/>
  <dimension ref="A1:D6"/>
  <sheetViews>
    <sheetView zoomScale="160" zoomScaleNormal="160" workbookViewId="0">
      <selection activeCell="A6" sqref="A6"/>
    </sheetView>
  </sheetViews>
  <sheetFormatPr baseColWidth="10" defaultRowHeight="12.75" x14ac:dyDescent="0.2"/>
  <cols>
    <col min="2" max="2" width="30" bestFit="1" customWidth="1"/>
    <col min="3" max="3" width="20.42578125" customWidth="1"/>
    <col min="4" max="4" width="20.5703125" customWidth="1"/>
  </cols>
  <sheetData>
    <row r="1" spans="1:4" x14ac:dyDescent="0.2">
      <c r="A1" s="2" t="s">
        <v>88</v>
      </c>
      <c r="B1" s="2" t="s">
        <v>228</v>
      </c>
      <c r="C1" s="2" t="s">
        <v>223</v>
      </c>
      <c r="D1" s="2" t="s">
        <v>143</v>
      </c>
    </row>
    <row r="2" spans="1:4" x14ac:dyDescent="0.2">
      <c r="A2">
        <v>1</v>
      </c>
      <c r="B2" t="s">
        <v>224</v>
      </c>
      <c r="C2" t="s">
        <v>225</v>
      </c>
    </row>
    <row r="3" spans="1:4" x14ac:dyDescent="0.2">
      <c r="A3">
        <v>2</v>
      </c>
      <c r="B3" s="41" t="s">
        <v>260</v>
      </c>
      <c r="C3" t="s">
        <v>226</v>
      </c>
    </row>
    <row r="4" spans="1:4" x14ac:dyDescent="0.2">
      <c r="A4">
        <v>1</v>
      </c>
      <c r="B4" t="s">
        <v>227</v>
      </c>
      <c r="C4" t="s">
        <v>226</v>
      </c>
    </row>
    <row r="5" spans="1:4" x14ac:dyDescent="0.2">
      <c r="A5">
        <v>1</v>
      </c>
      <c r="B5" s="43" t="s">
        <v>279</v>
      </c>
      <c r="C5" t="s">
        <v>226</v>
      </c>
    </row>
    <row r="6" spans="1:4" x14ac:dyDescent="0.2">
      <c r="A6">
        <f>SUM(A2:A5)</f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1022-44BA-4797-99AA-3A6B65AE534B}">
  <dimension ref="B3:C17"/>
  <sheetViews>
    <sheetView tabSelected="1" workbookViewId="0">
      <selection activeCell="C9" sqref="C9"/>
    </sheetView>
  </sheetViews>
  <sheetFormatPr baseColWidth="10" defaultRowHeight="12.75" x14ac:dyDescent="0.2"/>
  <cols>
    <col min="2" max="2" width="17.85546875" bestFit="1" customWidth="1"/>
    <col min="3" max="3" width="12.85546875" bestFit="1" customWidth="1"/>
  </cols>
  <sheetData>
    <row r="3" spans="2:3" x14ac:dyDescent="0.2">
      <c r="B3" s="43" t="s">
        <v>448</v>
      </c>
      <c r="C3" s="47">
        <v>45000</v>
      </c>
    </row>
    <row r="4" spans="2:3" x14ac:dyDescent="0.2">
      <c r="B4" s="43" t="s">
        <v>452</v>
      </c>
      <c r="C4" s="62">
        <v>1</v>
      </c>
    </row>
    <row r="5" spans="2:3" x14ac:dyDescent="0.2">
      <c r="B5" s="43" t="s">
        <v>217</v>
      </c>
      <c r="C5">
        <v>170</v>
      </c>
    </row>
    <row r="6" spans="2:3" x14ac:dyDescent="0.2">
      <c r="B6" s="2" t="s">
        <v>235</v>
      </c>
      <c r="C6" s="63">
        <f>(C3*C5)*(1+C4)</f>
        <v>15300000</v>
      </c>
    </row>
    <row r="7" spans="2:3" x14ac:dyDescent="0.2">
      <c r="B7" s="2"/>
      <c r="C7" s="63"/>
    </row>
    <row r="8" spans="2:3" x14ac:dyDescent="0.2">
      <c r="B8" s="43" t="s">
        <v>449</v>
      </c>
      <c r="C8" s="47">
        <v>4000000</v>
      </c>
    </row>
    <row r="9" spans="2:3" x14ac:dyDescent="0.2">
      <c r="B9" s="43" t="s">
        <v>450</v>
      </c>
      <c r="C9">
        <v>12</v>
      </c>
    </row>
    <row r="10" spans="2:3" x14ac:dyDescent="0.2">
      <c r="B10" s="43" t="s">
        <v>451</v>
      </c>
      <c r="C10" s="63">
        <f>(C6-C8)/C9</f>
        <v>941666.66666666663</v>
      </c>
    </row>
    <row r="13" spans="2:3" x14ac:dyDescent="0.2">
      <c r="B13" s="43" t="s">
        <v>453</v>
      </c>
      <c r="C13" s="64">
        <f>C6</f>
        <v>15300000</v>
      </c>
    </row>
    <row r="14" spans="2:3" x14ac:dyDescent="0.2">
      <c r="B14" s="43" t="s">
        <v>454</v>
      </c>
      <c r="C14" s="64">
        <f>C3*C5</f>
        <v>7650000</v>
      </c>
    </row>
    <row r="15" spans="2:3" x14ac:dyDescent="0.2">
      <c r="B15" s="43" t="s">
        <v>455</v>
      </c>
      <c r="C15" s="64">
        <f>C13-C14</f>
        <v>7650000</v>
      </c>
    </row>
    <row r="16" spans="2:3" x14ac:dyDescent="0.2">
      <c r="B16" s="43" t="s">
        <v>456</v>
      </c>
      <c r="C16" s="52">
        <f>C15/C13</f>
        <v>0.5</v>
      </c>
    </row>
    <row r="17" spans="2:3" x14ac:dyDescent="0.2">
      <c r="B17" s="43" t="s">
        <v>457</v>
      </c>
      <c r="C17" s="52">
        <f>C15/C14</f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2"/>
  <dimension ref="A1:F49"/>
  <sheetViews>
    <sheetView topLeftCell="A10" workbookViewId="0">
      <selection activeCell="B49" sqref="B49"/>
    </sheetView>
  </sheetViews>
  <sheetFormatPr baseColWidth="10" defaultColWidth="9.140625" defaultRowHeight="12.75" x14ac:dyDescent="0.2"/>
  <cols>
    <col min="1" max="1" width="36.85546875" customWidth="1"/>
    <col min="2" max="2" width="25.140625" customWidth="1"/>
    <col min="3" max="3" width="9.140625" customWidth="1"/>
    <col min="4" max="4" width="12.42578125" customWidth="1"/>
    <col min="5" max="5" width="7.140625" customWidth="1"/>
    <col min="6" max="6" width="13.7109375" customWidth="1"/>
  </cols>
  <sheetData>
    <row r="1" spans="1:6" ht="15.75" x14ac:dyDescent="0.25">
      <c r="A1" s="70" t="s">
        <v>47</v>
      </c>
      <c r="B1" s="70"/>
      <c r="C1" s="70"/>
      <c r="D1" s="70"/>
    </row>
    <row r="3" spans="1:6" x14ac:dyDescent="0.2">
      <c r="B3" s="6" t="s">
        <v>87</v>
      </c>
      <c r="C3" s="6" t="s">
        <v>88</v>
      </c>
      <c r="D3" s="6" t="s">
        <v>1</v>
      </c>
      <c r="F3" s="6"/>
    </row>
    <row r="4" spans="1:6" x14ac:dyDescent="0.2">
      <c r="A4" s="2" t="s">
        <v>46</v>
      </c>
    </row>
    <row r="5" spans="1:6" x14ac:dyDescent="0.2">
      <c r="A5" s="4" t="s">
        <v>82</v>
      </c>
      <c r="B5" t="s">
        <v>3</v>
      </c>
      <c r="C5">
        <v>1</v>
      </c>
      <c r="D5">
        <f>VLOOKUP(B5,Inventario!B3:C21,2,0)*C5</f>
        <v>8</v>
      </c>
    </row>
    <row r="6" spans="1:6" x14ac:dyDescent="0.2">
      <c r="A6" s="4" t="s">
        <v>50</v>
      </c>
      <c r="B6" t="s">
        <v>25</v>
      </c>
      <c r="C6">
        <v>1</v>
      </c>
      <c r="D6">
        <f>VLOOKUP(B6,Inventario!D3:E20,2,0)*C6</f>
        <v>4</v>
      </c>
    </row>
    <row r="7" spans="1:6" x14ac:dyDescent="0.2">
      <c r="A7" s="4" t="s">
        <v>51</v>
      </c>
      <c r="B7" t="s">
        <v>31</v>
      </c>
      <c r="C7">
        <v>1</v>
      </c>
      <c r="D7">
        <f>VLOOKUP(B7,Inventario!D3:E20,2,0)*C7</f>
        <v>8</v>
      </c>
    </row>
    <row r="8" spans="1:6" x14ac:dyDescent="0.2">
      <c r="A8" s="4" t="s">
        <v>52</v>
      </c>
      <c r="B8" t="s">
        <v>25</v>
      </c>
      <c r="C8">
        <v>1</v>
      </c>
      <c r="D8">
        <f>VLOOKUP(B8,Inventario!D3:E20,2,0)*C8</f>
        <v>4</v>
      </c>
    </row>
    <row r="9" spans="1:6" x14ac:dyDescent="0.2">
      <c r="A9" s="7" t="s">
        <v>64</v>
      </c>
    </row>
    <row r="10" spans="1:6" x14ac:dyDescent="0.2">
      <c r="A10" s="5" t="s">
        <v>65</v>
      </c>
      <c r="B10" t="s">
        <v>48</v>
      </c>
      <c r="C10">
        <v>1</v>
      </c>
      <c r="D10">
        <f>VLOOKUP(B10,Inventario!B3:C21,2,0)*C10</f>
        <v>4</v>
      </c>
    </row>
    <row r="11" spans="1:6" x14ac:dyDescent="0.2">
      <c r="A11" s="5" t="s">
        <v>66</v>
      </c>
      <c r="B11" t="s">
        <v>3</v>
      </c>
      <c r="C11">
        <v>1</v>
      </c>
      <c r="D11">
        <f>VLOOKUP(B11,Inventario!B3:C21,2,0)*C11</f>
        <v>8</v>
      </c>
    </row>
    <row r="12" spans="1:6" x14ac:dyDescent="0.2">
      <c r="A12" s="5" t="s">
        <v>67</v>
      </c>
      <c r="B12" t="s">
        <v>3</v>
      </c>
      <c r="C12">
        <v>1</v>
      </c>
      <c r="D12">
        <f>VLOOKUP(B12,Inventario!B3:C21,2,0)*C12</f>
        <v>8</v>
      </c>
    </row>
    <row r="13" spans="1:6" x14ac:dyDescent="0.2">
      <c r="A13" s="5" t="s">
        <v>68</v>
      </c>
      <c r="B13" t="s">
        <v>31</v>
      </c>
      <c r="C13">
        <v>1</v>
      </c>
      <c r="D13">
        <f>VLOOKUP(B13,Inventario!D3:E20,2,0)*C13</f>
        <v>8</v>
      </c>
    </row>
    <row r="14" spans="1:6" x14ac:dyDescent="0.2">
      <c r="A14" s="4" t="s">
        <v>80</v>
      </c>
      <c r="B14" t="s">
        <v>31</v>
      </c>
      <c r="C14">
        <v>1</v>
      </c>
      <c r="D14">
        <f>VLOOKUP(B14,Inventario!D3:E20,2,0)*C14</f>
        <v>8</v>
      </c>
    </row>
    <row r="15" spans="1:6" x14ac:dyDescent="0.2">
      <c r="A15" s="4" t="s">
        <v>81</v>
      </c>
      <c r="B15" t="s">
        <v>35</v>
      </c>
      <c r="C15">
        <v>1</v>
      </c>
      <c r="D15">
        <f>VLOOKUP(B15,Inventario!D3:E20,2,0)*C15</f>
        <v>32</v>
      </c>
    </row>
    <row r="16" spans="1:6" x14ac:dyDescent="0.2">
      <c r="A16" s="1" t="s">
        <v>105</v>
      </c>
    </row>
    <row r="17" spans="1:4" x14ac:dyDescent="0.2">
      <c r="A17" s="4" t="s">
        <v>104</v>
      </c>
      <c r="B17" t="s">
        <v>10</v>
      </c>
      <c r="C17">
        <v>1</v>
      </c>
      <c r="D17">
        <f>VLOOKUP(B17,Inventario!B3:C21,2,0)*C17</f>
        <v>8</v>
      </c>
    </row>
    <row r="18" spans="1:4" x14ac:dyDescent="0.2">
      <c r="A18" s="4" t="s">
        <v>106</v>
      </c>
      <c r="B18" t="s">
        <v>10</v>
      </c>
      <c r="C18">
        <v>1</v>
      </c>
      <c r="D18">
        <f>VLOOKUP(B18,Inventario!B3:C21,2,0)*C18</f>
        <v>8</v>
      </c>
    </row>
    <row r="19" spans="1:4" x14ac:dyDescent="0.2">
      <c r="A19" s="3" t="s">
        <v>59</v>
      </c>
    </row>
    <row r="20" spans="1:4" x14ac:dyDescent="0.2">
      <c r="A20" s="7" t="s">
        <v>53</v>
      </c>
    </row>
    <row r="21" spans="1:4" x14ac:dyDescent="0.2">
      <c r="A21" s="5" t="s">
        <v>56</v>
      </c>
      <c r="B21" t="s">
        <v>5</v>
      </c>
      <c r="C21">
        <v>1</v>
      </c>
      <c r="D21">
        <f>VLOOKUP(B21,Inventario!B11:C27,2,0)*C21</f>
        <v>40</v>
      </c>
    </row>
    <row r="22" spans="1:4" x14ac:dyDescent="0.2">
      <c r="A22" s="5" t="s">
        <v>58</v>
      </c>
      <c r="B22" t="s">
        <v>5</v>
      </c>
      <c r="C22">
        <v>1</v>
      </c>
      <c r="D22">
        <f>VLOOKUP(B22,Inventario!B12:C28,2,0)*C22</f>
        <v>40</v>
      </c>
    </row>
    <row r="23" spans="1:4" x14ac:dyDescent="0.2">
      <c r="A23" s="5" t="s">
        <v>57</v>
      </c>
      <c r="B23" t="s">
        <v>4</v>
      </c>
      <c r="C23">
        <v>1</v>
      </c>
      <c r="D23">
        <f>VLOOKUP(B23,Inventario!B3:C21,2,0)*C23</f>
        <v>16</v>
      </c>
    </row>
    <row r="24" spans="1:4" x14ac:dyDescent="0.2">
      <c r="A24" s="5" t="s">
        <v>55</v>
      </c>
      <c r="B24" t="s">
        <v>5</v>
      </c>
      <c r="C24">
        <v>1</v>
      </c>
      <c r="D24">
        <f>VLOOKUP(B24,Inventario!B3:C21,2,0)*C24</f>
        <v>40</v>
      </c>
    </row>
    <row r="25" spans="1:4" x14ac:dyDescent="0.2">
      <c r="A25" s="4" t="s">
        <v>54</v>
      </c>
      <c r="B25" t="s">
        <v>3</v>
      </c>
      <c r="C25">
        <v>1</v>
      </c>
      <c r="D25">
        <f>VLOOKUP(B25,Inventario!B3:C21,2,0)*C25</f>
        <v>8</v>
      </c>
    </row>
    <row r="26" spans="1:4" x14ac:dyDescent="0.2">
      <c r="A26" s="3" t="s">
        <v>60</v>
      </c>
    </row>
    <row r="27" spans="1:4" x14ac:dyDescent="0.2">
      <c r="A27" s="5" t="s">
        <v>61</v>
      </c>
      <c r="B27" t="s">
        <v>4</v>
      </c>
      <c r="C27">
        <v>1</v>
      </c>
      <c r="D27">
        <f>VLOOKUP(B27,Inventario!B3:C21,2,0)*C27</f>
        <v>16</v>
      </c>
    </row>
    <row r="28" spans="1:4" x14ac:dyDescent="0.2">
      <c r="A28" s="5" t="s">
        <v>103</v>
      </c>
      <c r="B28" t="s">
        <v>31</v>
      </c>
      <c r="C28">
        <v>1</v>
      </c>
      <c r="D28">
        <f>VLOOKUP(B28,Inventario!D3:E20,2,0)*C28</f>
        <v>8</v>
      </c>
    </row>
    <row r="29" spans="1:4" x14ac:dyDescent="0.2">
      <c r="A29" s="5" t="s">
        <v>62</v>
      </c>
      <c r="B29" t="s">
        <v>4</v>
      </c>
      <c r="C29">
        <v>1</v>
      </c>
      <c r="D29">
        <f>VLOOKUP(B29,Inventario!B3:C21,2,0)*C29</f>
        <v>16</v>
      </c>
    </row>
    <row r="30" spans="1:4" x14ac:dyDescent="0.2">
      <c r="A30" s="5" t="s">
        <v>63</v>
      </c>
      <c r="B30" t="s">
        <v>3</v>
      </c>
      <c r="C30">
        <v>1</v>
      </c>
      <c r="D30">
        <f>VLOOKUP(B30,Inventario!B3:C21,2,0)*C30</f>
        <v>8</v>
      </c>
    </row>
    <row r="31" spans="1:4" x14ac:dyDescent="0.2">
      <c r="A31" s="3" t="s">
        <v>69</v>
      </c>
    </row>
    <row r="32" spans="1:4" x14ac:dyDescent="0.2">
      <c r="A32" s="5" t="s">
        <v>70</v>
      </c>
      <c r="B32" t="s">
        <v>4</v>
      </c>
      <c r="C32">
        <v>1</v>
      </c>
      <c r="D32">
        <f>VLOOKUP(B32,Inventario!B3:C21,2,0)*C32</f>
        <v>16</v>
      </c>
    </row>
    <row r="33" spans="1:4" x14ac:dyDescent="0.2">
      <c r="A33" s="5" t="s">
        <v>71</v>
      </c>
      <c r="B33" t="s">
        <v>4</v>
      </c>
      <c r="C33">
        <v>1</v>
      </c>
      <c r="D33">
        <f>VLOOKUP(B33,Inventario!B3:C21,2,0)*C33</f>
        <v>16</v>
      </c>
    </row>
    <row r="34" spans="1:4" x14ac:dyDescent="0.2">
      <c r="A34" s="5" t="s">
        <v>73</v>
      </c>
      <c r="B34" t="s">
        <v>35</v>
      </c>
      <c r="C34">
        <v>1</v>
      </c>
      <c r="D34">
        <f>VLOOKUP(B34,Inventario!D3:E20,2,0)*C34</f>
        <v>32</v>
      </c>
    </row>
    <row r="35" spans="1:4" x14ac:dyDescent="0.2">
      <c r="A35" s="5" t="s">
        <v>72</v>
      </c>
      <c r="B35" t="s">
        <v>3</v>
      </c>
      <c r="C35">
        <v>1</v>
      </c>
      <c r="D35">
        <f>VLOOKUP(B35,Inventario!B3:C21,2,0)*C35</f>
        <v>8</v>
      </c>
    </row>
    <row r="36" spans="1:4" x14ac:dyDescent="0.2">
      <c r="A36" s="7" t="s">
        <v>77</v>
      </c>
    </row>
    <row r="37" spans="1:4" x14ac:dyDescent="0.2">
      <c r="A37" s="5" t="s">
        <v>78</v>
      </c>
      <c r="B37" t="s">
        <v>48</v>
      </c>
      <c r="C37">
        <v>1</v>
      </c>
      <c r="D37">
        <f>VLOOKUP(B37,Inventario!B3:C21,2,0)*C37</f>
        <v>4</v>
      </c>
    </row>
    <row r="38" spans="1:4" x14ac:dyDescent="0.2">
      <c r="A38" s="5" t="s">
        <v>79</v>
      </c>
      <c r="B38" t="s">
        <v>31</v>
      </c>
      <c r="C38">
        <v>1</v>
      </c>
      <c r="D38">
        <f>VLOOKUP(B38,Inventario!D3:E20,2,0)*C38</f>
        <v>8</v>
      </c>
    </row>
    <row r="39" spans="1:4" x14ac:dyDescent="0.2">
      <c r="A39" s="3" t="s">
        <v>74</v>
      </c>
    </row>
    <row r="40" spans="1:4" x14ac:dyDescent="0.2">
      <c r="A40" s="5" t="s">
        <v>75</v>
      </c>
      <c r="B40" t="s">
        <v>3</v>
      </c>
      <c r="C40">
        <v>1</v>
      </c>
      <c r="D40">
        <f>VLOOKUP(B40,Inventario!B3:C21,2,0)*C40</f>
        <v>8</v>
      </c>
    </row>
    <row r="41" spans="1:4" x14ac:dyDescent="0.2">
      <c r="A41" s="5" t="s">
        <v>76</v>
      </c>
      <c r="B41" t="s">
        <v>3</v>
      </c>
      <c r="C41">
        <v>1</v>
      </c>
      <c r="D41">
        <f>VLOOKUP(B41,Inventario!B3:C21,2,0)*C41</f>
        <v>8</v>
      </c>
    </row>
    <row r="42" spans="1:4" x14ac:dyDescent="0.2">
      <c r="A42" s="3" t="s">
        <v>101</v>
      </c>
    </row>
    <row r="43" spans="1:4" x14ac:dyDescent="0.2">
      <c r="A43" s="4" t="s">
        <v>102</v>
      </c>
      <c r="B43" t="s">
        <v>84</v>
      </c>
      <c r="C43">
        <v>10</v>
      </c>
      <c r="D43">
        <f>VLOOKUP(B43,Inventario!F3:G20,2,0)*C43</f>
        <v>40</v>
      </c>
    </row>
    <row r="44" spans="1:4" x14ac:dyDescent="0.2">
      <c r="A44" s="4" t="s">
        <v>107</v>
      </c>
      <c r="B44" t="s">
        <v>98</v>
      </c>
      <c r="C44">
        <v>1</v>
      </c>
      <c r="D44">
        <f>VLOOKUP(B44,Inventario!J3:K20,2,0)*C44</f>
        <v>20</v>
      </c>
    </row>
    <row r="45" spans="1:4" x14ac:dyDescent="0.2">
      <c r="A45" s="2" t="s">
        <v>42</v>
      </c>
    </row>
    <row r="46" spans="1:4" x14ac:dyDescent="0.2">
      <c r="A46" s="4" t="s">
        <v>108</v>
      </c>
      <c r="B46" t="s">
        <v>44</v>
      </c>
      <c r="C46">
        <v>1</v>
      </c>
      <c r="D46">
        <f>VLOOKUP(B46,Inventario!L3:M20,2,0)*C46</f>
        <v>8</v>
      </c>
    </row>
    <row r="49" spans="1:3" x14ac:dyDescent="0.2">
      <c r="A49" s="9" t="s">
        <v>109</v>
      </c>
      <c r="B49" s="2">
        <f>SUM(D5:D46)*Parametrizacion!B3</f>
        <v>936</v>
      </c>
      <c r="C49" s="2" t="s">
        <v>112</v>
      </c>
    </row>
  </sheetData>
  <mergeCells count="1">
    <mergeCell ref="A1:D1"/>
  </mergeCells>
  <phoneticPr fontId="1" type="noConversion"/>
  <dataValidations count="5">
    <dataValidation type="list" allowBlank="1" showInputMessage="1" showErrorMessage="1" sqref="B21:B25 B27 B29:B30 B32:B33 B40:B41 B35 B37 B10:B12 B5 B17:B18" xr:uid="{00000000-0002-0000-0300-000000000000}">
      <formula1>FrontEnd</formula1>
    </dataValidation>
    <dataValidation type="list" allowBlank="1" showInputMessage="1" showErrorMessage="1" sqref="B28 B34 B38 B6:B8 B13:B16" xr:uid="{00000000-0002-0000-0300-000001000000}">
      <formula1>BackEnd</formula1>
    </dataValidation>
    <dataValidation type="list" allowBlank="1" showInputMessage="1" showErrorMessage="1" sqref="B43" xr:uid="{00000000-0002-0000-0300-000002000000}">
      <formula1>BBDD</formula1>
    </dataValidation>
    <dataValidation type="list" allowBlank="1" showInputMessage="1" showErrorMessage="1" sqref="B44" xr:uid="{00000000-0002-0000-0300-000003000000}">
      <formula1>ETL</formula1>
    </dataValidation>
    <dataValidation type="list" allowBlank="1" showInputMessage="1" showErrorMessage="1" sqref="B46" xr:uid="{00000000-0002-0000-0300-000004000000}">
      <formula1>Pruebas</formula1>
    </dataValidation>
  </dataValidations>
  <pageMargins left="0.75" right="0.75" top="1" bottom="1" header="0.5" footer="0.5"/>
  <pageSetup paperSize="9" orientation="portrait" r:id="rId1"/>
  <headerFooter alignWithMargins="0"/>
  <cellWatches>
    <cellWatch r="B5"/>
  </cellWatch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/>
  <dimension ref="A1:O21"/>
  <sheetViews>
    <sheetView workbookViewId="0">
      <selection activeCell="L3" sqref="L3"/>
    </sheetView>
  </sheetViews>
  <sheetFormatPr baseColWidth="10" defaultColWidth="9.140625" defaultRowHeight="12.75" x14ac:dyDescent="0.2"/>
  <cols>
    <col min="1" max="1" width="9.140625" customWidth="1"/>
    <col min="2" max="2" width="33" customWidth="1"/>
    <col min="3" max="3" width="13" style="1" customWidth="1"/>
    <col min="4" max="4" width="20.7109375" customWidth="1"/>
    <col min="5" max="5" width="12.5703125" customWidth="1"/>
    <col min="6" max="6" width="33" customWidth="1"/>
    <col min="7" max="7" width="13.140625" customWidth="1"/>
    <col min="8" max="8" width="22.42578125" customWidth="1"/>
    <col min="9" max="9" width="11.85546875" customWidth="1"/>
    <col min="10" max="10" width="13.28515625" customWidth="1"/>
    <col min="11" max="11" width="11.42578125" customWidth="1"/>
    <col min="12" max="12" width="27.85546875" customWidth="1"/>
    <col min="13" max="13" width="12.5703125" customWidth="1"/>
    <col min="14" max="14" width="31.85546875" customWidth="1"/>
    <col min="15" max="15" width="12.42578125" customWidth="1"/>
  </cols>
  <sheetData>
    <row r="1" spans="1:15" ht="15.75" x14ac:dyDescent="0.25">
      <c r="A1" s="8" t="s">
        <v>0</v>
      </c>
    </row>
    <row r="2" spans="1:15" x14ac:dyDescent="0.2">
      <c r="B2" s="2" t="s">
        <v>2</v>
      </c>
      <c r="C2" s="3" t="s">
        <v>1</v>
      </c>
      <c r="D2" s="2" t="s">
        <v>17</v>
      </c>
      <c r="E2" s="2" t="s">
        <v>1</v>
      </c>
      <c r="F2" s="2" t="s">
        <v>24</v>
      </c>
      <c r="G2" s="2" t="s">
        <v>1</v>
      </c>
      <c r="H2" s="2" t="s">
        <v>29</v>
      </c>
      <c r="I2" s="2" t="s">
        <v>1</v>
      </c>
      <c r="J2" s="2" t="s">
        <v>30</v>
      </c>
      <c r="K2" s="2" t="s">
        <v>1</v>
      </c>
      <c r="L2" s="2" t="s">
        <v>42</v>
      </c>
      <c r="M2" s="2" t="s">
        <v>1</v>
      </c>
      <c r="N2" s="2" t="s">
        <v>49</v>
      </c>
      <c r="O2" s="2" t="s">
        <v>1</v>
      </c>
    </row>
    <row r="3" spans="1:15" x14ac:dyDescent="0.2">
      <c r="B3" t="s">
        <v>13</v>
      </c>
      <c r="C3" s="10">
        <v>1</v>
      </c>
      <c r="D3" t="s">
        <v>18</v>
      </c>
      <c r="E3" s="10">
        <v>2</v>
      </c>
      <c r="F3" t="s">
        <v>83</v>
      </c>
      <c r="G3" s="11">
        <v>1</v>
      </c>
      <c r="H3" t="s">
        <v>92</v>
      </c>
      <c r="I3" s="11">
        <v>2</v>
      </c>
      <c r="J3" t="s">
        <v>97</v>
      </c>
      <c r="K3" s="11">
        <v>8</v>
      </c>
      <c r="L3" t="s">
        <v>43</v>
      </c>
      <c r="M3" s="11">
        <v>4</v>
      </c>
      <c r="N3" t="s">
        <v>100</v>
      </c>
      <c r="O3" s="11">
        <v>1</v>
      </c>
    </row>
    <row r="4" spans="1:15" x14ac:dyDescent="0.2">
      <c r="B4" t="s">
        <v>7</v>
      </c>
      <c r="C4" s="10">
        <v>1</v>
      </c>
      <c r="D4" t="s">
        <v>19</v>
      </c>
      <c r="E4" s="10">
        <v>4</v>
      </c>
      <c r="F4" t="s">
        <v>84</v>
      </c>
      <c r="G4" s="11">
        <v>4</v>
      </c>
      <c r="H4" t="s">
        <v>93</v>
      </c>
      <c r="I4" s="11">
        <v>2</v>
      </c>
      <c r="J4" t="s">
        <v>98</v>
      </c>
      <c r="K4" s="11">
        <v>20</v>
      </c>
      <c r="L4" t="s">
        <v>44</v>
      </c>
      <c r="M4" s="11">
        <v>8</v>
      </c>
      <c r="O4" s="11"/>
    </row>
    <row r="5" spans="1:15" x14ac:dyDescent="0.2">
      <c r="B5" t="s">
        <v>8</v>
      </c>
      <c r="C5" s="10">
        <v>4</v>
      </c>
      <c r="D5" t="s">
        <v>20</v>
      </c>
      <c r="E5" s="10">
        <v>8</v>
      </c>
      <c r="F5" t="s">
        <v>85</v>
      </c>
      <c r="G5" s="11">
        <v>2</v>
      </c>
      <c r="H5" t="s">
        <v>94</v>
      </c>
      <c r="I5" s="11">
        <v>8</v>
      </c>
      <c r="J5" t="s">
        <v>99</v>
      </c>
      <c r="K5" s="11">
        <v>40</v>
      </c>
      <c r="L5" t="s">
        <v>45</v>
      </c>
      <c r="M5" s="11">
        <v>40</v>
      </c>
      <c r="O5" s="11"/>
    </row>
    <row r="6" spans="1:15" x14ac:dyDescent="0.2">
      <c r="B6" t="s">
        <v>9</v>
      </c>
      <c r="C6" s="10">
        <v>8</v>
      </c>
      <c r="D6" t="s">
        <v>26</v>
      </c>
      <c r="E6" s="10">
        <v>4</v>
      </c>
      <c r="F6" t="s">
        <v>86</v>
      </c>
      <c r="G6" s="11">
        <v>4</v>
      </c>
      <c r="H6" t="s">
        <v>95</v>
      </c>
      <c r="I6" s="11">
        <v>40</v>
      </c>
      <c r="K6" s="11"/>
      <c r="M6" s="11"/>
      <c r="O6" s="11"/>
    </row>
    <row r="7" spans="1:15" x14ac:dyDescent="0.2">
      <c r="B7" t="s">
        <v>6</v>
      </c>
      <c r="C7" s="10">
        <v>4</v>
      </c>
      <c r="D7" t="s">
        <v>27</v>
      </c>
      <c r="E7" s="10">
        <v>8</v>
      </c>
      <c r="F7" t="s">
        <v>89</v>
      </c>
      <c r="G7" s="11">
        <v>4</v>
      </c>
      <c r="H7" t="s">
        <v>96</v>
      </c>
      <c r="I7" s="11">
        <v>80</v>
      </c>
      <c r="K7" s="11"/>
      <c r="M7" s="11"/>
      <c r="O7" s="11"/>
    </row>
    <row r="8" spans="1:15" x14ac:dyDescent="0.2">
      <c r="B8" t="s">
        <v>48</v>
      </c>
      <c r="C8" s="10">
        <v>4</v>
      </c>
      <c r="D8" t="s">
        <v>28</v>
      </c>
      <c r="E8" s="10">
        <v>20</v>
      </c>
      <c r="F8" t="s">
        <v>90</v>
      </c>
      <c r="G8" s="11">
        <v>8</v>
      </c>
      <c r="I8" s="11"/>
      <c r="K8" s="11"/>
      <c r="M8" s="11"/>
      <c r="O8" s="11"/>
    </row>
    <row r="9" spans="1:15" x14ac:dyDescent="0.2">
      <c r="B9" t="s">
        <v>215</v>
      </c>
      <c r="C9" s="10">
        <v>8</v>
      </c>
      <c r="D9" t="s">
        <v>32</v>
      </c>
      <c r="E9" s="10">
        <v>4</v>
      </c>
      <c r="F9" t="s">
        <v>91</v>
      </c>
      <c r="G9" s="11">
        <v>20</v>
      </c>
      <c r="I9" s="11"/>
      <c r="K9" s="11"/>
      <c r="M9" s="11"/>
      <c r="O9" s="11"/>
    </row>
    <row r="10" spans="1:15" x14ac:dyDescent="0.2">
      <c r="B10" t="s">
        <v>3</v>
      </c>
      <c r="C10" s="10">
        <v>8</v>
      </c>
      <c r="D10" t="s">
        <v>33</v>
      </c>
      <c r="E10" s="10">
        <v>8</v>
      </c>
      <c r="G10" s="11"/>
      <c r="I10" s="11"/>
      <c r="K10" s="11"/>
      <c r="M10" s="11"/>
      <c r="O10" s="11"/>
    </row>
    <row r="11" spans="1:15" x14ac:dyDescent="0.2">
      <c r="B11" t="s">
        <v>4</v>
      </c>
      <c r="C11" s="10">
        <v>16</v>
      </c>
      <c r="D11" t="s">
        <v>34</v>
      </c>
      <c r="E11" s="10">
        <v>20</v>
      </c>
      <c r="G11" s="11"/>
      <c r="I11" s="11"/>
      <c r="K11" s="11"/>
      <c r="M11" s="11"/>
      <c r="O11" s="11"/>
    </row>
    <row r="12" spans="1:15" x14ac:dyDescent="0.2">
      <c r="B12" t="s">
        <v>5</v>
      </c>
      <c r="C12" s="10">
        <v>40</v>
      </c>
      <c r="D12" t="s">
        <v>25</v>
      </c>
      <c r="E12" s="10">
        <v>4</v>
      </c>
      <c r="G12" s="11"/>
      <c r="I12" s="11"/>
      <c r="K12" s="11"/>
      <c r="M12" s="11"/>
      <c r="O12" s="11"/>
    </row>
    <row r="13" spans="1:15" x14ac:dyDescent="0.2">
      <c r="B13" t="s">
        <v>10</v>
      </c>
      <c r="C13" s="10">
        <v>8</v>
      </c>
      <c r="D13" t="s">
        <v>31</v>
      </c>
      <c r="E13" s="10">
        <v>8</v>
      </c>
      <c r="G13" s="11"/>
      <c r="I13" s="11"/>
      <c r="K13" s="11"/>
      <c r="M13" s="11"/>
      <c r="O13" s="11"/>
    </row>
    <row r="14" spans="1:15" x14ac:dyDescent="0.2">
      <c r="B14" t="s">
        <v>11</v>
      </c>
      <c r="C14" s="10">
        <v>20</v>
      </c>
      <c r="D14" t="s">
        <v>35</v>
      </c>
      <c r="E14" s="10">
        <v>32</v>
      </c>
      <c r="G14" s="11"/>
      <c r="I14" s="11"/>
      <c r="K14" s="11"/>
      <c r="M14" s="11"/>
      <c r="O14" s="11"/>
    </row>
    <row r="15" spans="1:15" x14ac:dyDescent="0.2">
      <c r="B15" t="s">
        <v>12</v>
      </c>
      <c r="C15" s="10">
        <v>80</v>
      </c>
      <c r="D15" t="s">
        <v>36</v>
      </c>
      <c r="E15" s="10">
        <v>8</v>
      </c>
      <c r="G15" s="11"/>
      <c r="I15" s="11"/>
      <c r="K15" s="11"/>
      <c r="M15" s="11"/>
      <c r="O15" s="11"/>
    </row>
    <row r="16" spans="1:15" x14ac:dyDescent="0.2">
      <c r="B16" t="s">
        <v>14</v>
      </c>
      <c r="C16" s="10">
        <v>4</v>
      </c>
      <c r="D16" t="s">
        <v>37</v>
      </c>
      <c r="E16" s="10">
        <v>16</v>
      </c>
      <c r="G16" s="11"/>
      <c r="I16" s="11"/>
      <c r="K16" s="11"/>
      <c r="M16" s="11"/>
      <c r="O16" s="11"/>
    </row>
    <row r="17" spans="2:15" x14ac:dyDescent="0.2">
      <c r="B17" t="s">
        <v>15</v>
      </c>
      <c r="C17" s="10">
        <v>16</v>
      </c>
      <c r="D17" t="s">
        <v>38</v>
      </c>
      <c r="E17" s="10">
        <v>40</v>
      </c>
      <c r="G17" s="11"/>
      <c r="I17" s="11"/>
      <c r="K17" s="11"/>
      <c r="M17" s="11"/>
      <c r="O17" s="11"/>
    </row>
    <row r="18" spans="2:15" x14ac:dyDescent="0.2">
      <c r="B18" t="s">
        <v>16</v>
      </c>
      <c r="C18" s="10">
        <v>40</v>
      </c>
      <c r="D18" t="s">
        <v>39</v>
      </c>
      <c r="E18" s="10">
        <v>4</v>
      </c>
      <c r="G18" s="11"/>
      <c r="I18" s="11"/>
      <c r="K18" s="11"/>
      <c r="M18" s="11"/>
      <c r="O18" s="11"/>
    </row>
    <row r="19" spans="2:15" x14ac:dyDescent="0.2">
      <c r="B19" t="s">
        <v>21</v>
      </c>
      <c r="C19" s="10">
        <v>4</v>
      </c>
      <c r="D19" t="s">
        <v>40</v>
      </c>
      <c r="E19" s="10">
        <v>8</v>
      </c>
      <c r="G19" s="11"/>
      <c r="I19" s="11"/>
      <c r="K19" s="11"/>
      <c r="M19" s="11"/>
      <c r="O19" s="11"/>
    </row>
    <row r="20" spans="2:15" x14ac:dyDescent="0.2">
      <c r="B20" t="s">
        <v>22</v>
      </c>
      <c r="C20" s="10">
        <v>8</v>
      </c>
      <c r="D20" t="s">
        <v>41</v>
      </c>
      <c r="E20" s="10">
        <v>16</v>
      </c>
      <c r="G20" s="11"/>
      <c r="I20" s="11"/>
      <c r="K20" s="11"/>
      <c r="M20" s="11"/>
      <c r="O20" s="11"/>
    </row>
    <row r="21" spans="2:15" x14ac:dyDescent="0.2">
      <c r="B21" t="s">
        <v>23</v>
      </c>
      <c r="C21" s="10">
        <v>16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/>
  <dimension ref="A1:B3"/>
  <sheetViews>
    <sheetView workbookViewId="0">
      <selection activeCell="B3" sqref="B3"/>
    </sheetView>
  </sheetViews>
  <sheetFormatPr baseColWidth="10" defaultColWidth="9.140625" defaultRowHeight="12.75" x14ac:dyDescent="0.2"/>
  <cols>
    <col min="1" max="1" width="42.140625" customWidth="1"/>
  </cols>
  <sheetData>
    <row r="1" spans="1:2" ht="15.75" x14ac:dyDescent="0.25">
      <c r="A1" s="8" t="s">
        <v>110</v>
      </c>
    </row>
    <row r="3" spans="1:2" x14ac:dyDescent="0.2">
      <c r="A3" t="s">
        <v>111</v>
      </c>
      <c r="B3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/>
  <dimension ref="A1:B13"/>
  <sheetViews>
    <sheetView topLeftCell="A4" workbookViewId="0">
      <selection activeCell="B2" sqref="B2"/>
    </sheetView>
  </sheetViews>
  <sheetFormatPr baseColWidth="10" defaultRowHeight="12.75" x14ac:dyDescent="0.2"/>
  <cols>
    <col min="1" max="1" width="21.28515625" bestFit="1" customWidth="1"/>
    <col min="2" max="2" width="40.85546875" customWidth="1"/>
  </cols>
  <sheetData>
    <row r="1" spans="1:2" ht="15" x14ac:dyDescent="0.25">
      <c r="A1" s="12" t="s">
        <v>142</v>
      </c>
      <c r="B1" s="13" t="s">
        <v>143</v>
      </c>
    </row>
    <row r="2" spans="1:2" ht="15" x14ac:dyDescent="0.25">
      <c r="A2" s="14" t="s">
        <v>144</v>
      </c>
      <c r="B2" s="15" t="s">
        <v>185</v>
      </c>
    </row>
    <row r="3" spans="1:2" ht="15" x14ac:dyDescent="0.25">
      <c r="A3" s="14" t="s">
        <v>145</v>
      </c>
      <c r="B3" s="15" t="s">
        <v>186</v>
      </c>
    </row>
    <row r="4" spans="1:2" ht="15" x14ac:dyDescent="0.25">
      <c r="A4" s="14" t="s">
        <v>146</v>
      </c>
      <c r="B4" s="15" t="s">
        <v>113</v>
      </c>
    </row>
    <row r="5" spans="1:2" ht="15" x14ac:dyDescent="0.25">
      <c r="A5" s="14" t="s">
        <v>147</v>
      </c>
      <c r="B5" s="15" t="s">
        <v>114</v>
      </c>
    </row>
    <row r="6" spans="1:2" ht="15" x14ac:dyDescent="0.25">
      <c r="A6" s="14" t="s">
        <v>148</v>
      </c>
      <c r="B6" s="15" t="s">
        <v>115</v>
      </c>
    </row>
    <row r="7" spans="1:2" ht="15" x14ac:dyDescent="0.25">
      <c r="A7" s="14" t="s">
        <v>149</v>
      </c>
      <c r="B7" s="15" t="s">
        <v>116</v>
      </c>
    </row>
    <row r="8" spans="1:2" ht="15" x14ac:dyDescent="0.25">
      <c r="A8" s="14" t="s">
        <v>151</v>
      </c>
      <c r="B8" s="15" t="s">
        <v>187</v>
      </c>
    </row>
    <row r="9" spans="1:2" ht="15" x14ac:dyDescent="0.25">
      <c r="A9" s="14" t="s">
        <v>152</v>
      </c>
      <c r="B9" s="15" t="s">
        <v>150</v>
      </c>
    </row>
    <row r="10" spans="1:2" ht="15" x14ac:dyDescent="0.25">
      <c r="A10" s="14" t="s">
        <v>153</v>
      </c>
      <c r="B10" s="15" t="s">
        <v>188</v>
      </c>
    </row>
    <row r="11" spans="1:2" ht="15" x14ac:dyDescent="0.25">
      <c r="A11" s="14" t="s">
        <v>154</v>
      </c>
      <c r="B11" s="15" t="s">
        <v>42</v>
      </c>
    </row>
    <row r="12" spans="1:2" ht="15" x14ac:dyDescent="0.25">
      <c r="A12" s="14" t="s">
        <v>155</v>
      </c>
      <c r="B12" s="15" t="s">
        <v>49</v>
      </c>
    </row>
    <row r="13" spans="1:2" ht="15.75" thickBot="1" x14ac:dyDescent="0.3">
      <c r="A13" s="16" t="s">
        <v>156</v>
      </c>
      <c r="B13" s="17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/>
  <dimension ref="A1:B38"/>
  <sheetViews>
    <sheetView zoomScale="85" zoomScaleNormal="85" workbookViewId="0">
      <selection activeCell="B16" sqref="B16"/>
    </sheetView>
  </sheetViews>
  <sheetFormatPr baseColWidth="10" defaultRowHeight="12.75" x14ac:dyDescent="0.2"/>
  <cols>
    <col min="1" max="1" width="21.42578125" bestFit="1" customWidth="1"/>
    <col min="2" max="2" width="44.5703125" bestFit="1" customWidth="1"/>
  </cols>
  <sheetData>
    <row r="1" spans="1:2" ht="15" x14ac:dyDescent="0.25">
      <c r="A1" s="18" t="s">
        <v>157</v>
      </c>
      <c r="B1" s="18" t="s">
        <v>143</v>
      </c>
    </row>
    <row r="2" spans="1:2" ht="15" x14ac:dyDescent="0.25">
      <c r="A2" s="18" t="s">
        <v>158</v>
      </c>
      <c r="B2" s="19" t="s">
        <v>159</v>
      </c>
    </row>
    <row r="3" spans="1:2" ht="15" x14ac:dyDescent="0.25">
      <c r="A3" s="18" t="s">
        <v>160</v>
      </c>
      <c r="B3" s="19" t="s">
        <v>161</v>
      </c>
    </row>
    <row r="4" spans="1:2" ht="15" x14ac:dyDescent="0.25">
      <c r="A4" s="18" t="s">
        <v>162</v>
      </c>
      <c r="B4" s="19" t="s">
        <v>163</v>
      </c>
    </row>
    <row r="5" spans="1:2" ht="15" x14ac:dyDescent="0.25">
      <c r="A5" s="18" t="s">
        <v>164</v>
      </c>
      <c r="B5" s="19" t="s">
        <v>165</v>
      </c>
    </row>
    <row r="6" spans="1:2" ht="15" x14ac:dyDescent="0.25">
      <c r="A6" s="18" t="s">
        <v>166</v>
      </c>
      <c r="B6" s="19" t="s">
        <v>167</v>
      </c>
    </row>
    <row r="7" spans="1:2" ht="15" x14ac:dyDescent="0.25">
      <c r="A7" s="18" t="s">
        <v>168</v>
      </c>
      <c r="B7" s="19" t="s">
        <v>169</v>
      </c>
    </row>
    <row r="8" spans="1:2" ht="15" x14ac:dyDescent="0.25">
      <c r="A8" s="18" t="s">
        <v>229</v>
      </c>
      <c r="B8" s="23" t="s">
        <v>138</v>
      </c>
    </row>
    <row r="12" spans="1:2" ht="15" x14ac:dyDescent="0.25">
      <c r="A12" s="18" t="s">
        <v>157</v>
      </c>
      <c r="B12" s="18" t="s">
        <v>143</v>
      </c>
    </row>
    <row r="13" spans="1:2" ht="15" x14ac:dyDescent="0.25">
      <c r="A13" s="18" t="s">
        <v>158</v>
      </c>
      <c r="B13" t="s">
        <v>101</v>
      </c>
    </row>
    <row r="14" spans="1:2" ht="15" x14ac:dyDescent="0.25">
      <c r="A14" s="18" t="s">
        <v>160</v>
      </c>
      <c r="B14" t="s">
        <v>102</v>
      </c>
    </row>
    <row r="15" spans="1:2" ht="15" x14ac:dyDescent="0.25">
      <c r="A15" s="18" t="s">
        <v>162</v>
      </c>
      <c r="B15" t="s">
        <v>132</v>
      </c>
    </row>
    <row r="16" spans="1:2" ht="15" x14ac:dyDescent="0.25">
      <c r="A16" s="18" t="s">
        <v>164</v>
      </c>
      <c r="B16" t="s">
        <v>133</v>
      </c>
    </row>
    <row r="17" spans="1:2" ht="15" x14ac:dyDescent="0.25">
      <c r="A17" s="18" t="s">
        <v>166</v>
      </c>
      <c r="B17" t="s">
        <v>129</v>
      </c>
    </row>
    <row r="18" spans="1:2" ht="15" x14ac:dyDescent="0.25">
      <c r="A18" s="18" t="s">
        <v>168</v>
      </c>
      <c r="B18" t="s">
        <v>220</v>
      </c>
    </row>
    <row r="19" spans="1:2" ht="15" x14ac:dyDescent="0.25">
      <c r="A19" s="18" t="s">
        <v>229</v>
      </c>
      <c r="B19" t="s">
        <v>108</v>
      </c>
    </row>
    <row r="20" spans="1:2" ht="15" x14ac:dyDescent="0.25">
      <c r="A20" s="18" t="s">
        <v>241</v>
      </c>
      <c r="B20" t="s">
        <v>216</v>
      </c>
    </row>
    <row r="21" spans="1:2" ht="15" x14ac:dyDescent="0.25">
      <c r="A21" s="18" t="s">
        <v>242</v>
      </c>
      <c r="B21" t="s">
        <v>131</v>
      </c>
    </row>
    <row r="22" spans="1:2" ht="15" x14ac:dyDescent="0.25">
      <c r="A22" s="18" t="s">
        <v>243</v>
      </c>
      <c r="B22" t="s">
        <v>49</v>
      </c>
    </row>
    <row r="23" spans="1:2" ht="15" x14ac:dyDescent="0.25">
      <c r="A23" s="18" t="s">
        <v>244</v>
      </c>
      <c r="B23" t="s">
        <v>140</v>
      </c>
    </row>
    <row r="24" spans="1:2" ht="15" x14ac:dyDescent="0.25">
      <c r="A24" s="18" t="s">
        <v>245</v>
      </c>
      <c r="B24" t="s">
        <v>141</v>
      </c>
    </row>
    <row r="25" spans="1:2" ht="15" x14ac:dyDescent="0.25">
      <c r="A25" s="18" t="s">
        <v>246</v>
      </c>
      <c r="B25" t="s">
        <v>136</v>
      </c>
    </row>
    <row r="26" spans="1:2" ht="15" x14ac:dyDescent="0.25">
      <c r="A26" s="18" t="s">
        <v>247</v>
      </c>
      <c r="B26" t="s">
        <v>230</v>
      </c>
    </row>
    <row r="27" spans="1:2" ht="15" x14ac:dyDescent="0.25">
      <c r="A27" s="18" t="s">
        <v>248</v>
      </c>
      <c r="B27" t="s">
        <v>137</v>
      </c>
    </row>
    <row r="28" spans="1:2" ht="15" x14ac:dyDescent="0.25">
      <c r="A28" s="18" t="s">
        <v>249</v>
      </c>
      <c r="B28" t="s">
        <v>221</v>
      </c>
    </row>
    <row r="29" spans="1:2" ht="15" x14ac:dyDescent="0.25">
      <c r="A29" s="18" t="s">
        <v>250</v>
      </c>
      <c r="B29" t="s">
        <v>222</v>
      </c>
    </row>
    <row r="30" spans="1:2" ht="15" x14ac:dyDescent="0.25">
      <c r="A30" s="18" t="s">
        <v>251</v>
      </c>
      <c r="B30" t="s">
        <v>134</v>
      </c>
    </row>
    <row r="31" spans="1:2" ht="15" x14ac:dyDescent="0.25">
      <c r="A31" s="18" t="s">
        <v>252</v>
      </c>
      <c r="B31" t="s">
        <v>135</v>
      </c>
    </row>
    <row r="32" spans="1:2" ht="15" x14ac:dyDescent="0.25">
      <c r="A32" s="18" t="s">
        <v>253</v>
      </c>
      <c r="B32" t="s">
        <v>138</v>
      </c>
    </row>
    <row r="33" spans="1:2" ht="15" x14ac:dyDescent="0.25">
      <c r="A33" s="18" t="s">
        <v>254</v>
      </c>
      <c r="B33" t="s">
        <v>139</v>
      </c>
    </row>
    <row r="34" spans="1:2" ht="15" x14ac:dyDescent="0.25">
      <c r="A34" s="18" t="s">
        <v>255</v>
      </c>
      <c r="B34" t="s">
        <v>231</v>
      </c>
    </row>
    <row r="35" spans="1:2" ht="15" x14ac:dyDescent="0.25">
      <c r="A35" s="18" t="s">
        <v>256</v>
      </c>
      <c r="B35" t="s">
        <v>232</v>
      </c>
    </row>
    <row r="36" spans="1:2" ht="15" x14ac:dyDescent="0.25">
      <c r="A36" s="18" t="s">
        <v>257</v>
      </c>
      <c r="B36" t="s">
        <v>161</v>
      </c>
    </row>
    <row r="37" spans="1:2" ht="15" x14ac:dyDescent="0.25">
      <c r="A37" s="18" t="s">
        <v>258</v>
      </c>
      <c r="B37" t="s">
        <v>169</v>
      </c>
    </row>
    <row r="38" spans="1:2" ht="15" x14ac:dyDescent="0.25">
      <c r="A38" s="18" t="s">
        <v>259</v>
      </c>
      <c r="B38" t="s">
        <v>170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/>
  <dimension ref="A1:B15"/>
  <sheetViews>
    <sheetView workbookViewId="0">
      <selection activeCell="B19" sqref="B3:B19"/>
    </sheetView>
  </sheetViews>
  <sheetFormatPr baseColWidth="10" defaultRowHeight="12.75" x14ac:dyDescent="0.2"/>
  <cols>
    <col min="1" max="1" width="16.28515625" customWidth="1"/>
    <col min="2" max="2" width="58.7109375" customWidth="1"/>
  </cols>
  <sheetData>
    <row r="1" spans="1:2" ht="15" x14ac:dyDescent="0.25">
      <c r="A1" s="18" t="s">
        <v>161</v>
      </c>
      <c r="B1" s="18" t="s">
        <v>143</v>
      </c>
    </row>
    <row r="2" spans="1:2" ht="26.25" x14ac:dyDescent="0.25">
      <c r="A2" s="18" t="s">
        <v>180</v>
      </c>
      <c r="B2" s="21" t="s">
        <v>189</v>
      </c>
    </row>
    <row r="3" spans="1:2" ht="26.25" x14ac:dyDescent="0.25">
      <c r="A3" s="18" t="s">
        <v>181</v>
      </c>
      <c r="B3" s="21" t="s">
        <v>190</v>
      </c>
    </row>
    <row r="4" spans="1:2" ht="26.25" x14ac:dyDescent="0.25">
      <c r="A4" s="18" t="s">
        <v>182</v>
      </c>
      <c r="B4" s="21" t="s">
        <v>191</v>
      </c>
    </row>
    <row r="5" spans="1:2" ht="15" x14ac:dyDescent="0.25">
      <c r="A5" s="18" t="s">
        <v>183</v>
      </c>
      <c r="B5" s="21" t="s">
        <v>192</v>
      </c>
    </row>
    <row r="6" spans="1:2" ht="26.25" x14ac:dyDescent="0.25">
      <c r="A6" s="18" t="s">
        <v>184</v>
      </c>
      <c r="B6" s="21" t="s">
        <v>193</v>
      </c>
    </row>
    <row r="7" spans="1:2" ht="26.25" x14ac:dyDescent="0.25">
      <c r="A7" s="18" t="s">
        <v>202</v>
      </c>
      <c r="B7" s="22" t="s">
        <v>194</v>
      </c>
    </row>
    <row r="8" spans="1:2" ht="51.75" x14ac:dyDescent="0.25">
      <c r="A8" s="18" t="s">
        <v>203</v>
      </c>
      <c r="B8" s="22" t="s">
        <v>195</v>
      </c>
    </row>
    <row r="9" spans="1:2" ht="26.25" x14ac:dyDescent="0.25">
      <c r="A9" s="18" t="s">
        <v>204</v>
      </c>
      <c r="B9" s="22" t="s">
        <v>196</v>
      </c>
    </row>
    <row r="10" spans="1:2" ht="26.25" x14ac:dyDescent="0.25">
      <c r="A10" s="18" t="s">
        <v>205</v>
      </c>
      <c r="B10" s="22" t="s">
        <v>197</v>
      </c>
    </row>
    <row r="11" spans="1:2" ht="26.25" x14ac:dyDescent="0.25">
      <c r="A11" s="18" t="s">
        <v>206</v>
      </c>
      <c r="B11" s="22" t="s">
        <v>198</v>
      </c>
    </row>
    <row r="12" spans="1:2" ht="15" x14ac:dyDescent="0.25">
      <c r="A12" s="18" t="s">
        <v>207</v>
      </c>
      <c r="B12" s="22" t="s">
        <v>199</v>
      </c>
    </row>
    <row r="13" spans="1:2" ht="15" x14ac:dyDescent="0.25">
      <c r="A13" s="18" t="s">
        <v>208</v>
      </c>
      <c r="B13" s="22" t="s">
        <v>200</v>
      </c>
    </row>
    <row r="14" spans="1:2" ht="15" x14ac:dyDescent="0.25">
      <c r="A14" s="18" t="s">
        <v>209</v>
      </c>
      <c r="B14" s="22" t="s">
        <v>201</v>
      </c>
    </row>
    <row r="15" spans="1:2" ht="26.25" x14ac:dyDescent="0.25">
      <c r="A15" s="18" t="s">
        <v>214</v>
      </c>
      <c r="B15" s="22" t="s">
        <v>213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/>
  <dimension ref="A1:B7"/>
  <sheetViews>
    <sheetView workbookViewId="0">
      <selection activeCell="B7" sqref="A1:B7"/>
    </sheetView>
  </sheetViews>
  <sheetFormatPr baseColWidth="10" defaultRowHeight="12.75" x14ac:dyDescent="0.2"/>
  <cols>
    <col min="1" max="1" width="21.7109375" customWidth="1"/>
    <col min="2" max="2" width="48.140625" customWidth="1"/>
  </cols>
  <sheetData>
    <row r="1" spans="1:2" ht="15" x14ac:dyDescent="0.25">
      <c r="A1" s="20" t="s">
        <v>170</v>
      </c>
      <c r="B1" s="20" t="s">
        <v>143</v>
      </c>
    </row>
    <row r="2" spans="1:2" ht="26.25" x14ac:dyDescent="0.25">
      <c r="A2" s="20" t="s">
        <v>171</v>
      </c>
      <c r="B2" s="21" t="s">
        <v>172</v>
      </c>
    </row>
    <row r="3" spans="1:2" ht="26.25" x14ac:dyDescent="0.25">
      <c r="A3" s="20" t="s">
        <v>173</v>
      </c>
      <c r="B3" s="21" t="s">
        <v>210</v>
      </c>
    </row>
    <row r="4" spans="1:2" ht="26.25" x14ac:dyDescent="0.25">
      <c r="A4" s="20" t="s">
        <v>174</v>
      </c>
      <c r="B4" s="21" t="s">
        <v>212</v>
      </c>
    </row>
    <row r="5" spans="1:2" ht="26.25" x14ac:dyDescent="0.25">
      <c r="A5" s="20" t="s">
        <v>175</v>
      </c>
      <c r="B5" s="21" t="s">
        <v>176</v>
      </c>
    </row>
    <row r="6" spans="1:2" ht="26.25" x14ac:dyDescent="0.25">
      <c r="A6" s="20" t="s">
        <v>177</v>
      </c>
      <c r="B6" s="21" t="s">
        <v>178</v>
      </c>
    </row>
    <row r="7" spans="1:2" ht="26.25" x14ac:dyDescent="0.25">
      <c r="A7" s="20" t="s">
        <v>179</v>
      </c>
      <c r="B7" s="21" t="s">
        <v>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7BAC3D4E3C994C95802D6903146E6B" ma:contentTypeVersion="12" ma:contentTypeDescription="Crear nuevo documento." ma:contentTypeScope="" ma:versionID="4e1729ad01d28efd98e03b11dcda4d25">
  <xsd:schema xmlns:xsd="http://www.w3.org/2001/XMLSchema" xmlns:xs="http://www.w3.org/2001/XMLSchema" xmlns:p="http://schemas.microsoft.com/office/2006/metadata/properties" xmlns:ns2="6f7c8a46-d5e7-4b92-b937-661dfe34677f" xmlns:ns3="9a337b96-4481-4355-a67e-fede295e7117" targetNamespace="http://schemas.microsoft.com/office/2006/metadata/properties" ma:root="true" ma:fieldsID="bfc1f0e77ed932d643cc2c0ca7816be0" ns2:_="" ns3:_="">
    <xsd:import namespace="6f7c8a46-d5e7-4b92-b937-661dfe34677f"/>
    <xsd:import namespace="9a337b96-4481-4355-a67e-fede295e71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7c8a46-d5e7-4b92-b937-661dfe3467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337b96-4481-4355-a67e-fede295e71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F26176-8C2A-4A9B-A200-C3BA4959239D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6f7c8a46-d5e7-4b92-b937-661dfe34677f"/>
    <ds:schemaRef ds:uri="9a337b96-4481-4355-a67e-fede295e7117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430F0E5-C0DC-46C7-837E-289345755D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0CDFAF-8FCD-42DA-B3FC-5F5CBF53A0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7c8a46-d5e7-4b92-b937-661dfe34677f"/>
    <ds:schemaRef ds:uri="9a337b96-4481-4355-a67e-fede295e71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8</vt:i4>
      </vt:variant>
    </vt:vector>
  </HeadingPairs>
  <TitlesOfParts>
    <vt:vector size="21" baseType="lpstr">
      <vt:lpstr>SOS</vt:lpstr>
      <vt:lpstr>CAJA</vt:lpstr>
      <vt:lpstr>Hoja1</vt:lpstr>
      <vt:lpstr>Costos</vt:lpstr>
      <vt:lpstr>Equipo de trabajo</vt:lpstr>
      <vt:lpstr>Hoja2</vt:lpstr>
      <vt:lpstr>copia</vt:lpstr>
      <vt:lpstr>Inventario</vt:lpstr>
      <vt:lpstr>Parametrizacion</vt:lpstr>
      <vt:lpstr>RF</vt:lpstr>
      <vt:lpstr>RNF</vt:lpstr>
      <vt:lpstr>Supuestos</vt:lpstr>
      <vt:lpstr>Riesgos</vt:lpstr>
      <vt:lpstr>BackEnd</vt:lpstr>
      <vt:lpstr>BBDD</vt:lpstr>
      <vt:lpstr>BPM</vt:lpstr>
      <vt:lpstr>Configuracion</vt:lpstr>
      <vt:lpstr>ETL</vt:lpstr>
      <vt:lpstr>FrontEnd</vt:lpstr>
      <vt:lpstr>FrontEndStoryPoints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para estimar el coste de un desarrollo de software</dc:title>
  <dc:creator>Sergio Montoro Ten</dc:creator>
  <dc:description>Creative Commons Attribution License</dc:description>
  <cp:lastModifiedBy>Minotta Hurtado, Javier Alberto</cp:lastModifiedBy>
  <cp:lastPrinted>2019-04-21T11:30:30Z</cp:lastPrinted>
  <dcterms:created xsi:type="dcterms:W3CDTF">2019-04-20T19:10:56Z</dcterms:created>
  <dcterms:modified xsi:type="dcterms:W3CDTF">2022-08-25T14:10:39Z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0x0101008C7BAC3D4E3C994C95802D6903146E6B</vt:lpwstr>
  </property>
</Properties>
</file>