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b001.sharepoint.com/sites/DIIIFISubsurfacePlanning-WARAWaterflood/Shared Documents/03. Dashboard/"/>
    </mc:Choice>
  </mc:AlternateContent>
  <xr:revisionPtr revIDLastSave="0" documentId="8_{02A70EE7-3CB6-42CD-942A-E0332F616824}" xr6:coauthVersionLast="47" xr6:coauthVersionMax="47" xr10:uidLastSave="{00000000-0000-0000-0000-000000000000}"/>
  <bookViews>
    <workbookView xWindow="-38520" yWindow="2580" windowWidth="38640" windowHeight="21120" xr2:uid="{7C4EE164-7C9E-4F05-94FE-1AA8582C0C61}"/>
  </bookViews>
  <sheets>
    <sheet name="PFM-Comp" sheetId="3" r:id="rId1"/>
    <sheet name="Database-Tables" sheetId="10" r:id="rId2"/>
    <sheet name="Sheet1" sheetId="12" r:id="rId3"/>
    <sheet name="Sheet2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11" i="3"/>
  <c r="N12" i="3"/>
  <c r="N13" i="3"/>
  <c r="N14" i="3"/>
  <c r="N15" i="3"/>
  <c r="N16" i="3"/>
  <c r="N17" i="3"/>
  <c r="N9" i="3"/>
  <c r="R22" i="3"/>
  <c r="R23" i="3"/>
  <c r="O46" i="3"/>
  <c r="Z19" i="10"/>
  <c r="Y19" i="10"/>
  <c r="O110" i="3"/>
  <c r="O58" i="3"/>
  <c r="O57" i="3"/>
  <c r="O56" i="3"/>
  <c r="O55" i="3"/>
  <c r="O53" i="3"/>
  <c r="O54" i="3"/>
  <c r="O52" i="3"/>
  <c r="O50" i="3"/>
  <c r="O51" i="3"/>
  <c r="O49" i="3"/>
  <c r="O48" i="3"/>
  <c r="O47" i="3"/>
  <c r="P110" i="3" l="1"/>
  <c r="Q110" i="3" s="1"/>
  <c r="L47" i="3"/>
  <c r="G86" i="3" l="1"/>
  <c r="G85" i="3"/>
  <c r="F86" i="3"/>
  <c r="F85" i="3"/>
  <c r="N82" i="3" l="1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J83" i="3"/>
  <c r="I83" i="3"/>
  <c r="N4" i="3" s="1"/>
  <c r="P4" i="3" l="1"/>
  <c r="R4" i="3" s="1"/>
  <c r="H87" i="3"/>
  <c r="L83" i="3"/>
  <c r="M83" i="3"/>
  <c r="G87" i="3" l="1"/>
  <c r="G89" i="3" s="1"/>
  <c r="G90" i="3" s="1"/>
  <c r="R5" i="3"/>
  <c r="F87" i="3"/>
  <c r="P5" i="3"/>
  <c r="H89" i="3"/>
  <c r="H91" i="3" s="1"/>
  <c r="N5" i="3"/>
  <c r="F89" i="3" l="1"/>
  <c r="F91" i="3" s="1"/>
  <c r="N23" i="3" s="1"/>
  <c r="N24" i="3"/>
  <c r="H90" i="3"/>
  <c r="G91" i="3"/>
  <c r="H85" i="3"/>
  <c r="H86" i="3"/>
  <c r="F90" i="3" l="1"/>
  <c r="N22" i="3" s="1"/>
  <c r="O90" i="3" s="1"/>
  <c r="P90" i="3" s="1"/>
  <c r="O96" i="3"/>
  <c r="P96" i="3" s="1"/>
  <c r="O97" i="3"/>
  <c r="P97" i="3" s="1"/>
  <c r="O98" i="3"/>
  <c r="P98" i="3" s="1"/>
  <c r="O99" i="3"/>
  <c r="P99" i="3" s="1"/>
  <c r="O100" i="3"/>
  <c r="P100" i="3" s="1"/>
  <c r="O102" i="3"/>
  <c r="P102" i="3" s="1"/>
  <c r="O101" i="3"/>
  <c r="P101" i="3" s="1"/>
  <c r="P53" i="3"/>
  <c r="Q53" i="3" s="1"/>
  <c r="U53" i="3" s="1"/>
  <c r="V53" i="3" s="1"/>
  <c r="P51" i="3"/>
  <c r="Q51" i="3" s="1"/>
  <c r="U51" i="3" s="1"/>
  <c r="V51" i="3" s="1"/>
  <c r="P56" i="3"/>
  <c r="Q56" i="3" s="1"/>
  <c r="P48" i="3"/>
  <c r="Q48" i="3" s="1"/>
  <c r="U48" i="3" s="1"/>
  <c r="V48" i="3" s="1"/>
  <c r="P55" i="3"/>
  <c r="Q55" i="3" s="1"/>
  <c r="P58" i="3"/>
  <c r="Q58" i="3" s="1"/>
  <c r="P66" i="3" l="1"/>
  <c r="Q66" i="3" s="1"/>
  <c r="O92" i="3"/>
  <c r="P92" i="3" s="1"/>
  <c r="P50" i="3"/>
  <c r="Q50" i="3" s="1"/>
  <c r="U50" i="3" s="1"/>
  <c r="V50" i="3" s="1"/>
  <c r="P70" i="3"/>
  <c r="Q70" i="3" s="1"/>
  <c r="U70" i="3" s="1"/>
  <c r="V70" i="3" s="1"/>
  <c r="P76" i="3"/>
  <c r="Q76" i="3" s="1"/>
  <c r="U76" i="3" s="1"/>
  <c r="V76" i="3" s="1"/>
  <c r="O91" i="3"/>
  <c r="P91" i="3" s="1"/>
  <c r="P49" i="3"/>
  <c r="Q49" i="3" s="1"/>
  <c r="U49" i="3" s="1"/>
  <c r="V49" i="3" s="1"/>
  <c r="P80" i="3"/>
  <c r="Q80" i="3" s="1"/>
  <c r="T80" i="3" s="1"/>
  <c r="P64" i="3"/>
  <c r="Q64" i="3" s="1"/>
  <c r="T64" i="3" s="1"/>
  <c r="P74" i="3"/>
  <c r="Q74" i="3" s="1"/>
  <c r="T74" i="3" s="1"/>
  <c r="P65" i="3"/>
  <c r="Q65" i="3" s="1"/>
  <c r="T65" i="3" s="1"/>
  <c r="P68" i="3"/>
  <c r="Q68" i="3" s="1"/>
  <c r="P52" i="3"/>
  <c r="Q52" i="3" s="1"/>
  <c r="U52" i="3" s="1"/>
  <c r="V52" i="3" s="1"/>
  <c r="O95" i="3"/>
  <c r="P95" i="3" s="1"/>
  <c r="P77" i="3"/>
  <c r="Q77" i="3" s="1"/>
  <c r="P82" i="3"/>
  <c r="Q82" i="3" s="1"/>
  <c r="U82" i="3" s="1"/>
  <c r="V82" i="3" s="1"/>
  <c r="P47" i="3"/>
  <c r="Q47" i="3" s="1"/>
  <c r="P57" i="3"/>
  <c r="Q57" i="3" s="1"/>
  <c r="U57" i="3" s="1"/>
  <c r="V57" i="3" s="1"/>
  <c r="P69" i="3"/>
  <c r="Q69" i="3" s="1"/>
  <c r="R69" i="3" s="1"/>
  <c r="P75" i="3"/>
  <c r="Q75" i="3" s="1"/>
  <c r="T75" i="3" s="1"/>
  <c r="O89" i="3"/>
  <c r="P89" i="3" s="1"/>
  <c r="P71" i="3"/>
  <c r="Q71" i="3" s="1"/>
  <c r="T71" i="3" s="1"/>
  <c r="P73" i="3"/>
  <c r="Q73" i="3" s="1"/>
  <c r="T73" i="3" s="1"/>
  <c r="P79" i="3"/>
  <c r="Q79" i="3" s="1"/>
  <c r="R79" i="3" s="1"/>
  <c r="P63" i="3"/>
  <c r="Q63" i="3" s="1"/>
  <c r="P62" i="3"/>
  <c r="Q62" i="3" s="1"/>
  <c r="R62" i="3" s="1"/>
  <c r="O94" i="3"/>
  <c r="P94" i="3" s="1"/>
  <c r="P72" i="3"/>
  <c r="Q72" i="3" s="1"/>
  <c r="R72" i="3" s="1"/>
  <c r="P81" i="3"/>
  <c r="Q81" i="3" s="1"/>
  <c r="T81" i="3" s="1"/>
  <c r="O93" i="3"/>
  <c r="P93" i="3" s="1"/>
  <c r="P54" i="3"/>
  <c r="Q54" i="3" s="1"/>
  <c r="U54" i="3" s="1"/>
  <c r="V54" i="3" s="1"/>
  <c r="P59" i="3"/>
  <c r="Q59" i="3" s="1"/>
  <c r="R59" i="3" s="1"/>
  <c r="P61" i="3"/>
  <c r="Q61" i="3" s="1"/>
  <c r="T61" i="3" s="1"/>
  <c r="P67" i="3"/>
  <c r="Q67" i="3" s="1"/>
  <c r="T67" i="3" s="1"/>
  <c r="P60" i="3"/>
  <c r="Q60" i="3" s="1"/>
  <c r="R60" i="3" s="1"/>
  <c r="P78" i="3"/>
  <c r="Q78" i="3" s="1"/>
  <c r="T78" i="3" s="1"/>
  <c r="T56" i="3"/>
  <c r="U56" i="3"/>
  <c r="V56" i="3" s="1"/>
  <c r="T55" i="3"/>
  <c r="U55" i="3"/>
  <c r="V55" i="3" s="1"/>
  <c r="T58" i="3"/>
  <c r="U58" i="3"/>
  <c r="V58" i="3" s="1"/>
  <c r="R51" i="3"/>
  <c r="T51" i="3"/>
  <c r="R48" i="3"/>
  <c r="T48" i="3"/>
  <c r="R53" i="3"/>
  <c r="T53" i="3"/>
  <c r="R55" i="3"/>
  <c r="R56" i="3"/>
  <c r="R58" i="3"/>
  <c r="T70" i="3" l="1"/>
  <c r="T72" i="3"/>
  <c r="T82" i="3"/>
  <c r="T77" i="3"/>
  <c r="R50" i="3"/>
  <c r="S50" i="3" s="1"/>
  <c r="Y50" i="3" s="1"/>
  <c r="P37" i="3"/>
  <c r="U66" i="3"/>
  <c r="V66" i="3" s="1"/>
  <c r="T50" i="3"/>
  <c r="U77" i="3"/>
  <c r="V77" i="3" s="1"/>
  <c r="R70" i="3"/>
  <c r="R82" i="3"/>
  <c r="U80" i="3"/>
  <c r="V80" i="3" s="1"/>
  <c r="R61" i="3"/>
  <c r="T69" i="3"/>
  <c r="R81" i="3"/>
  <c r="R63" i="3"/>
  <c r="U63" i="3"/>
  <c r="V63" i="3" s="1"/>
  <c r="T63" i="3"/>
  <c r="T76" i="3"/>
  <c r="R76" i="3"/>
  <c r="R66" i="3"/>
  <c r="T52" i="3"/>
  <c r="W52" i="3" s="1"/>
  <c r="T66" i="3"/>
  <c r="R52" i="3"/>
  <c r="R71" i="3"/>
  <c r="U47" i="3"/>
  <c r="V47" i="3" s="1"/>
  <c r="R80" i="3"/>
  <c r="T47" i="3"/>
  <c r="R64" i="3"/>
  <c r="R49" i="3"/>
  <c r="U59" i="3"/>
  <c r="V59" i="3" s="1"/>
  <c r="T57" i="3"/>
  <c r="W57" i="3" s="1"/>
  <c r="T59" i="3"/>
  <c r="R77" i="3"/>
  <c r="R74" i="3"/>
  <c r="T54" i="3"/>
  <c r="W54" i="3" s="1"/>
  <c r="R47" i="3"/>
  <c r="R54" i="3"/>
  <c r="U65" i="3"/>
  <c r="V65" i="3" s="1"/>
  <c r="R75" i="3"/>
  <c r="T49" i="3"/>
  <c r="U72" i="3"/>
  <c r="V72" i="3" s="1"/>
  <c r="T62" i="3"/>
  <c r="U81" i="3"/>
  <c r="V81" i="3" s="1"/>
  <c r="R65" i="3"/>
  <c r="U69" i="3"/>
  <c r="V69" i="3" s="1"/>
  <c r="U62" i="3"/>
  <c r="V62" i="3" s="1"/>
  <c r="U61" i="3"/>
  <c r="V61" i="3" s="1"/>
  <c r="U73" i="3"/>
  <c r="V73" i="3" s="1"/>
  <c r="U64" i="3"/>
  <c r="V64" i="3" s="1"/>
  <c r="U79" i="3"/>
  <c r="V79" i="3" s="1"/>
  <c r="U71" i="3"/>
  <c r="V71" i="3" s="1"/>
  <c r="U68" i="3"/>
  <c r="V68" i="3" s="1"/>
  <c r="R78" i="3"/>
  <c r="R73" i="3"/>
  <c r="T79" i="3"/>
  <c r="T68" i="3"/>
  <c r="U75" i="3"/>
  <c r="V75" i="3" s="1"/>
  <c r="U60" i="3"/>
  <c r="V60" i="3" s="1"/>
  <c r="U78" i="3"/>
  <c r="V78" i="3" s="1"/>
  <c r="U74" i="3"/>
  <c r="V74" i="3" s="1"/>
  <c r="R67" i="3"/>
  <c r="T60" i="3"/>
  <c r="R68" i="3"/>
  <c r="U67" i="3"/>
  <c r="V67" i="3" s="1"/>
  <c r="R57" i="3"/>
  <c r="AA56" i="3"/>
  <c r="W51" i="3"/>
  <c r="W53" i="3"/>
  <c r="W48" i="3"/>
  <c r="AA55" i="3"/>
  <c r="S51" i="3"/>
  <c r="Y51" i="3" s="1"/>
  <c r="X51" i="3"/>
  <c r="S56" i="3"/>
  <c r="Y56" i="3" s="1"/>
  <c r="X56" i="3"/>
  <c r="S55" i="3"/>
  <c r="Y55" i="3" s="1"/>
  <c r="X55" i="3"/>
  <c r="S58" i="3"/>
  <c r="Y58" i="3" s="1"/>
  <c r="X58" i="3"/>
  <c r="S53" i="3"/>
  <c r="Y53" i="3" s="1"/>
  <c r="X53" i="3"/>
  <c r="S48" i="3"/>
  <c r="Y48" i="3" s="1"/>
  <c r="X48" i="3"/>
  <c r="W56" i="3"/>
  <c r="W58" i="3"/>
  <c r="W55" i="3"/>
  <c r="X54" i="3" l="1"/>
  <c r="Q37" i="3"/>
  <c r="R37" i="3"/>
  <c r="S37" i="3"/>
  <c r="S47" i="3"/>
  <c r="Y47" i="3" s="1"/>
  <c r="Z47" i="3" s="1"/>
  <c r="P34" i="3"/>
  <c r="P36" i="3"/>
  <c r="X57" i="3"/>
  <c r="P38" i="3"/>
  <c r="P40" i="3"/>
  <c r="AA47" i="3"/>
  <c r="P39" i="3"/>
  <c r="W50" i="3"/>
  <c r="P41" i="3"/>
  <c r="S49" i="3"/>
  <c r="Y49" i="3" s="1"/>
  <c r="AB49" i="3" s="1"/>
  <c r="P35" i="3"/>
  <c r="P42" i="3"/>
  <c r="X52" i="3"/>
  <c r="AA51" i="3"/>
  <c r="AA58" i="3"/>
  <c r="X50" i="3"/>
  <c r="AA48" i="3"/>
  <c r="AA57" i="3"/>
  <c r="S52" i="3"/>
  <c r="Y52" i="3" s="1"/>
  <c r="Z52" i="3" s="1"/>
  <c r="T83" i="3"/>
  <c r="P29" i="3" s="1"/>
  <c r="AA53" i="3"/>
  <c r="X47" i="3"/>
  <c r="AA54" i="3"/>
  <c r="W47" i="3"/>
  <c r="X49" i="3"/>
  <c r="AA49" i="3"/>
  <c r="W49" i="3"/>
  <c r="U83" i="3"/>
  <c r="S54" i="3"/>
  <c r="Y54" i="3" s="1"/>
  <c r="AA52" i="3"/>
  <c r="S57" i="3"/>
  <c r="Y57" i="3" s="1"/>
  <c r="AB58" i="3" s="1"/>
  <c r="R83" i="3"/>
  <c r="AA50" i="3"/>
  <c r="Z50" i="3"/>
  <c r="Z51" i="3"/>
  <c r="Z56" i="3"/>
  <c r="AB56" i="3"/>
  <c r="Z48" i="3"/>
  <c r="Z58" i="3"/>
  <c r="Z53" i="3"/>
  <c r="Z55" i="3"/>
  <c r="AB55" i="3"/>
  <c r="Z57" i="3" l="1"/>
  <c r="V83" i="3"/>
  <c r="N29" i="3"/>
  <c r="N30" i="3" s="1"/>
  <c r="R34" i="3"/>
  <c r="Q34" i="3"/>
  <c r="S34" i="3"/>
  <c r="Q42" i="3"/>
  <c r="R42" i="3"/>
  <c r="S42" i="3"/>
  <c r="R38" i="3"/>
  <c r="S38" i="3"/>
  <c r="Q38" i="3"/>
  <c r="BC83" i="3"/>
  <c r="R35" i="3"/>
  <c r="S35" i="3"/>
  <c r="Q35" i="3"/>
  <c r="R39" i="3"/>
  <c r="S39" i="3"/>
  <c r="Q39" i="3"/>
  <c r="S40" i="3"/>
  <c r="Q40" i="3"/>
  <c r="R40" i="3"/>
  <c r="S36" i="3"/>
  <c r="R36" i="3"/>
  <c r="Q36" i="3"/>
  <c r="Q41" i="3"/>
  <c r="R41" i="3"/>
  <c r="S41" i="3"/>
  <c r="AB51" i="3"/>
  <c r="AB50" i="3"/>
  <c r="Z49" i="3"/>
  <c r="AB57" i="3"/>
  <c r="AB53" i="3"/>
  <c r="AB54" i="3"/>
  <c r="AB52" i="3"/>
  <c r="S83" i="3"/>
  <c r="Z54" i="3"/>
  <c r="X83" i="3"/>
  <c r="P28" i="3" s="1"/>
  <c r="P27" i="3"/>
  <c r="W83" i="3"/>
  <c r="N28" i="3" s="1"/>
  <c r="N27" i="3"/>
  <c r="Y83" i="3"/>
  <c r="Z83" i="3" s="1"/>
  <c r="AB48" i="3"/>
  <c r="AB47" i="3"/>
  <c r="AX78" i="3"/>
  <c r="AX80" i="3"/>
  <c r="AX64" i="3"/>
  <c r="AX63" i="3"/>
  <c r="AX65" i="3"/>
  <c r="BD83" i="3" l="1"/>
  <c r="AX68" i="3"/>
  <c r="AX66" i="3"/>
  <c r="AX60" i="3"/>
  <c r="AX59" i="3"/>
  <c r="AX70" i="3"/>
  <c r="AX69" i="3"/>
  <c r="AS83" i="3" l="1"/>
  <c r="AT83" i="3" l="1"/>
  <c r="AW83" i="3"/>
  <c r="AX83" i="3"/>
  <c r="AV83" i="3"/>
  <c r="AQ83" i="3"/>
  <c r="AY66" i="3" l="1"/>
  <c r="AY68" i="3"/>
  <c r="AY59" i="3"/>
  <c r="AY60" i="3"/>
  <c r="AY70" i="3"/>
  <c r="AY69" i="3"/>
  <c r="AY64" i="3"/>
  <c r="AY63" i="3"/>
  <c r="AY80" i="3"/>
  <c r="AY78" i="3"/>
  <c r="AY65" i="3"/>
  <c r="AY83" i="3" l="1"/>
  <c r="AR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E3A09-9505-438E-87BB-EA2D246BB174}" keepAlive="1" name="Query - PFM_SP_INJEFF" description="Connection to the 'PFM_SP_INJEFF' query in the workbook." type="5" refreshedVersion="8" background="1" saveData="1">
    <dbPr connection="Provider=Microsoft.Mashup.OleDb.1;Data Source=$Workbook$;Location=PFM_SP_INJEFF;Extended Properties=&quot;&quot;" command="SELECT * FROM [PFM_SP_INJEFF]"/>
  </connection>
  <connection id="2" xr16:uid="{2983AB2E-7538-4037-8335-6D6D65D23B79}" keepAlive="1" name="Query - PFMHIST_SP" description="Connection to the 'PFMHIST_SP' query in the workbook." type="5" refreshedVersion="8" background="1" saveData="1">
    <dbPr connection="Provider=Microsoft.Mashup.OleDb.1;Data Source=$Workbook$;Location=PFMHIST_SP;Extended Properties=&quot;&quot;" command="SELECT * FROM [PFMHIST_SP]"/>
  </connection>
</connections>
</file>

<file path=xl/sharedStrings.xml><?xml version="1.0" encoding="utf-8"?>
<sst xmlns="http://schemas.openxmlformats.org/spreadsheetml/2006/main" count="345" uniqueCount="197">
  <si>
    <t>Current Waterflooding Performance Summary</t>
  </si>
  <si>
    <t>Sector</t>
  </si>
  <si>
    <t>Zone</t>
  </si>
  <si>
    <t>LW</t>
  </si>
  <si>
    <t>Area</t>
  </si>
  <si>
    <t>XYZ</t>
  </si>
  <si>
    <t>Date</t>
  </si>
  <si>
    <t xml:space="preserve"> 31 Oct-2024</t>
  </si>
  <si>
    <t>Period</t>
  </si>
  <si>
    <t>to</t>
  </si>
  <si>
    <t>Water Inj Rate (rb/d)</t>
  </si>
  <si>
    <t>Liq Prd Rate (rb/d)</t>
  </si>
  <si>
    <t>VRR</t>
  </si>
  <si>
    <t>Water prd rate (rb/d)</t>
  </si>
  <si>
    <t>Oil Prd Rate (rb/d)</t>
  </si>
  <si>
    <t>Remaing Mob. Oil (rb)</t>
  </si>
  <si>
    <t>Well Performance Summary (Observed)</t>
  </si>
  <si>
    <t xml:space="preserve">Well  </t>
  </si>
  <si>
    <t>Completion ID</t>
  </si>
  <si>
    <t>Type</t>
  </si>
  <si>
    <t>Flow Rate (rb/d)</t>
  </si>
  <si>
    <t>Max. Rate (rb/d)</t>
  </si>
  <si>
    <t>Min Econ. Rate (rb/d)</t>
  </si>
  <si>
    <t>I1</t>
  </si>
  <si>
    <t>INJ</t>
  </si>
  <si>
    <t>I2</t>
  </si>
  <si>
    <t>I3</t>
  </si>
  <si>
    <t>I4</t>
  </si>
  <si>
    <t>I5</t>
  </si>
  <si>
    <t>P1</t>
  </si>
  <si>
    <t>PROD</t>
  </si>
  <si>
    <t>P2</t>
  </si>
  <si>
    <t>P3</t>
  </si>
  <si>
    <t>P4</t>
  </si>
  <si>
    <t>PFM Strategy Inputs</t>
  </si>
  <si>
    <t>CAPACITY CONSTRAINTS</t>
  </si>
  <si>
    <t>Strategy Name</t>
  </si>
  <si>
    <t>MyPFM</t>
  </si>
  <si>
    <t>PFM Strategy Type</t>
  </si>
  <si>
    <t>IE</t>
  </si>
  <si>
    <t>Aquifer Strategy</t>
  </si>
  <si>
    <t>Reduce</t>
  </si>
  <si>
    <t>Water Inj Available (stb/d)</t>
  </si>
  <si>
    <t>Water Injection (stb/d)</t>
  </si>
  <si>
    <t>Water Handling (stb/d)</t>
  </si>
  <si>
    <t>Efficiency Range</t>
  </si>
  <si>
    <t>Aquifer Cutback</t>
  </si>
  <si>
    <t>Liquid Handling (stb/d)</t>
  </si>
  <si>
    <t>Oil Handling (stb/d)</t>
  </si>
  <si>
    <t>Min Eff</t>
  </si>
  <si>
    <t>Min Multiplier</t>
  </si>
  <si>
    <t>Min Weight</t>
  </si>
  <si>
    <t>Max Eff</t>
  </si>
  <si>
    <t>Max Multiplier</t>
  </si>
  <si>
    <t>Max Weight</t>
  </si>
  <si>
    <t>Avg Eff</t>
  </si>
  <si>
    <t>Scaling Curve Shape</t>
  </si>
  <si>
    <t>Unconstrained Strategy Results Summary</t>
  </si>
  <si>
    <t>Constrained Strategy Results Summary</t>
  </si>
  <si>
    <t>Oil gain (rb/d)</t>
  </si>
  <si>
    <t>Rec WI rate (rb/d)</t>
  </si>
  <si>
    <t>Water redu. (rb/d)</t>
  </si>
  <si>
    <t>New VRR</t>
  </si>
  <si>
    <t>Water Prd Rate (rb/d)</t>
  </si>
  <si>
    <t>Unconstrained Strategy Well Level Results</t>
  </si>
  <si>
    <t>Constrained Strategy Well Level Results Summary</t>
  </si>
  <si>
    <t>Change (rb/d)</t>
  </si>
  <si>
    <t>Above Max Limit</t>
  </si>
  <si>
    <t>Rel. Eco Limit</t>
  </si>
  <si>
    <t>Time Series forecast</t>
  </si>
  <si>
    <t>link</t>
  </si>
  <si>
    <t>Pair Table</t>
  </si>
  <si>
    <t>PAIR LEVEL UNCONSTRAINED PFM RECOMMENDED RATES</t>
  </si>
  <si>
    <t>Pair_Inj</t>
  </si>
  <si>
    <t>Pair_Prod</t>
  </si>
  <si>
    <t>Pair Inj Alloc</t>
  </si>
  <si>
    <t>Pair Prod Alloc</t>
  </si>
  <si>
    <t>Pair IE</t>
  </si>
  <si>
    <t>Pair RE</t>
  </si>
  <si>
    <t>Pair VRR</t>
  </si>
  <si>
    <t>Pair Inj Rate (rb/d)</t>
  </si>
  <si>
    <t>Pair Prd Rate (rb/d)</t>
  </si>
  <si>
    <t>Oil Rate (IE*Prod) (rb/d)</t>
  </si>
  <si>
    <t>Mobile Oil Vol (RE*Inj) (rb)</t>
  </si>
  <si>
    <t>Norm_Pair RE</t>
  </si>
  <si>
    <t>Dopt_IE</t>
  </si>
  <si>
    <t>Multiplier</t>
  </si>
  <si>
    <t>Updated Inj Rate (rb/d)</t>
  </si>
  <si>
    <t>Delta Inj )rb/d)</t>
  </si>
  <si>
    <t>Updated Prd (PFM method) (rb/d)</t>
  </si>
  <si>
    <t>Updated Oil Prd Rate (rb/d)</t>
  </si>
  <si>
    <t>Delta Oil (rb/d)</t>
  </si>
  <si>
    <t>Delta water (rb/d)</t>
  </si>
  <si>
    <t>New VRR (PFM method)</t>
  </si>
  <si>
    <t>Updated Prd Rate (Thiele method) (rb/d)</t>
  </si>
  <si>
    <t>New VRR (Thiele Method)</t>
  </si>
  <si>
    <t>New WAF</t>
  </si>
  <si>
    <t>New WAF (Thiele)</t>
  </si>
  <si>
    <t xml:space="preserve">I1 </t>
  </si>
  <si>
    <t xml:space="preserve">I2 </t>
  </si>
  <si>
    <t>RE</t>
  </si>
  <si>
    <t>Pair Min</t>
  </si>
  <si>
    <t>Pair Max</t>
  </si>
  <si>
    <t>Aquifer not considered</t>
  </si>
  <si>
    <t>Group Avg</t>
  </si>
  <si>
    <t>Weighting Curve</t>
  </si>
  <si>
    <t>Injector to aquifer is considered as -ve production and dOpt=0</t>
  </si>
  <si>
    <t>Performance</t>
  </si>
  <si>
    <t>dopt</t>
  </si>
  <si>
    <t>Weight for injector-aquifer pair is adjusted for aquifer cut-back</t>
  </si>
  <si>
    <t>half range</t>
  </si>
  <si>
    <t>Min</t>
  </si>
  <si>
    <t>Max</t>
  </si>
  <si>
    <t>Waterflood Problems: Identification of Suboptimal States - From Surveillance Dashboard</t>
  </si>
  <si>
    <t>Unique Problem ID</t>
  </si>
  <si>
    <t>Problem Name</t>
  </si>
  <si>
    <t>Area Name</t>
  </si>
  <si>
    <t>Producers</t>
  </si>
  <si>
    <t xml:space="preserve">Connected Injectors </t>
  </si>
  <si>
    <t>DRM Modeling Status</t>
  </si>
  <si>
    <t>Res. Sim Model Status</t>
  </si>
  <si>
    <r>
      <t xml:space="preserve">Date </t>
    </r>
    <r>
      <rPr>
        <sz val="14"/>
        <color theme="1"/>
        <rFont val="Calibri"/>
        <family val="2"/>
        <scheme val="minor"/>
      </rPr>
      <t>Identified</t>
    </r>
  </si>
  <si>
    <t>Priority</t>
  </si>
  <si>
    <t>Status</t>
  </si>
  <si>
    <t>Description</t>
  </si>
  <si>
    <t>Related Event</t>
  </si>
  <si>
    <t>abcd</t>
  </si>
  <si>
    <t>[1,15]</t>
  </si>
  <si>
    <t>MW,LW, both</t>
  </si>
  <si>
    <t>text</t>
  </si>
  <si>
    <t>list comp ids</t>
  </si>
  <si>
    <t>Completed / Ongoing</t>
  </si>
  <si>
    <t>Updated / Expired</t>
  </si>
  <si>
    <t>dd-mm-yy</t>
  </si>
  <si>
    <t>H/M/L</t>
  </si>
  <si>
    <t>Closed / Pending</t>
  </si>
  <si>
    <t>mandatory</t>
  </si>
  <si>
    <t>Mandatory</t>
  </si>
  <si>
    <t>Optional</t>
  </si>
  <si>
    <t>optional</t>
  </si>
  <si>
    <t>Decision Dashboard - Quick Look Unconstrained  Strategy Screening</t>
  </si>
  <si>
    <t>Table 1</t>
  </si>
  <si>
    <t>Well Pairs Information</t>
  </si>
  <si>
    <t>Pair Inj name</t>
  </si>
  <si>
    <t>Pair Prod name</t>
  </si>
  <si>
    <t>Pair Prd Alloc</t>
  </si>
  <si>
    <t xml:space="preserve">Pair VRR </t>
  </si>
  <si>
    <t>Pair Inj Rate</t>
  </si>
  <si>
    <t>Pair Prd Rate</t>
  </si>
  <si>
    <t>Pair Pore Vol</t>
  </si>
  <si>
    <t>Pair Press</t>
  </si>
  <si>
    <t>computed</t>
  </si>
  <si>
    <t>Check sum per inj ~ 1</t>
  </si>
  <si>
    <t>Check sum per prd ~ 1</t>
  </si>
  <si>
    <t>Check sum = total inj</t>
  </si>
  <si>
    <t>Check sum = total prd</t>
  </si>
  <si>
    <t>Table 2</t>
  </si>
  <si>
    <t>PFM Strategy &amp; Settings &amp; Summary Results</t>
  </si>
  <si>
    <t>Problem</t>
  </si>
  <si>
    <t>Injection Re-Allocation Settings</t>
  </si>
  <si>
    <t>Capacity Constraints</t>
  </si>
  <si>
    <t>Results</t>
  </si>
  <si>
    <t>Custom PFM Setting - Graphical</t>
  </si>
  <si>
    <t>Strategy Type</t>
  </si>
  <si>
    <t>Curve Shape [1,2]</t>
  </si>
  <si>
    <t>Efficiency Range [0,1]</t>
  </si>
  <si>
    <t xml:space="preserve">Aquifer Cutback </t>
  </si>
  <si>
    <t>Injection Available (rb/d)</t>
  </si>
  <si>
    <t>Injection Capacity (stb/d)</t>
  </si>
  <si>
    <t>Water Handling Capacity (stb/d)</t>
  </si>
  <si>
    <t>Liquid Capacity (stb/d)</t>
  </si>
  <si>
    <t>Oil Capacity (stb/d)</t>
  </si>
  <si>
    <t>Oil Gain (rb/d)</t>
  </si>
  <si>
    <t>Water Reduction (rb/d)</t>
  </si>
  <si>
    <t>Oil Prd Rate</t>
  </si>
  <si>
    <t>Liq Prd Rate</t>
  </si>
  <si>
    <t>Wtr Prd Rate</t>
  </si>
  <si>
    <t>Max. Weight</t>
  </si>
  <si>
    <t>Min Efficiency</t>
  </si>
  <si>
    <t>Max Efficiency</t>
  </si>
  <si>
    <t>Avg. Efficiency</t>
  </si>
  <si>
    <t>Custom  Curve</t>
  </si>
  <si>
    <t>Efficiency</t>
  </si>
  <si>
    <t>Inc/Dec Factor</t>
  </si>
  <si>
    <t>Computed</t>
  </si>
  <si>
    <t>Default</t>
  </si>
  <si>
    <t>Reallocate</t>
  </si>
  <si>
    <t>Curr. Sum</t>
  </si>
  <si>
    <t>from PFM</t>
  </si>
  <si>
    <t>Optmin</t>
  </si>
  <si>
    <t>Optmax</t>
  </si>
  <si>
    <t>Optavg</t>
  </si>
  <si>
    <t>Table Name</t>
  </si>
  <si>
    <t>Decision Dashboard - with Constraints</t>
  </si>
  <si>
    <t>Debug Pairs Information (Complete calculations)</t>
  </si>
  <si>
    <t>Redistribute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</si>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</sst>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9" borderId="8" applyNumberFormat="0" applyAlignment="0" applyProtection="0"/>
    <xf numFmtId="0" fontId="11" fillId="10" borderId="8" applyNumberFormat="0" applyAlignment="0" applyProtection="0"/>
  </cellStyleXfs>
  <cellXfs count="153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2" borderId="1" xfId="0" applyNumberFormat="1" applyFill="1" applyBorder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6" borderId="0" xfId="0" applyNumberForma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0" fillId="5" borderId="0" xfId="0" applyNumberFormat="1" applyFill="1"/>
    <xf numFmtId="2" fontId="0" fillId="5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7" borderId="0" xfId="0" applyNumberFormat="1" applyFill="1"/>
    <xf numFmtId="165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8" borderId="0" xfId="0" applyFill="1"/>
    <xf numFmtId="0" fontId="5" fillId="8" borderId="0" xfId="0" applyFont="1" applyFill="1"/>
    <xf numFmtId="0" fontId="2" fillId="8" borderId="0" xfId="0" applyFont="1" applyFill="1"/>
    <xf numFmtId="1" fontId="0" fillId="5" borderId="0" xfId="0" applyNumberFormat="1" applyFill="1"/>
    <xf numFmtId="165" fontId="0" fillId="4" borderId="1" xfId="0" applyNumberFormat="1" applyFill="1" applyBorder="1"/>
    <xf numFmtId="165" fontId="2" fillId="4" borderId="1" xfId="0" applyNumberFormat="1" applyFont="1" applyFill="1" applyBorder="1"/>
    <xf numFmtId="165" fontId="0" fillId="2" borderId="1" xfId="0" applyNumberFormat="1" applyFill="1" applyBorder="1"/>
    <xf numFmtId="165" fontId="2" fillId="2" borderId="1" xfId="0" applyNumberFormat="1" applyFont="1" applyFill="1" applyBorder="1"/>
    <xf numFmtId="1" fontId="0" fillId="4" borderId="1" xfId="0" applyNumberFormat="1" applyFill="1" applyBorder="1"/>
    <xf numFmtId="1" fontId="2" fillId="4" borderId="1" xfId="0" applyNumberFormat="1" applyFont="1" applyFill="1" applyBorder="1"/>
    <xf numFmtId="166" fontId="0" fillId="5" borderId="0" xfId="0" applyNumberFormat="1" applyFill="1"/>
    <xf numFmtId="0" fontId="0" fillId="8" borderId="0" xfId="0" applyFill="1" applyAlignment="1">
      <alignment horizontal="right"/>
    </xf>
    <xf numFmtId="164" fontId="2" fillId="0" borderId="0" xfId="0" applyNumberFormat="1" applyFont="1"/>
    <xf numFmtId="0" fontId="7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4" fillId="0" borderId="0" xfId="0" applyNumberFormat="1" applyFont="1"/>
    <xf numFmtId="165" fontId="4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13" fillId="0" borderId="0" xfId="0" applyFont="1"/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0" xfId="0" applyFill="1"/>
    <xf numFmtId="0" fontId="14" fillId="0" borderId="0" xfId="0" applyFont="1"/>
    <xf numFmtId="0" fontId="15" fillId="0" borderId="0" xfId="0" applyFont="1"/>
    <xf numFmtId="0" fontId="11" fillId="10" borderId="8" xfId="2"/>
    <xf numFmtId="0" fontId="10" fillId="9" borderId="8" xfId="1"/>
    <xf numFmtId="2" fontId="11" fillId="10" borderId="8" xfId="2" applyNumberFormat="1"/>
    <xf numFmtId="1" fontId="11" fillId="10" borderId="8" xfId="2" applyNumberFormat="1"/>
    <xf numFmtId="164" fontId="11" fillId="10" borderId="8" xfId="2" applyNumberFormat="1"/>
    <xf numFmtId="165" fontId="11" fillId="10" borderId="8" xfId="2" applyNumberFormat="1"/>
    <xf numFmtId="1" fontId="16" fillId="10" borderId="8" xfId="2" applyNumberFormat="1" applyFont="1"/>
    <xf numFmtId="0" fontId="10" fillId="9" borderId="8" xfId="1" applyAlignment="1">
      <alignment horizontal="center" vertical="center"/>
    </xf>
    <xf numFmtId="165" fontId="10" fillId="9" borderId="8" xfId="1" applyNumberFormat="1"/>
    <xf numFmtId="1" fontId="10" fillId="9" borderId="8" xfId="1" applyNumberFormat="1"/>
    <xf numFmtId="1" fontId="11" fillId="10" borderId="8" xfId="2" applyNumberFormat="1" applyAlignment="1">
      <alignment horizontal="center" vertical="center"/>
    </xf>
    <xf numFmtId="0" fontId="11" fillId="10" borderId="8" xfId="2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0" fillId="9" borderId="13" xfId="1" applyBorder="1" applyAlignment="1">
      <alignment horizontal="center" vertical="center"/>
    </xf>
    <xf numFmtId="1" fontId="17" fillId="10" borderId="13" xfId="2" applyNumberFormat="1" applyFont="1" applyBorder="1" applyAlignment="1">
      <alignment horizontal="center" vertical="center"/>
    </xf>
    <xf numFmtId="1" fontId="11" fillId="10" borderId="13" xfId="2" applyNumberFormat="1" applyBorder="1" applyAlignment="1">
      <alignment horizontal="center" vertical="center"/>
    </xf>
    <xf numFmtId="0" fontId="10" fillId="9" borderId="8" xfId="1" applyAlignment="1">
      <alignment horizontal="center"/>
    </xf>
    <xf numFmtId="0" fontId="10" fillId="9" borderId="8" xfId="1" applyAlignment="1">
      <alignment horizontal="center" vertical="center" wrapText="1"/>
    </xf>
    <xf numFmtId="1" fontId="10" fillId="9" borderId="8" xfId="1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1" fontId="5" fillId="10" borderId="13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/>
    <xf numFmtId="0" fontId="20" fillId="0" borderId="0" xfId="1" applyFont="1" applyFill="1" applyBorder="1" applyAlignment="1">
      <alignment horizontal="center" vertical="center" wrapText="1"/>
    </xf>
    <xf numFmtId="15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21" fillId="0" borderId="0" xfId="0" applyFont="1" applyAlignment="1">
      <alignment horizontal="right" wrapText="1"/>
    </xf>
    <xf numFmtId="165" fontId="22" fillId="10" borderId="8" xfId="2" applyNumberFormat="1" applyFont="1"/>
    <xf numFmtId="1" fontId="22" fillId="10" borderId="8" xfId="2" applyNumberFormat="1" applyFont="1"/>
    <xf numFmtId="164" fontId="22" fillId="10" borderId="8" xfId="2" applyNumberFormat="1" applyFont="1"/>
    <xf numFmtId="1" fontId="21" fillId="5" borderId="0" xfId="0" applyNumberFormat="1" applyFont="1" applyFill="1"/>
    <xf numFmtId="0" fontId="21" fillId="0" borderId="0" xfId="0" applyFont="1"/>
    <xf numFmtId="2" fontId="22" fillId="10" borderId="8" xfId="2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9" borderId="14" xfId="1" applyBorder="1" applyAlignment="1">
      <alignment horizontal="center" vertical="center"/>
    </xf>
    <xf numFmtId="0" fontId="0" fillId="0" borderId="3" xfId="0" applyBorder="1" applyAlignment="1">
      <alignment horizontal="right"/>
    </xf>
    <xf numFmtId="2" fontId="11" fillId="10" borderId="8" xfId="2" applyNumberFormat="1" applyAlignment="1">
      <alignment horizontal="center" vertical="center"/>
    </xf>
    <xf numFmtId="0" fontId="0" fillId="0" borderId="7" xfId="0" applyBorder="1" applyAlignment="1">
      <alignment horizontal="right"/>
    </xf>
    <xf numFmtId="2" fontId="11" fillId="10" borderId="15" xfId="2" applyNumberFormat="1" applyBorder="1" applyAlignment="1">
      <alignment horizontal="center" vertical="center"/>
    </xf>
    <xf numFmtId="0" fontId="1" fillId="0" borderId="4" xfId="0" applyFont="1" applyBorder="1"/>
    <xf numFmtId="2" fontId="10" fillId="9" borderId="15" xfId="1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0" fillId="9" borderId="16" xfId="1" applyBorder="1"/>
    <xf numFmtId="0" fontId="20" fillId="0" borderId="7" xfId="1" applyFont="1" applyFill="1" applyBorder="1" applyAlignment="1">
      <alignment horizontal="center" vertical="center" wrapText="1"/>
    </xf>
    <xf numFmtId="0" fontId="10" fillId="9" borderId="15" xfId="1" applyBorder="1"/>
    <xf numFmtId="0" fontId="1" fillId="0" borderId="4" xfId="0" applyFont="1" applyBorder="1" applyAlignment="1">
      <alignment horizontal="center" vertical="center" wrapText="1"/>
    </xf>
    <xf numFmtId="0" fontId="10" fillId="9" borderId="17" xfId="1" applyBorder="1"/>
    <xf numFmtId="0" fontId="19" fillId="0" borderId="3" xfId="0" applyFont="1" applyBorder="1" applyAlignment="1">
      <alignment horizontal="center" vertical="center" wrapText="1"/>
    </xf>
    <xf numFmtId="1" fontId="11" fillId="10" borderId="14" xfId="2" applyNumberFormat="1" applyBorder="1" applyAlignment="1">
      <alignment horizontal="center" vertical="center"/>
    </xf>
    <xf numFmtId="1" fontId="18" fillId="10" borderId="8" xfId="2" applyNumberFormat="1" applyFont="1" applyAlignment="1">
      <alignment horizontal="center" vertical="center"/>
    </xf>
    <xf numFmtId="2" fontId="11" fillId="10" borderId="16" xfId="2" applyNumberFormat="1" applyBorder="1" applyAlignment="1">
      <alignment horizontal="center" vertical="center"/>
    </xf>
    <xf numFmtId="1" fontId="11" fillId="10" borderId="16" xfId="2" applyNumberFormat="1" applyBorder="1"/>
    <xf numFmtId="0" fontId="1" fillId="0" borderId="7" xfId="0" applyFont="1" applyBorder="1" applyAlignment="1">
      <alignment horizontal="center" vertical="center" wrapText="1"/>
    </xf>
    <xf numFmtId="1" fontId="11" fillId="10" borderId="15" xfId="2" applyNumberFormat="1" applyBorder="1"/>
    <xf numFmtId="1" fontId="11" fillId="10" borderId="15" xfId="2" applyNumberFormat="1" applyBorder="1" applyAlignment="1">
      <alignment horizontal="center" vertical="center"/>
    </xf>
    <xf numFmtId="1" fontId="11" fillId="10" borderId="16" xfId="2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1" fillId="10" borderId="17" xfId="2" applyNumberFormat="1" applyBorder="1"/>
    <xf numFmtId="1" fontId="11" fillId="10" borderId="13" xfId="2" applyNumberFormat="1" applyBorder="1"/>
    <xf numFmtId="1" fontId="11" fillId="10" borderId="14" xfId="2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9" borderId="8" xfId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9" fillId="0" borderId="0" xfId="0" applyFont="1" applyAlignment="1">
      <alignment horizontal="center"/>
    </xf>
    <xf numFmtId="0" fontId="23" fillId="10" borderId="8" xfId="2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Rate</a:t>
            </a:r>
            <a:r>
              <a:rPr lang="en-GB" b="1" baseline="0"/>
              <a:t> Modifier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'PFM-Comp'!$N$89:$N$102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0.08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'PFM-Comp'!$P$89:$P$102</c:f>
              <c:numCache>
                <c:formatCode>0.00000000</c:formatCode>
                <c:ptCount val="14"/>
                <c:pt idx="0">
                  <c:v>0</c:v>
                </c:pt>
                <c:pt idx="1">
                  <c:v>0.23219147804848894</c:v>
                </c:pt>
                <c:pt idx="2">
                  <c:v>0.43375326612608911</c:v>
                </c:pt>
                <c:pt idx="3">
                  <c:v>0.60468536423280006</c:v>
                </c:pt>
                <c:pt idx="4">
                  <c:v>0.74498777236862246</c:v>
                </c:pt>
                <c:pt idx="5">
                  <c:v>0.85466049053355586</c:v>
                </c:pt>
                <c:pt idx="6">
                  <c:v>0.99990050520302254</c:v>
                </c:pt>
                <c:pt idx="7">
                  <c:v>1.733245276216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5-48CE-AA36-99302FF3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09080"/>
        <c:axId val="873206560"/>
      </c:scatterChart>
      <c:valAx>
        <c:axId val="873209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Waterflood</a:t>
                </a:r>
                <a:r>
                  <a:rPr lang="en-GB" baseline="0"/>
                  <a:t> Injector Performance Factor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6560"/>
        <c:crossesAt val="1"/>
        <c:crossBetween val="midCat"/>
      </c:valAx>
      <c:valAx>
        <c:axId val="873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Mulitplier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515780</xdr:colOff>
      <xdr:row>5</xdr:row>
      <xdr:rowOff>134779</xdr:rowOff>
    </xdr:from>
    <xdr:to>
      <xdr:col>27</xdr:col>
      <xdr:colOff>440532</xdr:colOff>
      <xdr:row>40</xdr:row>
      <xdr:rowOff>15716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69A3CB2-1611-2586-007E-ED7D6DB554E7}"/>
            </a:ext>
          </a:extLst>
        </xdr:cNvPr>
        <xdr:cNvSpPr/>
      </xdr:nvSpPr>
      <xdr:spPr>
        <a:xfrm>
          <a:off x="16994030" y="1432560"/>
          <a:ext cx="7651908" cy="86796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9525</xdr:colOff>
      <xdr:row>85</xdr:row>
      <xdr:rowOff>5715</xdr:rowOff>
    </xdr:from>
    <xdr:to>
      <xdr:col>23</xdr:col>
      <xdr:colOff>615315</xdr:colOff>
      <xdr:row>104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E8E8-A64F-D6C8-AEF6-21A3ADDE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679609</xdr:colOff>
      <xdr:row>25</xdr:row>
      <xdr:rowOff>203359</xdr:rowOff>
    </xdr:from>
    <xdr:to>
      <xdr:col>18</xdr:col>
      <xdr:colOff>666750</xdr:colOff>
      <xdr:row>27</xdr:row>
      <xdr:rowOff>338138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4090AF9-DCE5-ACB8-BE5C-D1DB04F052AD}"/>
            </a:ext>
          </a:extLst>
        </xdr:cNvPr>
        <xdr:cNvSpPr/>
      </xdr:nvSpPr>
      <xdr:spPr>
        <a:xfrm>
          <a:off x="13847922" y="6442234"/>
          <a:ext cx="1654016" cy="71818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 u="sng">
              <a:solidFill>
                <a:schemeClr val="bg1"/>
              </a:solidFill>
            </a:rPr>
            <a:t>Save Strategy</a:t>
          </a:r>
        </a:p>
      </xdr:txBody>
    </xdr:sp>
    <xdr:clientData/>
  </xdr:twoCellAnchor>
  <xdr:oneCellAnchor>
    <xdr:from>
      <xdr:col>22</xdr:col>
      <xdr:colOff>130969</xdr:colOff>
      <xdr:row>7</xdr:row>
      <xdr:rowOff>170973</xdr:rowOff>
    </xdr:from>
    <xdr:ext cx="436581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93F734-A90F-3A42-B37C-04420456B471}"/>
            </a:ext>
          </a:extLst>
        </xdr:cNvPr>
        <xdr:cNvSpPr txBox="1"/>
      </xdr:nvSpPr>
      <xdr:spPr>
        <a:xfrm>
          <a:off x="19097625" y="2195036"/>
          <a:ext cx="43658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DASHBOARD #2 for Constrained Optimization Workflow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6E94-668A-4158-90FF-DB1DB0BE0865}">
  <dimension ref="A1:BD110"/>
  <sheetViews>
    <sheetView tabSelected="1" topLeftCell="A38" zoomScale="80" zoomScaleNormal="80" workbookViewId="0">
      <selection activeCell="W50" sqref="W50"/>
    </sheetView>
  </sheetViews>
  <sheetFormatPr defaultRowHeight="14.45"/>
  <cols>
    <col min="2" max="2" width="11.5703125" customWidth="1"/>
    <col min="3" max="3" width="10.28515625" customWidth="1"/>
    <col min="4" max="4" width="11.7109375" customWidth="1"/>
    <col min="5" max="5" width="10.28515625" customWidth="1"/>
    <col min="6" max="6" width="12" customWidth="1"/>
    <col min="7" max="7" width="11.140625" customWidth="1"/>
    <col min="8" max="8" width="15.140625" customWidth="1"/>
    <col min="9" max="9" width="17.5703125" customWidth="1"/>
    <col min="10" max="10" width="18.5703125" customWidth="1"/>
    <col min="11" max="11" width="4" style="31" customWidth="1"/>
    <col min="13" max="13" width="14.7109375" customWidth="1"/>
    <col min="14" max="14" width="11.140625" customWidth="1"/>
    <col min="15" max="15" width="18.140625" customWidth="1"/>
    <col min="16" max="16" width="10.5703125" customWidth="1"/>
    <col min="17" max="17" width="14" customWidth="1"/>
    <col min="18" max="18" width="13" customWidth="1"/>
    <col min="19" max="19" width="14.42578125" customWidth="1"/>
    <col min="20" max="20" width="12" customWidth="1"/>
    <col min="21" max="21" width="14.85546875" customWidth="1"/>
    <col min="22" max="22" width="21.28515625" customWidth="1"/>
    <col min="23" max="23" width="19" customWidth="1"/>
    <col min="24" max="24" width="22.7109375" customWidth="1"/>
    <col min="25" max="25" width="12" customWidth="1"/>
    <col min="26" max="26" width="13" customWidth="1"/>
    <col min="27" max="28" width="9.5703125" customWidth="1"/>
    <col min="29" max="29" width="3.7109375" style="31" customWidth="1"/>
    <col min="30" max="30" width="5.5703125" customWidth="1"/>
    <col min="31" max="31" width="6.140625" customWidth="1"/>
    <col min="32" max="32" width="16.140625" customWidth="1"/>
    <col min="33" max="33" width="15.5703125" customWidth="1"/>
    <col min="34" max="34" width="13.42578125" customWidth="1"/>
    <col min="35" max="35" width="14.85546875" customWidth="1"/>
    <col min="36" max="36" width="18" customWidth="1"/>
    <col min="37" max="37" width="14.140625" customWidth="1"/>
    <col min="38" max="38" width="14.42578125" customWidth="1"/>
    <col min="39" max="40" width="14.7109375" customWidth="1"/>
    <col min="41" max="44" width="14.28515625" customWidth="1"/>
    <col min="45" max="45" width="16.28515625" customWidth="1"/>
    <col min="46" max="46" width="13.5703125" customWidth="1"/>
    <col min="47" max="47" width="8" customWidth="1"/>
    <col min="48" max="48" width="16.140625" customWidth="1"/>
    <col min="49" max="49" width="13.5703125" customWidth="1"/>
    <col min="51" max="51" width="16.5703125" customWidth="1"/>
    <col min="54" max="54" width="13" customWidth="1"/>
    <col min="56" max="56" width="8.7109375" customWidth="1"/>
  </cols>
  <sheetData>
    <row r="1" spans="13:18" ht="18">
      <c r="M1" s="143" t="s">
        <v>0</v>
      </c>
      <c r="N1" s="144"/>
      <c r="O1" s="144"/>
      <c r="P1" s="144"/>
      <c r="Q1" s="144"/>
      <c r="R1" s="145"/>
    </row>
    <row r="2" spans="13:18">
      <c r="M2" s="4" t="s">
        <v>1</v>
      </c>
      <c r="N2" s="80">
        <v>5</v>
      </c>
      <c r="O2" s="4" t="s">
        <v>2</v>
      </c>
      <c r="P2" s="80" t="s">
        <v>3</v>
      </c>
      <c r="Q2" s="4" t="s">
        <v>4</v>
      </c>
      <c r="R2" s="80" t="s">
        <v>5</v>
      </c>
    </row>
    <row r="3" spans="13:18">
      <c r="M3" s="4" t="s">
        <v>6</v>
      </c>
      <c r="N3" s="80" t="s">
        <v>7</v>
      </c>
      <c r="O3" s="47" t="s">
        <v>8</v>
      </c>
      <c r="P3" s="89">
        <v>45505</v>
      </c>
      <c r="Q3" s="4" t="s">
        <v>9</v>
      </c>
      <c r="R3" s="89">
        <v>45535</v>
      </c>
    </row>
    <row r="4" spans="13:18" ht="28.9">
      <c r="M4" s="53" t="s">
        <v>10</v>
      </c>
      <c r="N4" s="79">
        <f>+I83</f>
        <v>6118</v>
      </c>
      <c r="O4" s="53" t="s">
        <v>11</v>
      </c>
      <c r="P4" s="74">
        <f>+J83</f>
        <v>6087.5199999999995</v>
      </c>
      <c r="Q4" s="47" t="s">
        <v>12</v>
      </c>
      <c r="R4" s="75">
        <f>+N4/P4</f>
        <v>1.0050069650695193</v>
      </c>
    </row>
    <row r="5" spans="13:18" ht="28.9">
      <c r="M5" s="53" t="s">
        <v>13</v>
      </c>
      <c r="N5" s="74">
        <f>+J83-L83</f>
        <v>5595.6117589999994</v>
      </c>
      <c r="O5" s="53" t="s">
        <v>14</v>
      </c>
      <c r="P5" s="74">
        <f>+L83</f>
        <v>491.90824100000009</v>
      </c>
      <c r="Q5" s="18" t="s">
        <v>15</v>
      </c>
      <c r="R5" s="74">
        <f>+M83</f>
        <v>472.21882000000005</v>
      </c>
    </row>
    <row r="7" spans="13:18" ht="43.15" customHeight="1">
      <c r="M7" s="143" t="s">
        <v>16</v>
      </c>
      <c r="N7" s="144"/>
      <c r="O7" s="144"/>
      <c r="P7" s="144"/>
      <c r="Q7" s="144"/>
      <c r="R7" s="145"/>
    </row>
    <row r="8" spans="13:18" ht="28.9">
      <c r="M8" s="83" t="s">
        <v>17</v>
      </c>
      <c r="N8" s="85" t="s">
        <v>18</v>
      </c>
      <c r="O8" s="83" t="s">
        <v>19</v>
      </c>
      <c r="P8" s="85" t="s">
        <v>20</v>
      </c>
      <c r="Q8" s="84" t="s">
        <v>21</v>
      </c>
      <c r="R8" s="85" t="s">
        <v>22</v>
      </c>
    </row>
    <row r="9" spans="13:18">
      <c r="M9" s="81" t="s">
        <v>23</v>
      </c>
      <c r="N9" s="82" t="str">
        <f>+$P$2</f>
        <v>LW</v>
      </c>
      <c r="O9" s="81" t="s">
        <v>24</v>
      </c>
      <c r="P9" s="82">
        <v>1359</v>
      </c>
      <c r="Q9" s="81">
        <v>2038.5</v>
      </c>
      <c r="R9" s="82">
        <v>50</v>
      </c>
    </row>
    <row r="10" spans="13:18">
      <c r="M10" s="81" t="s">
        <v>25</v>
      </c>
      <c r="N10" s="82" t="str">
        <f t="shared" ref="N10:N17" si="0">+$P$2</f>
        <v>LW</v>
      </c>
      <c r="O10" s="81" t="s">
        <v>24</v>
      </c>
      <c r="P10" s="82">
        <v>1644</v>
      </c>
      <c r="Q10" s="81">
        <v>2466</v>
      </c>
      <c r="R10" s="82">
        <v>50</v>
      </c>
    </row>
    <row r="11" spans="13:18">
      <c r="M11" s="81" t="s">
        <v>26</v>
      </c>
      <c r="N11" s="82" t="str">
        <f t="shared" si="0"/>
        <v>LW</v>
      </c>
      <c r="O11" s="81" t="s">
        <v>24</v>
      </c>
      <c r="P11" s="82">
        <v>927</v>
      </c>
      <c r="Q11" s="81">
        <v>1390.5</v>
      </c>
      <c r="R11" s="82">
        <v>50</v>
      </c>
    </row>
    <row r="12" spans="13:18">
      <c r="M12" s="81" t="s">
        <v>27</v>
      </c>
      <c r="N12" s="82" t="str">
        <f t="shared" si="0"/>
        <v>LW</v>
      </c>
      <c r="O12" s="81" t="s">
        <v>24</v>
      </c>
      <c r="P12" s="82">
        <v>911</v>
      </c>
      <c r="Q12" s="81">
        <v>1366.5</v>
      </c>
      <c r="R12" s="82">
        <v>50</v>
      </c>
    </row>
    <row r="13" spans="13:18">
      <c r="M13" s="81" t="s">
        <v>28</v>
      </c>
      <c r="N13" s="82" t="str">
        <f t="shared" si="0"/>
        <v>LW</v>
      </c>
      <c r="O13" s="81" t="s">
        <v>24</v>
      </c>
      <c r="P13" s="82">
        <v>1276</v>
      </c>
      <c r="Q13" s="81">
        <v>1914</v>
      </c>
      <c r="R13" s="82">
        <v>50</v>
      </c>
    </row>
    <row r="14" spans="13:18">
      <c r="M14" s="81" t="s">
        <v>29</v>
      </c>
      <c r="N14" s="82" t="str">
        <f t="shared" si="0"/>
        <v>LW</v>
      </c>
      <c r="O14" s="81" t="s">
        <v>30</v>
      </c>
      <c r="P14" s="82">
        <v>2546</v>
      </c>
      <c r="Q14" s="81">
        <v>3819</v>
      </c>
      <c r="R14" s="82">
        <v>100</v>
      </c>
    </row>
    <row r="15" spans="13:18">
      <c r="M15" s="81" t="s">
        <v>31</v>
      </c>
      <c r="N15" s="82" t="str">
        <f t="shared" si="0"/>
        <v>LW</v>
      </c>
      <c r="O15" s="81" t="s">
        <v>30</v>
      </c>
      <c r="P15" s="82">
        <v>595</v>
      </c>
      <c r="Q15" s="81">
        <v>892.5</v>
      </c>
      <c r="R15" s="82">
        <v>100</v>
      </c>
    </row>
    <row r="16" spans="13:18">
      <c r="M16" s="81" t="s">
        <v>32</v>
      </c>
      <c r="N16" s="82" t="str">
        <f t="shared" si="0"/>
        <v>LW</v>
      </c>
      <c r="O16" s="81" t="s">
        <v>30</v>
      </c>
      <c r="P16" s="82">
        <v>1394</v>
      </c>
      <c r="Q16" s="81">
        <v>2091</v>
      </c>
      <c r="R16" s="82">
        <v>100</v>
      </c>
    </row>
    <row r="17" spans="13:26">
      <c r="M17" s="71" t="s">
        <v>33</v>
      </c>
      <c r="N17" s="82" t="str">
        <f t="shared" si="0"/>
        <v>LW</v>
      </c>
      <c r="O17" s="71" t="s">
        <v>30</v>
      </c>
      <c r="P17" s="71">
        <v>1552</v>
      </c>
      <c r="Q17" s="71">
        <v>2328</v>
      </c>
      <c r="R17" s="71">
        <v>100</v>
      </c>
    </row>
    <row r="18" spans="13:26" ht="18">
      <c r="M18" s="17"/>
    </row>
    <row r="19" spans="13:26" ht="18">
      <c r="M19" s="139" t="s">
        <v>34</v>
      </c>
      <c r="N19" s="140"/>
      <c r="O19" s="140"/>
      <c r="P19" s="140"/>
      <c r="Q19" s="140"/>
      <c r="R19" s="140"/>
      <c r="S19" s="140"/>
      <c r="T19" s="141"/>
      <c r="V19" s="90" t="s">
        <v>35</v>
      </c>
      <c r="W19" s="91"/>
      <c r="X19" s="91"/>
      <c r="Y19" s="92"/>
    </row>
    <row r="20" spans="13:26" ht="43.15">
      <c r="M20" s="100" t="s">
        <v>36</v>
      </c>
      <c r="N20" s="77" t="s">
        <v>37</v>
      </c>
      <c r="O20" s="101" t="s">
        <v>38</v>
      </c>
      <c r="P20" s="77" t="s">
        <v>39</v>
      </c>
      <c r="Q20" s="57" t="s">
        <v>40</v>
      </c>
      <c r="R20" s="77" t="s">
        <v>41</v>
      </c>
      <c r="S20" s="57" t="s">
        <v>42</v>
      </c>
      <c r="T20" s="102">
        <v>6500</v>
      </c>
      <c r="V20" s="109" t="s">
        <v>43</v>
      </c>
      <c r="W20" s="65"/>
      <c r="X20" s="88" t="s">
        <v>44</v>
      </c>
      <c r="Y20" s="110"/>
    </row>
    <row r="21" spans="13:26" ht="32.450000000000003" customHeight="1">
      <c r="M21" s="29"/>
      <c r="O21" s="101" t="s">
        <v>45</v>
      </c>
      <c r="P21" s="71">
        <v>1</v>
      </c>
      <c r="Q21" s="57" t="s">
        <v>46</v>
      </c>
      <c r="R21" s="71">
        <v>-0.25</v>
      </c>
      <c r="S21" s="57"/>
      <c r="T21" s="10"/>
      <c r="V21" s="111" t="s">
        <v>47</v>
      </c>
      <c r="W21" s="112"/>
      <c r="X21" s="113" t="s">
        <v>48</v>
      </c>
      <c r="Y21" s="114"/>
    </row>
    <row r="22" spans="13:26" ht="20.45" customHeight="1">
      <c r="M22" s="103" t="s">
        <v>49</v>
      </c>
      <c r="N22" s="104">
        <f>IF($P$20=Sheet2!B3,'PFM-Comp'!F90,IF('PFM-Comp'!$P$20=Sheet2!B4, 'PFM-Comp'!G90, 'PFM-Comp'!H90))</f>
        <v>0</v>
      </c>
      <c r="O22" s="2" t="s">
        <v>50</v>
      </c>
      <c r="P22" s="71">
        <v>0</v>
      </c>
      <c r="Q22" t="s">
        <v>51</v>
      </c>
      <c r="R22" s="64">
        <f>+P22-1</f>
        <v>-1</v>
      </c>
      <c r="T22" s="10"/>
    </row>
    <row r="23" spans="13:26" ht="18" customHeight="1">
      <c r="M23" s="103" t="s">
        <v>52</v>
      </c>
      <c r="N23" s="104">
        <f>IF($P$20=Sheet2!B3,'PFM-Comp'!F91,IF('PFM-Comp'!$P$20=Sheet2!B4, 'PFM-Comp'!G91, 'PFM-Comp'!H91))</f>
        <v>0.16161203281467662</v>
      </c>
      <c r="O23" s="2" t="s">
        <v>53</v>
      </c>
      <c r="P23" s="71">
        <v>2</v>
      </c>
      <c r="Q23" t="s">
        <v>54</v>
      </c>
      <c r="R23" s="64">
        <f>+P23-1</f>
        <v>1</v>
      </c>
      <c r="T23" s="10"/>
    </row>
    <row r="24" spans="13:26">
      <c r="M24" s="105" t="s">
        <v>55</v>
      </c>
      <c r="N24" s="106">
        <f>IF($P$20=Sheet2!B3,'PFM-Comp'!F87,IF('PFM-Comp'!$P$20=Sheet2!B4, 'PFM-Comp'!G87, 'PFM-Comp'!H87))</f>
        <v>8.080601640733831E-2</v>
      </c>
      <c r="O24" s="107" t="s">
        <v>56</v>
      </c>
      <c r="P24" s="108">
        <v>2</v>
      </c>
      <c r="Q24" s="28"/>
      <c r="R24" s="28"/>
      <c r="S24" s="28"/>
      <c r="T24" s="30"/>
    </row>
    <row r="26" spans="13:26" ht="18">
      <c r="M26" s="139" t="s">
        <v>57</v>
      </c>
      <c r="N26" s="140"/>
      <c r="O26" s="140"/>
      <c r="P26" s="141"/>
      <c r="V26" s="90" t="s">
        <v>58</v>
      </c>
      <c r="W26" s="91"/>
      <c r="X26" s="91"/>
      <c r="Y26" s="92"/>
    </row>
    <row r="27" spans="13:26" ht="28.9">
      <c r="M27" s="115" t="s">
        <v>59</v>
      </c>
      <c r="N27" s="78">
        <f>+V83</f>
        <v>139.76994428008913</v>
      </c>
      <c r="O27" s="76" t="s">
        <v>60</v>
      </c>
      <c r="P27" s="116">
        <f>+R83</f>
        <v>5685.1403312990797</v>
      </c>
      <c r="V27" s="133" t="s">
        <v>59</v>
      </c>
      <c r="W27" s="18"/>
      <c r="X27" s="133" t="s">
        <v>60</v>
      </c>
    </row>
    <row r="28" spans="13:26" ht="28.9">
      <c r="M28" s="115" t="s">
        <v>61</v>
      </c>
      <c r="N28" s="117">
        <f>+W83</f>
        <v>-332.44887571991092</v>
      </c>
      <c r="O28" s="76" t="s">
        <v>62</v>
      </c>
      <c r="P28" s="118">
        <f>+X83</f>
        <v>1.0000624302596233</v>
      </c>
      <c r="V28" s="134" t="s">
        <v>61</v>
      </c>
      <c r="W28" s="18"/>
      <c r="X28" s="134" t="s">
        <v>62</v>
      </c>
    </row>
    <row r="29" spans="13:26" ht="28.9">
      <c r="M29" s="109" t="s">
        <v>14</v>
      </c>
      <c r="N29" s="74">
        <f>+U83</f>
        <v>631.67818528008922</v>
      </c>
      <c r="O29" s="101" t="s">
        <v>11</v>
      </c>
      <c r="P29" s="123">
        <f>+T83</f>
        <v>5684.7854286688653</v>
      </c>
      <c r="V29" s="135" t="s">
        <v>14</v>
      </c>
      <c r="W29" s="18"/>
      <c r="X29" s="135" t="s">
        <v>11</v>
      </c>
    </row>
    <row r="30" spans="13:26" ht="28.9">
      <c r="M30" s="120" t="s">
        <v>63</v>
      </c>
      <c r="N30" s="122">
        <f>+P29-N29</f>
        <v>5053.1072433887757</v>
      </c>
      <c r="O30" s="28"/>
      <c r="P30" s="30"/>
      <c r="V30" s="136" t="s">
        <v>63</v>
      </c>
      <c r="W30" s="18"/>
      <c r="X30" s="138"/>
    </row>
    <row r="31" spans="13:26">
      <c r="M31" s="18"/>
      <c r="U31" s="76"/>
    </row>
    <row r="32" spans="13:26" ht="18">
      <c r="M32" s="139" t="s">
        <v>64</v>
      </c>
      <c r="N32" s="140"/>
      <c r="O32" s="140"/>
      <c r="P32" s="140"/>
      <c r="Q32" s="140"/>
      <c r="R32" s="140"/>
      <c r="S32" s="141"/>
      <c r="V32" s="90" t="s">
        <v>65</v>
      </c>
      <c r="W32" s="91"/>
      <c r="X32" s="91"/>
      <c r="Y32" s="91"/>
      <c r="Z32" s="91"/>
    </row>
    <row r="33" spans="1:56" ht="43.15">
      <c r="M33" s="130" t="s">
        <v>17</v>
      </c>
      <c r="N33" s="86" t="s">
        <v>18</v>
      </c>
      <c r="O33" s="131" t="s">
        <v>19</v>
      </c>
      <c r="P33" s="86" t="s">
        <v>20</v>
      </c>
      <c r="Q33" s="131" t="s">
        <v>66</v>
      </c>
      <c r="R33" s="86" t="s">
        <v>67</v>
      </c>
      <c r="S33" s="132" t="s">
        <v>68</v>
      </c>
      <c r="V33" s="130" t="s">
        <v>17</v>
      </c>
      <c r="W33" s="86" t="s">
        <v>18</v>
      </c>
      <c r="X33" s="131" t="s">
        <v>19</v>
      </c>
      <c r="Y33" s="86" t="s">
        <v>20</v>
      </c>
      <c r="Z33" s="132" t="s">
        <v>66</v>
      </c>
      <c r="AA33" s="137" t="s">
        <v>69</v>
      </c>
    </row>
    <row r="34" spans="1:56">
      <c r="M34" s="124" t="s">
        <v>23</v>
      </c>
      <c r="N34" s="47" t="s">
        <v>3</v>
      </c>
      <c r="O34" s="47" t="s">
        <v>24</v>
      </c>
      <c r="P34" s="79">
        <f>SUM(R47:R48)</f>
        <v>1218.0052425989584</v>
      </c>
      <c r="Q34" s="128">
        <f>+P34-P9</f>
        <v>-140.99475740104162</v>
      </c>
      <c r="R34" s="79">
        <f>+P34-Q9</f>
        <v>-820.49475740104162</v>
      </c>
      <c r="S34" s="129">
        <f>+P34-R9</f>
        <v>1168.0052425989584</v>
      </c>
      <c r="AA34" t="s">
        <v>70</v>
      </c>
    </row>
    <row r="35" spans="1:56">
      <c r="M35" s="124" t="s">
        <v>25</v>
      </c>
      <c r="N35" s="47" t="s">
        <v>3</v>
      </c>
      <c r="O35" s="47" t="s">
        <v>24</v>
      </c>
      <c r="P35" s="74">
        <f>SUM(R49:R51)</f>
        <v>1039.1465316331617</v>
      </c>
      <c r="Q35" s="67">
        <f>+P35-P10</f>
        <v>-604.85346836683834</v>
      </c>
      <c r="R35" s="74">
        <f>+P35-Q10</f>
        <v>-1426.8534683668383</v>
      </c>
      <c r="S35" s="119">
        <f>+P35-R10</f>
        <v>989.14653163316166</v>
      </c>
    </row>
    <row r="36" spans="1:56">
      <c r="M36" s="124" t="s">
        <v>26</v>
      </c>
      <c r="N36" s="47" t="s">
        <v>3</v>
      </c>
      <c r="O36" s="47" t="s">
        <v>24</v>
      </c>
      <c r="P36" s="74">
        <f>SUM(R52:R54)</f>
        <v>979.86158929494934</v>
      </c>
      <c r="Q36" s="67">
        <f>+P36-P11</f>
        <v>52.86158929494934</v>
      </c>
      <c r="R36" s="74">
        <f>+P36-Q11</f>
        <v>-410.63841070505066</v>
      </c>
      <c r="S36" s="119">
        <f>+P36-R11</f>
        <v>929.86158929494934</v>
      </c>
    </row>
    <row r="37" spans="1:56">
      <c r="M37" s="124" t="s">
        <v>27</v>
      </c>
      <c r="N37" s="47" t="s">
        <v>3</v>
      </c>
      <c r="O37" s="47" t="s">
        <v>24</v>
      </c>
      <c r="P37" s="74">
        <f>SUM(R55:R56)</f>
        <v>1307.5915188794165</v>
      </c>
      <c r="Q37" s="67">
        <f>+P37-P12</f>
        <v>396.59151887941653</v>
      </c>
      <c r="R37" s="74">
        <f>+P37-Q12</f>
        <v>-58.908481120583474</v>
      </c>
      <c r="S37" s="119">
        <f>+P37-R12</f>
        <v>1257.5915188794165</v>
      </c>
    </row>
    <row r="38" spans="1:56">
      <c r="M38" s="124" t="s">
        <v>28</v>
      </c>
      <c r="N38" s="47" t="s">
        <v>3</v>
      </c>
      <c r="O38" s="47" t="s">
        <v>24</v>
      </c>
      <c r="P38" s="74">
        <f>SUM(R57:R58)</f>
        <v>1140.5354488925939</v>
      </c>
      <c r="Q38" s="67">
        <f>+P38-P13</f>
        <v>-135.46455110740612</v>
      </c>
      <c r="R38" s="74">
        <f>+P38-Q13</f>
        <v>-773.46455110740612</v>
      </c>
      <c r="S38" s="119">
        <f>+P38-R13</f>
        <v>1090.5354488925939</v>
      </c>
    </row>
    <row r="39" spans="1:56">
      <c r="M39" s="124" t="s">
        <v>29</v>
      </c>
      <c r="N39" s="47" t="s">
        <v>3</v>
      </c>
      <c r="O39" s="47" t="s">
        <v>30</v>
      </c>
      <c r="P39" s="74">
        <f>+T47+T49+T53</f>
        <v>2057.8983436498033</v>
      </c>
      <c r="Q39" s="67">
        <f>+P39-P14</f>
        <v>-488.10165635019666</v>
      </c>
      <c r="R39" s="74">
        <f>+P39-Q14</f>
        <v>-1761.1016563501967</v>
      </c>
      <c r="S39" s="119">
        <f>+P39-R14</f>
        <v>1957.8983436498033</v>
      </c>
    </row>
    <row r="40" spans="1:56">
      <c r="M40" s="124" t="s">
        <v>31</v>
      </c>
      <c r="N40" s="47" t="s">
        <v>3</v>
      </c>
      <c r="O40" s="47" t="s">
        <v>30</v>
      </c>
      <c r="P40" s="74">
        <f>+T48+T52+T55</f>
        <v>1004.872048190368</v>
      </c>
      <c r="Q40" s="67">
        <f>+P40-P15</f>
        <v>409.87204819036799</v>
      </c>
      <c r="R40" s="74">
        <f>+P40-Q15</f>
        <v>112.37204819036799</v>
      </c>
      <c r="S40" s="119">
        <f>+P40-R15</f>
        <v>904.87204819036799</v>
      </c>
    </row>
    <row r="41" spans="1:56">
      <c r="M41" s="124" t="s">
        <v>32</v>
      </c>
      <c r="N41" s="47" t="s">
        <v>3</v>
      </c>
      <c r="O41" s="47" t="s">
        <v>30</v>
      </c>
      <c r="P41" s="74">
        <f>+T50+T58</f>
        <v>1194.4085215469663</v>
      </c>
      <c r="Q41" s="67">
        <f>+P41-P16</f>
        <v>-199.59147845303369</v>
      </c>
      <c r="R41" s="74">
        <f>+P41-Q16</f>
        <v>-896.59147845303369</v>
      </c>
      <c r="S41" s="119">
        <f>+P41-R16</f>
        <v>1094.4085215469663</v>
      </c>
    </row>
    <row r="42" spans="1:56">
      <c r="M42" s="125" t="s">
        <v>33</v>
      </c>
      <c r="N42" s="126" t="s">
        <v>3</v>
      </c>
      <c r="O42" s="126" t="s">
        <v>30</v>
      </c>
      <c r="P42" s="122">
        <f>+T51+T54+T56+T57</f>
        <v>1427.6065152817273</v>
      </c>
      <c r="Q42" s="121">
        <f>+P42-P17</f>
        <v>-124.3934847182727</v>
      </c>
      <c r="R42" s="122">
        <f>+P42-Q17</f>
        <v>-900.3934847182727</v>
      </c>
      <c r="S42" s="127">
        <f>+P42-R17</f>
        <v>1327.6065152817273</v>
      </c>
    </row>
    <row r="43" spans="1:56">
      <c r="M43" s="3"/>
    </row>
    <row r="44" spans="1:56">
      <c r="E44" s="4"/>
    </row>
    <row r="45" spans="1:56" ht="45" customHeight="1">
      <c r="B45" s="142" t="s">
        <v>71</v>
      </c>
      <c r="C45" s="142"/>
      <c r="D45" s="142"/>
      <c r="E45" s="142"/>
      <c r="F45" s="142"/>
      <c r="G45" s="142"/>
      <c r="H45" s="142"/>
      <c r="I45" s="142"/>
      <c r="J45" s="142"/>
      <c r="L45" s="149" t="s">
        <v>72</v>
      </c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45"/>
      <c r="Y45" s="45"/>
      <c r="AD45" s="148"/>
      <c r="AE45" s="148"/>
      <c r="AF45" s="148"/>
      <c r="AG45" s="148"/>
      <c r="AH45" s="148"/>
      <c r="AI45" s="148"/>
      <c r="AJ45" s="148"/>
      <c r="AK45" s="148"/>
      <c r="AL45" s="148"/>
    </row>
    <row r="46" spans="1:56" ht="57.6"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H46" t="s">
        <v>79</v>
      </c>
      <c r="I46" t="s">
        <v>80</v>
      </c>
      <c r="J46" t="s">
        <v>81</v>
      </c>
      <c r="L46" s="19" t="s">
        <v>82</v>
      </c>
      <c r="M46" s="19" t="s">
        <v>83</v>
      </c>
      <c r="N46" s="19" t="s">
        <v>84</v>
      </c>
      <c r="O46" s="47" t="str">
        <f>IF(P20=Sheet2!B3,Sheet2!B3,IF(P20=Sheet2!B4, Sheet2!B4, Sheet2!B2))</f>
        <v>IE</v>
      </c>
      <c r="P46" s="3" t="s">
        <v>85</v>
      </c>
      <c r="Q46" s="3" t="s">
        <v>86</v>
      </c>
      <c r="R46" s="19" t="s">
        <v>87</v>
      </c>
      <c r="S46" s="19" t="s">
        <v>88</v>
      </c>
      <c r="T46" s="19" t="s">
        <v>89</v>
      </c>
      <c r="U46" s="19" t="s">
        <v>90</v>
      </c>
      <c r="V46" s="19" t="s">
        <v>91</v>
      </c>
      <c r="W46" s="19" t="s">
        <v>92</v>
      </c>
      <c r="X46" s="93" t="s">
        <v>93</v>
      </c>
      <c r="Y46" s="93" t="s">
        <v>94</v>
      </c>
      <c r="Z46" s="93" t="s">
        <v>95</v>
      </c>
      <c r="AA46" s="93" t="s">
        <v>96</v>
      </c>
      <c r="AB46" s="93" t="s">
        <v>97</v>
      </c>
      <c r="AC46" s="42"/>
      <c r="AR46" s="46"/>
      <c r="AS46" s="46"/>
      <c r="AT46" s="46"/>
      <c r="AU46" s="48"/>
      <c r="AV46" s="3"/>
      <c r="AW46" s="3"/>
      <c r="AX46" s="3"/>
      <c r="AY46" s="19"/>
      <c r="BA46" s="3"/>
      <c r="BB46" s="19"/>
      <c r="BC46" s="19"/>
      <c r="BD46" s="18"/>
    </row>
    <row r="47" spans="1:56" s="14" customFormat="1">
      <c r="A47"/>
      <c r="B47" s="71" t="s">
        <v>98</v>
      </c>
      <c r="C47" s="71" t="s">
        <v>29</v>
      </c>
      <c r="D47" s="65">
        <v>0.96</v>
      </c>
      <c r="E47" s="65">
        <v>0.49</v>
      </c>
      <c r="F47" s="72">
        <v>0.05</v>
      </c>
      <c r="G47" s="72">
        <v>5.5500000000000001E-2</v>
      </c>
      <c r="H47" s="72">
        <v>1.0160552237648337</v>
      </c>
      <c r="I47" s="73">
        <v>1310</v>
      </c>
      <c r="J47" s="73">
        <v>1289.3</v>
      </c>
      <c r="K47" s="31"/>
      <c r="L47" s="67">
        <f>F47*J47</f>
        <v>64.465000000000003</v>
      </c>
      <c r="M47" s="67">
        <f>G47*I47</f>
        <v>72.704999999999998</v>
      </c>
      <c r="N47" s="66">
        <f>G47/$G$86</f>
        <v>5.5500000000000001E-2</v>
      </c>
      <c r="O47" s="68">
        <f t="shared" ref="O47:O58" si="1">+F47</f>
        <v>0.05</v>
      </c>
      <c r="P47" s="66">
        <f>IF(O47&gt;$N$24,MIN(1,(O47-$N$24)/($N$23-$N$24)),MIN(1,($N$24-O47)/($N$24-$N$22)))</f>
        <v>0.38123419241516643</v>
      </c>
      <c r="Q47" s="69">
        <f>IF(O47&gt;$N$24,1+$R$23*POWER(P47,$P$24),1+$R$22*POWER(P47,$P$24))</f>
        <v>0.85466049053355586</v>
      </c>
      <c r="R47" s="67">
        <f t="shared" ref="R47:R82" si="2">+Q47*I47</f>
        <v>1119.6052425989583</v>
      </c>
      <c r="S47" s="67">
        <f t="shared" ref="S47:S58" si="3">+R47-I47</f>
        <v>-190.39475740104172</v>
      </c>
      <c r="T47" s="67">
        <f t="shared" ref="T47:T82" si="4">+Q47*J47</f>
        <v>1101.9137704449136</v>
      </c>
      <c r="U47" s="67">
        <f t="shared" ref="U47:U82" si="5">+Q47*L47</f>
        <v>55.09568852224568</v>
      </c>
      <c r="V47" s="67">
        <f>+U47-L47</f>
        <v>-9.3693114777543229</v>
      </c>
      <c r="W47" s="67">
        <f t="shared" ref="W47:W58" si="6">+(T47-U47)-(J47-L47)</f>
        <v>-178.01691807733209</v>
      </c>
      <c r="X47" s="94">
        <f t="shared" ref="X47:X58" si="7">+R47/T47</f>
        <v>1.0160552237648337</v>
      </c>
      <c r="Y47" s="95">
        <f t="shared" ref="Y47:Y58" si="8">+J47+S47</f>
        <v>1098.9052425989582</v>
      </c>
      <c r="Z47" s="96">
        <f>+R47/Y47</f>
        <v>1.0188369289703665</v>
      </c>
      <c r="AA47" s="96">
        <f>+T47/SUM($T$47:$T$48)</f>
        <v>0.91527632418200078</v>
      </c>
      <c r="AB47" s="96">
        <f>+Y47/SUM($Y$47:$Y$48)</f>
        <v>0.91643769333972291</v>
      </c>
      <c r="AC47" s="31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 s="34"/>
      <c r="AS47" s="20"/>
      <c r="AT47" s="34"/>
      <c r="AU47" s="20"/>
      <c r="AV47" s="21"/>
      <c r="AW47" s="21"/>
      <c r="AX47" s="21"/>
      <c r="AY47" s="20"/>
      <c r="BA47" s="147"/>
      <c r="BB47" s="20"/>
      <c r="BC47" s="20"/>
    </row>
    <row r="48" spans="1:56" s="14" customFormat="1">
      <c r="A48"/>
      <c r="B48" s="71" t="s">
        <v>98</v>
      </c>
      <c r="C48" s="71" t="s">
        <v>31</v>
      </c>
      <c r="D48" s="65">
        <v>0.04</v>
      </c>
      <c r="E48" s="65">
        <v>0.09</v>
      </c>
      <c r="F48" s="72">
        <v>0.28699999999999998</v>
      </c>
      <c r="G48" s="72">
        <v>0.72</v>
      </c>
      <c r="H48" s="72">
        <v>0.96470588235294119</v>
      </c>
      <c r="I48" s="73">
        <v>49.2</v>
      </c>
      <c r="J48" s="73">
        <v>51</v>
      </c>
      <c r="K48" s="31"/>
      <c r="L48" s="67">
        <f>F48*J48</f>
        <v>14.636999999999999</v>
      </c>
      <c r="M48" s="67">
        <f>G48*I48</f>
        <v>35.423999999999999</v>
      </c>
      <c r="N48" s="66">
        <f>G48/$G$86</f>
        <v>0.72</v>
      </c>
      <c r="O48" s="68">
        <f t="shared" si="1"/>
        <v>0.28699999999999998</v>
      </c>
      <c r="P48" s="66">
        <f>IF(O48&gt;$N$24,MIN(1,(O48-$N$24)/($N$23-$N$24)),MIN(1,($N$24-O48)/($N$24-$N$22)))</f>
        <v>1</v>
      </c>
      <c r="Q48" s="69">
        <f>IF(O48&gt;$N$24,1+$R$23*POWER(P48,$P$24),1+$R$22*POWER(P48,$P$24))</f>
        <v>2</v>
      </c>
      <c r="R48" s="67">
        <f t="shared" si="2"/>
        <v>98.4</v>
      </c>
      <c r="S48" s="67">
        <f t="shared" si="3"/>
        <v>49.2</v>
      </c>
      <c r="T48" s="67">
        <f t="shared" si="4"/>
        <v>102</v>
      </c>
      <c r="U48" s="67">
        <f t="shared" si="5"/>
        <v>29.273999999999997</v>
      </c>
      <c r="V48" s="67">
        <f t="shared" ref="V48:W83" si="9">+U48-L48</f>
        <v>14.636999999999999</v>
      </c>
      <c r="W48" s="67">
        <f t="shared" si="6"/>
        <v>36.363</v>
      </c>
      <c r="X48" s="94">
        <f t="shared" si="7"/>
        <v>0.96470588235294119</v>
      </c>
      <c r="Y48" s="95">
        <f t="shared" si="8"/>
        <v>100.2</v>
      </c>
      <c r="Z48" s="96">
        <f t="shared" ref="Z48:Z58" si="10">+R48/Y48</f>
        <v>0.98203592814371266</v>
      </c>
      <c r="AA48" s="96">
        <f>+T48/SUM($T$47:$T$48)</f>
        <v>8.4723675817999236E-2</v>
      </c>
      <c r="AB48" s="96">
        <f>+Y48/SUM($Y$47:$Y$48)</f>
        <v>8.3562306660277003E-2</v>
      </c>
      <c r="AC48" s="31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20"/>
      <c r="AS48" s="20"/>
      <c r="AT48" s="34"/>
      <c r="AU48" s="20"/>
      <c r="AV48" s="21"/>
      <c r="AW48" s="21"/>
      <c r="AX48" s="21"/>
      <c r="AY48" s="20"/>
      <c r="BA48" s="147"/>
    </row>
    <row r="49" spans="1:56" s="22" customFormat="1">
      <c r="A49"/>
      <c r="B49" s="71" t="s">
        <v>99</v>
      </c>
      <c r="C49" s="71" t="s">
        <v>29</v>
      </c>
      <c r="D49" s="65">
        <v>0.72</v>
      </c>
      <c r="E49" s="65">
        <v>0.45</v>
      </c>
      <c r="F49" s="72">
        <v>3.4000000000000002E-2</v>
      </c>
      <c r="G49" s="72">
        <v>5.4600000000000003E-2</v>
      </c>
      <c r="H49" s="72">
        <v>1.0114863706497514</v>
      </c>
      <c r="I49" s="73">
        <v>1180</v>
      </c>
      <c r="J49" s="73">
        <v>1166.5999999999999</v>
      </c>
      <c r="K49" s="31"/>
      <c r="L49" s="67">
        <f>F49*J49</f>
        <v>39.664400000000001</v>
      </c>
      <c r="M49" s="67">
        <f>G49*I49</f>
        <v>64.427999999999997</v>
      </c>
      <c r="N49" s="66">
        <f>G49/$G$86</f>
        <v>5.4600000000000003E-2</v>
      </c>
      <c r="O49" s="68">
        <f t="shared" si="1"/>
        <v>3.4000000000000002E-2</v>
      </c>
      <c r="P49" s="66">
        <f>IF(O49&gt;$N$24,MIN(1,(O49-$N$24)/($N$23-$N$24)),MIN(1,($N$24-O49)/($N$24-$N$22)))</f>
        <v>0.5792392508423132</v>
      </c>
      <c r="Q49" s="69">
        <f>IF(O49&gt;$N$24,1+$R$23*POWER(P49,$P$24),1+$R$22*POWER(P49,$P$24))</f>
        <v>0.6644818902836358</v>
      </c>
      <c r="R49" s="67">
        <f t="shared" si="2"/>
        <v>784.0886305346902</v>
      </c>
      <c r="S49" s="67">
        <f t="shared" si="3"/>
        <v>-395.9113694653098</v>
      </c>
      <c r="T49" s="67">
        <f t="shared" si="4"/>
        <v>775.18457320488949</v>
      </c>
      <c r="U49" s="67">
        <f t="shared" si="5"/>
        <v>26.356275488966244</v>
      </c>
      <c r="V49" s="67">
        <f t="shared" si="9"/>
        <v>-13.308124511033757</v>
      </c>
      <c r="W49" s="67">
        <f t="shared" si="6"/>
        <v>-378.10730228407658</v>
      </c>
      <c r="X49" s="94">
        <f t="shared" si="7"/>
        <v>1.0114863706497514</v>
      </c>
      <c r="Y49" s="95">
        <f t="shared" si="8"/>
        <v>770.68863053469011</v>
      </c>
      <c r="Z49" s="96">
        <f t="shared" si="10"/>
        <v>1.0173870477247127</v>
      </c>
      <c r="AA49" s="96">
        <f>+T49/SUM($T$49:$T$51)</f>
        <v>0.75557825698897485</v>
      </c>
      <c r="AB49" s="96">
        <f>+Y49/SUM($Y$49:$Y$51)</f>
        <v>0.7570789763672231</v>
      </c>
      <c r="AC49" s="31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 s="26"/>
      <c r="AS49" s="23"/>
      <c r="AT49" s="26"/>
      <c r="AU49" s="23"/>
      <c r="AV49" s="24"/>
      <c r="AW49" s="24"/>
      <c r="AX49" s="24"/>
      <c r="AY49" s="23"/>
      <c r="BA49" s="146"/>
      <c r="BB49" s="23"/>
      <c r="BC49" s="23"/>
      <c r="BD49"/>
    </row>
    <row r="50" spans="1:56" s="22" customFormat="1">
      <c r="A50"/>
      <c r="B50" s="71" t="s">
        <v>99</v>
      </c>
      <c r="C50" s="71" t="s">
        <v>32</v>
      </c>
      <c r="D50" s="65">
        <v>0.27</v>
      </c>
      <c r="E50" s="65">
        <v>0.57999999999999996</v>
      </c>
      <c r="F50" s="72">
        <v>2.35E-2</v>
      </c>
      <c r="G50" s="72">
        <v>9.2599999999999991E-3</v>
      </c>
      <c r="H50" s="72">
        <v>1.0169722892114483</v>
      </c>
      <c r="I50" s="73">
        <v>447</v>
      </c>
      <c r="J50" s="73">
        <v>439.54</v>
      </c>
      <c r="K50" s="31"/>
      <c r="L50" s="67">
        <f>F50*J50</f>
        <v>10.329190000000001</v>
      </c>
      <c r="M50" s="67">
        <f>G50*I50</f>
        <v>4.1392199999999999</v>
      </c>
      <c r="N50" s="66">
        <f>G50/$G$86</f>
        <v>9.2599999999999991E-3</v>
      </c>
      <c r="O50" s="68">
        <f t="shared" si="1"/>
        <v>2.35E-2</v>
      </c>
      <c r="P50" s="66">
        <f>IF(O50&gt;$N$24,MIN(1,(O50-$N$24)/($N$23-$N$24)),MIN(1,($N$24-O50)/($N$24-$N$22)))</f>
        <v>0.70918007043512821</v>
      </c>
      <c r="Q50" s="69">
        <f>IF(O50&gt;$N$24,1+$R$23*POWER(P50,$P$24),1+$R$22*POWER(P50,$P$24))</f>
        <v>0.49706362769762658</v>
      </c>
      <c r="R50" s="67">
        <f t="shared" si="2"/>
        <v>222.18744158083908</v>
      </c>
      <c r="S50" s="67">
        <f t="shared" si="3"/>
        <v>-224.81255841916092</v>
      </c>
      <c r="T50" s="67">
        <f t="shared" si="4"/>
        <v>218.47934691821479</v>
      </c>
      <c r="U50" s="67">
        <f t="shared" si="5"/>
        <v>5.1342646525780475</v>
      </c>
      <c r="V50" s="67">
        <f t="shared" si="9"/>
        <v>-5.194925347421953</v>
      </c>
      <c r="W50" s="67">
        <f t="shared" si="6"/>
        <v>-215.8657277343633</v>
      </c>
      <c r="X50" s="94">
        <f t="shared" si="7"/>
        <v>1.0169722892114483</v>
      </c>
      <c r="Y50" s="95">
        <f t="shared" si="8"/>
        <v>214.7274415808391</v>
      </c>
      <c r="Z50" s="96">
        <f t="shared" si="10"/>
        <v>1.0347417169649065</v>
      </c>
      <c r="AA50" s="96">
        <f>+T50/SUM($T$49:$T$51)</f>
        <v>0.21295346919774469</v>
      </c>
      <c r="AB50" s="96">
        <f t="shared" ref="AB50:AB51" si="11">+Y50/SUM($Y$49:$Y$51)</f>
        <v>0.21093555195849875</v>
      </c>
      <c r="AC50" s="31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 s="26"/>
      <c r="AS50" s="23"/>
      <c r="AT50" s="26"/>
      <c r="AU50" s="23"/>
      <c r="AV50" s="24"/>
      <c r="AW50" s="24"/>
      <c r="AX50" s="24"/>
      <c r="AY50" s="23"/>
      <c r="BA50" s="146"/>
    </row>
    <row r="51" spans="1:56" s="22" customFormat="1">
      <c r="A51"/>
      <c r="B51" s="71" t="s">
        <v>99</v>
      </c>
      <c r="C51" s="71" t="s">
        <v>33</v>
      </c>
      <c r="D51" s="65">
        <v>0.01</v>
      </c>
      <c r="E51" s="65">
        <v>0</v>
      </c>
      <c r="F51" s="72">
        <v>0.157</v>
      </c>
      <c r="G51" s="72">
        <v>1</v>
      </c>
      <c r="H51" s="72">
        <v>1.0181392627267407</v>
      </c>
      <c r="I51" s="73">
        <v>17.399999999999999</v>
      </c>
      <c r="J51" s="73">
        <v>17.09</v>
      </c>
      <c r="K51" s="32"/>
      <c r="L51" s="67">
        <f>F51*J51</f>
        <v>2.6831299999999998</v>
      </c>
      <c r="M51" s="67">
        <f>G51*I51</f>
        <v>17.399999999999999</v>
      </c>
      <c r="N51" s="66">
        <f>G51/$G$86</f>
        <v>1</v>
      </c>
      <c r="O51" s="68">
        <f t="shared" si="1"/>
        <v>0.157</v>
      </c>
      <c r="P51" s="66">
        <f>IF(O51&gt;$N$24,MIN(1,(O51-$N$24)/($N$23-$N$24)),MIN(1,($N$24-O51)/($N$24-$N$22)))</f>
        <v>0.94292463581637742</v>
      </c>
      <c r="Q51" s="69">
        <f>IF(O51&gt;$N$24,1+$R$23*POWER(P51,$P$24),1+$R$22*POWER(P51,$P$24))</f>
        <v>1.8891068688294479</v>
      </c>
      <c r="R51" s="67">
        <f t="shared" si="2"/>
        <v>32.870459517632391</v>
      </c>
      <c r="S51" s="67">
        <f t="shared" si="3"/>
        <v>15.470459517632392</v>
      </c>
      <c r="T51" s="67">
        <f t="shared" si="4"/>
        <v>32.284836388295261</v>
      </c>
      <c r="U51" s="67">
        <f t="shared" si="5"/>
        <v>5.0687193129623562</v>
      </c>
      <c r="V51" s="67">
        <f t="shared" si="9"/>
        <v>2.3855893129623564</v>
      </c>
      <c r="W51" s="67">
        <f t="shared" si="6"/>
        <v>12.809247075332904</v>
      </c>
      <c r="X51" s="94">
        <f t="shared" si="7"/>
        <v>1.0181392627267407</v>
      </c>
      <c r="Y51" s="95">
        <f t="shared" si="8"/>
        <v>32.560459517632395</v>
      </c>
      <c r="Z51" s="96">
        <f t="shared" si="10"/>
        <v>1.0095207501550192</v>
      </c>
      <c r="AA51" s="96">
        <f>+T51/SUM($T$49:$T$51)</f>
        <v>3.1468273813280399E-2</v>
      </c>
      <c r="AB51" s="96">
        <f t="shared" si="11"/>
        <v>3.1985471674278142E-2</v>
      </c>
      <c r="AC51" s="3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 s="15"/>
      <c r="AS51" s="23"/>
      <c r="AT51" s="26"/>
      <c r="AU51" s="23"/>
      <c r="AV51" s="24"/>
      <c r="AW51" s="24"/>
      <c r="AY51" s="23"/>
      <c r="BA51" s="146"/>
    </row>
    <row r="52" spans="1:56" s="14" customFormat="1">
      <c r="A52"/>
      <c r="B52" s="71" t="s">
        <v>26</v>
      </c>
      <c r="C52" s="71" t="s">
        <v>31</v>
      </c>
      <c r="D52" s="65">
        <v>0.16</v>
      </c>
      <c r="E52" s="65">
        <v>0.17</v>
      </c>
      <c r="F52" s="72">
        <v>4.3700000000000003E-2</v>
      </c>
      <c r="G52" s="72">
        <v>0.111</v>
      </c>
      <c r="H52" s="72">
        <v>0.97930404126134374</v>
      </c>
      <c r="I52" s="73">
        <v>150</v>
      </c>
      <c r="J52" s="73">
        <v>153.16999999999999</v>
      </c>
      <c r="K52" s="31"/>
      <c r="L52" s="67">
        <f>F52*J52</f>
        <v>6.6935289999999998</v>
      </c>
      <c r="M52" s="67">
        <f>G52*I52</f>
        <v>16.649999999999999</v>
      </c>
      <c r="N52" s="66">
        <f>G52/$G$86</f>
        <v>0.111</v>
      </c>
      <c r="O52" s="68">
        <f t="shared" si="1"/>
        <v>4.3700000000000003E-2</v>
      </c>
      <c r="P52" s="66">
        <f>IF(O52&gt;$N$24,MIN(1,(O52-$N$24)/($N$23-$N$24)),MIN(1,($N$24-O52)/($N$24-$N$22)))</f>
        <v>0.45919868417085546</v>
      </c>
      <c r="Q52" s="69">
        <f>IF(O52&gt;$N$24,1+$R$23*POWER(P52,$P$24),1+$R$22*POWER(P52,$P$24))</f>
        <v>0.78913656845575497</v>
      </c>
      <c r="R52" s="67">
        <f t="shared" si="2"/>
        <v>118.37048526836324</v>
      </c>
      <c r="S52" s="67">
        <f t="shared" si="3"/>
        <v>-31.62951473163676</v>
      </c>
      <c r="T52" s="67">
        <f t="shared" si="4"/>
        <v>120.87204819036798</v>
      </c>
      <c r="U52" s="67">
        <f t="shared" si="5"/>
        <v>5.2821085059190809</v>
      </c>
      <c r="V52" s="67">
        <f t="shared" si="9"/>
        <v>-1.411420494080919</v>
      </c>
      <c r="W52" s="67">
        <f t="shared" si="6"/>
        <v>-30.886531315551082</v>
      </c>
      <c r="X52" s="94">
        <f t="shared" si="7"/>
        <v>0.97930404126134363</v>
      </c>
      <c r="Y52" s="95">
        <f t="shared" si="8"/>
        <v>121.54048526836323</v>
      </c>
      <c r="Z52" s="96">
        <f t="shared" si="10"/>
        <v>0.97391815580626839</v>
      </c>
      <c r="AA52" s="96">
        <f>+T52/SUM($T$52:$T$54)</f>
        <v>0.12041939622146838</v>
      </c>
      <c r="AB52" s="96">
        <f>+Y52/SUM($Y$52:$Y$54)</f>
        <v>0.1217314101151287</v>
      </c>
      <c r="AC52" s="31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 s="34"/>
      <c r="AS52" s="20"/>
      <c r="AT52" s="34"/>
      <c r="AU52" s="20"/>
      <c r="AV52" s="21"/>
      <c r="AW52" s="21"/>
      <c r="AX52" s="21"/>
      <c r="AY52" s="20"/>
      <c r="BA52" s="147"/>
      <c r="BB52" s="20"/>
      <c r="BC52" s="20"/>
    </row>
    <row r="53" spans="1:56" s="14" customFormat="1">
      <c r="A53"/>
      <c r="B53" s="71" t="s">
        <v>26</v>
      </c>
      <c r="C53" s="71" t="s">
        <v>29</v>
      </c>
      <c r="D53" s="65">
        <v>0.09</v>
      </c>
      <c r="E53" s="65">
        <v>0.06</v>
      </c>
      <c r="F53" s="72">
        <v>0.32</v>
      </c>
      <c r="G53" s="72">
        <v>0.11600000000000001</v>
      </c>
      <c r="H53" s="72">
        <v>0.9336283185840708</v>
      </c>
      <c r="I53" s="73">
        <v>84.4</v>
      </c>
      <c r="J53" s="73">
        <v>90.4</v>
      </c>
      <c r="K53" s="31"/>
      <c r="L53" s="67">
        <f>F53*J53</f>
        <v>28.928000000000001</v>
      </c>
      <c r="M53" s="67">
        <f>G53*I53</f>
        <v>9.7904000000000018</v>
      </c>
      <c r="N53" s="66">
        <f>G53/$G$86</f>
        <v>0.11600000000000001</v>
      </c>
      <c r="O53" s="68">
        <f t="shared" si="1"/>
        <v>0.32</v>
      </c>
      <c r="P53" s="66">
        <f>IF(O53&gt;$N$24,MIN(1,(O53-$N$24)/($N$23-$N$24)),MIN(1,($N$24-O53)/($N$24-$N$22)))</f>
        <v>1</v>
      </c>
      <c r="Q53" s="69">
        <f>IF(O53&gt;$N$24,1+$R$23*POWER(P53,$P$24),1+$R$22*POWER(P53,$P$24))</f>
        <v>2</v>
      </c>
      <c r="R53" s="67">
        <f t="shared" si="2"/>
        <v>168.8</v>
      </c>
      <c r="S53" s="67">
        <f t="shared" si="3"/>
        <v>84.4</v>
      </c>
      <c r="T53" s="67">
        <f t="shared" si="4"/>
        <v>180.8</v>
      </c>
      <c r="U53" s="67">
        <f t="shared" si="5"/>
        <v>57.856000000000002</v>
      </c>
      <c r="V53" s="67">
        <f t="shared" si="9"/>
        <v>28.928000000000001</v>
      </c>
      <c r="W53" s="67">
        <f t="shared" si="6"/>
        <v>61.472000000000008</v>
      </c>
      <c r="X53" s="94">
        <f t="shared" si="7"/>
        <v>0.9336283185840708</v>
      </c>
      <c r="Y53" s="95">
        <f t="shared" si="8"/>
        <v>174.8</v>
      </c>
      <c r="Z53" s="96">
        <f t="shared" si="10"/>
        <v>0.96567505720823799</v>
      </c>
      <c r="AA53" s="96">
        <f>+T53/SUM($T$52:$T$54)</f>
        <v>0.18012292471913646</v>
      </c>
      <c r="AB53" s="96">
        <f t="shared" ref="AB53:AB54" si="12">+Y53/SUM($Y$52:$Y$54)</f>
        <v>0.17507458885934934</v>
      </c>
      <c r="AC53" s="31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 s="34"/>
      <c r="AS53" s="20"/>
      <c r="AT53" s="34"/>
      <c r="AU53" s="20"/>
      <c r="AV53" s="21"/>
      <c r="AW53" s="21"/>
      <c r="AX53" s="21"/>
      <c r="AY53" s="20"/>
      <c r="BA53" s="147"/>
    </row>
    <row r="54" spans="1:56" s="14" customFormat="1">
      <c r="A54"/>
      <c r="B54" s="71" t="s">
        <v>26</v>
      </c>
      <c r="C54" s="71" t="s">
        <v>33</v>
      </c>
      <c r="D54" s="65">
        <v>0.75</v>
      </c>
      <c r="E54" s="65">
        <v>0.32</v>
      </c>
      <c r="F54" s="72">
        <v>7.9100000000000004E-2</v>
      </c>
      <c r="G54" s="72">
        <v>1.4E-2</v>
      </c>
      <c r="H54" s="72">
        <v>0.98661731207289294</v>
      </c>
      <c r="I54" s="73">
        <v>693</v>
      </c>
      <c r="J54" s="73">
        <v>702.4</v>
      </c>
      <c r="K54" s="31"/>
      <c r="L54" s="67">
        <f>F54*J54</f>
        <v>55.559840000000001</v>
      </c>
      <c r="M54" s="67">
        <f>G54*I54</f>
        <v>9.702</v>
      </c>
      <c r="N54" s="66">
        <f>G54/$G$86</f>
        <v>1.4E-2</v>
      </c>
      <c r="O54" s="68">
        <f t="shared" si="1"/>
        <v>7.9100000000000004E-2</v>
      </c>
      <c r="P54" s="66">
        <f>IF(O54&gt;$N$24,MIN(1,(O54-$N$24)/($N$23-$N$24)),MIN(1,($N$24-O54)/($N$24-$N$22)))</f>
        <v>2.1112492400793274E-2</v>
      </c>
      <c r="Q54" s="69">
        <f>IF(O54&gt;$N$24,1+$R$23*POWER(P54,$P$24),1+$R$22*POWER(P54,$P$24))</f>
        <v>0.99955426266462644</v>
      </c>
      <c r="R54" s="67">
        <f t="shared" si="2"/>
        <v>692.69110402658612</v>
      </c>
      <c r="S54" s="67">
        <f t="shared" si="3"/>
        <v>-0.30889597341388253</v>
      </c>
      <c r="T54" s="67">
        <f t="shared" si="4"/>
        <v>702.08691409563357</v>
      </c>
      <c r="U54" s="67">
        <f t="shared" si="5"/>
        <v>55.535074904964617</v>
      </c>
      <c r="V54" s="67">
        <f t="shared" si="9"/>
        <v>-2.4765095035384377E-2</v>
      </c>
      <c r="W54" s="67">
        <f t="shared" si="6"/>
        <v>-0.28832080933102588</v>
      </c>
      <c r="X54" s="94">
        <f t="shared" si="7"/>
        <v>0.98661731207289294</v>
      </c>
      <c r="Y54" s="95">
        <f t="shared" si="8"/>
        <v>702.09110402658609</v>
      </c>
      <c r="Z54" s="96">
        <f t="shared" si="10"/>
        <v>0.98661142414981517</v>
      </c>
      <c r="AA54" s="96">
        <f>+T54/SUM($T$52:$T$54)</f>
        <v>0.69945767905939504</v>
      </c>
      <c r="AB54" s="96">
        <f t="shared" si="12"/>
        <v>0.70319400102552188</v>
      </c>
      <c r="AC54" s="31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 s="20"/>
      <c r="AS54" s="20"/>
      <c r="AT54" s="34"/>
      <c r="AU54" s="20"/>
      <c r="AV54" s="21"/>
      <c r="AW54" s="21"/>
      <c r="AX54" s="21"/>
      <c r="AY54" s="20"/>
      <c r="BA54" s="147"/>
    </row>
    <row r="55" spans="1:56" s="22" customFormat="1">
      <c r="A55"/>
      <c r="B55" s="71" t="s">
        <v>27</v>
      </c>
      <c r="C55" s="71" t="s">
        <v>31</v>
      </c>
      <c r="D55" s="65">
        <v>0.42</v>
      </c>
      <c r="E55" s="65">
        <v>0.74</v>
      </c>
      <c r="F55" s="72">
        <v>0.315</v>
      </c>
      <c r="G55" s="72">
        <v>0.27700000000000002</v>
      </c>
      <c r="H55" s="72">
        <v>0.96930946291560105</v>
      </c>
      <c r="I55" s="73">
        <v>379</v>
      </c>
      <c r="J55" s="73">
        <v>391</v>
      </c>
      <c r="K55" s="31"/>
      <c r="L55" s="67">
        <f>F55*J55</f>
        <v>123.16500000000001</v>
      </c>
      <c r="M55" s="67">
        <f>G55*I55</f>
        <v>104.983</v>
      </c>
      <c r="N55" s="66">
        <f>G55/$G$86</f>
        <v>0.27700000000000002</v>
      </c>
      <c r="O55" s="68">
        <f t="shared" si="1"/>
        <v>0.315</v>
      </c>
      <c r="P55" s="66">
        <f>IF(O55&gt;$N$24,MIN(1,(O55-$N$24)/($N$23-$N$24)),MIN(1,($N$24-O55)/($N$24-$N$22)))</f>
        <v>1</v>
      </c>
      <c r="Q55" s="69">
        <f>IF(O55&gt;$N$24,1+$R$23*POWER(P55,$P$24),1+$R$22*POWER(P55,$P$24))</f>
        <v>2</v>
      </c>
      <c r="R55" s="67">
        <f t="shared" si="2"/>
        <v>758</v>
      </c>
      <c r="S55" s="67">
        <f t="shared" si="3"/>
        <v>379</v>
      </c>
      <c r="T55" s="67">
        <f t="shared" si="4"/>
        <v>782</v>
      </c>
      <c r="U55" s="67">
        <f t="shared" si="5"/>
        <v>246.33</v>
      </c>
      <c r="V55" s="67">
        <f t="shared" si="9"/>
        <v>123.16500000000001</v>
      </c>
      <c r="W55" s="67">
        <f t="shared" si="6"/>
        <v>267.83499999999998</v>
      </c>
      <c r="X55" s="94">
        <f t="shared" si="7"/>
        <v>0.96930946291560105</v>
      </c>
      <c r="Y55" s="95">
        <f t="shared" si="8"/>
        <v>770</v>
      </c>
      <c r="Z55" s="96">
        <f t="shared" si="10"/>
        <v>0.98441558441558441</v>
      </c>
      <c r="AA55" s="96">
        <f>+T55/SUM($T$55:$T$56)</f>
        <v>0.59278587876883593</v>
      </c>
      <c r="AB55" s="96">
        <f>+Y55/SUM($Y$55:$Y$56)</f>
        <v>0.58886891577568257</v>
      </c>
      <c r="AC55" s="31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 s="26"/>
      <c r="AS55" s="23"/>
      <c r="AT55" s="26"/>
      <c r="AU55" s="23"/>
      <c r="AV55" s="24"/>
      <c r="AW55" s="24"/>
      <c r="AX55" s="24"/>
      <c r="AY55" s="23"/>
      <c r="BA55" s="146"/>
      <c r="BB55" s="23"/>
      <c r="BC55" s="23"/>
      <c r="BD55"/>
    </row>
    <row r="56" spans="1:56" s="22" customFormat="1">
      <c r="A56"/>
      <c r="B56" s="71" t="s">
        <v>27</v>
      </c>
      <c r="C56" s="71" t="s">
        <v>33</v>
      </c>
      <c r="D56" s="65">
        <v>0.57999999999999996</v>
      </c>
      <c r="E56" s="65">
        <v>0.24</v>
      </c>
      <c r="F56" s="72">
        <v>9.5500000000000002E-2</v>
      </c>
      <c r="G56" s="72">
        <v>0.112</v>
      </c>
      <c r="H56" s="72">
        <v>1.023076923076923</v>
      </c>
      <c r="I56" s="73">
        <v>532</v>
      </c>
      <c r="J56" s="73">
        <v>520</v>
      </c>
      <c r="K56" s="31"/>
      <c r="L56" s="67">
        <f>F56*J56</f>
        <v>49.660000000000004</v>
      </c>
      <c r="M56" s="67">
        <f>G56*I56</f>
        <v>59.584000000000003</v>
      </c>
      <c r="N56" s="66">
        <f>G56/$G$86</f>
        <v>0.112</v>
      </c>
      <c r="O56" s="68">
        <f t="shared" si="1"/>
        <v>9.5500000000000002E-2</v>
      </c>
      <c r="P56" s="66">
        <f>IF(O56&gt;$N$24,MIN(1,(O56-$N$24)/($N$23-$N$24)),MIN(1,($N$24-O56)/($N$24-$N$22)))</f>
        <v>0.18184269248703211</v>
      </c>
      <c r="Q56" s="69">
        <f>IF(O56&gt;$N$24,1+$R$23*POWER(P56,$P$24),1+$R$22*POWER(P56,$P$24))</f>
        <v>1.0330667648109333</v>
      </c>
      <c r="R56" s="67">
        <f t="shared" si="2"/>
        <v>549.59151887941653</v>
      </c>
      <c r="S56" s="67">
        <f t="shared" si="3"/>
        <v>17.591518879416526</v>
      </c>
      <c r="T56" s="67">
        <f t="shared" si="4"/>
        <v>537.19471770168536</v>
      </c>
      <c r="U56" s="67">
        <f t="shared" si="5"/>
        <v>51.302095540510948</v>
      </c>
      <c r="V56" s="67">
        <f t="shared" si="9"/>
        <v>1.6420955405109439</v>
      </c>
      <c r="W56" s="67">
        <f t="shared" si="6"/>
        <v>15.55262216117444</v>
      </c>
      <c r="X56" s="94">
        <f t="shared" si="7"/>
        <v>1.023076923076923</v>
      </c>
      <c r="Y56" s="95">
        <f t="shared" si="8"/>
        <v>537.59151887941653</v>
      </c>
      <c r="Z56" s="96">
        <f t="shared" si="10"/>
        <v>1.0223217807174738</v>
      </c>
      <c r="AA56" s="96">
        <f>+T56/SUM($T$55:$T$56)</f>
        <v>0.40721412123116402</v>
      </c>
      <c r="AB56" s="96">
        <f>+Y56/SUM($Y$55:$Y$56)</f>
        <v>0.41113108422431743</v>
      </c>
      <c r="AC56" s="31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 s="15"/>
      <c r="AS56" s="23"/>
      <c r="AT56" s="26"/>
      <c r="AU56" s="23"/>
      <c r="AV56" s="24"/>
      <c r="AW56" s="24"/>
      <c r="AX56" s="24"/>
      <c r="AY56" s="23"/>
      <c r="BA56" s="146"/>
    </row>
    <row r="57" spans="1:56" s="14" customFormat="1">
      <c r="A57"/>
      <c r="B57" s="71" t="s">
        <v>28</v>
      </c>
      <c r="C57" s="71" t="s">
        <v>33</v>
      </c>
      <c r="D57" s="65">
        <v>0.25</v>
      </c>
      <c r="E57" s="65">
        <v>0.42</v>
      </c>
      <c r="F57" s="72">
        <v>2.3599999999999999E-2</v>
      </c>
      <c r="G57" s="72">
        <v>1.8599999999999998E-2</v>
      </c>
      <c r="H57" s="72">
        <v>1.0037721373313726</v>
      </c>
      <c r="I57" s="73">
        <v>314</v>
      </c>
      <c r="J57" s="73">
        <v>312.82</v>
      </c>
      <c r="K57" s="31"/>
      <c r="L57" s="67">
        <f>F57*J57</f>
        <v>7.3825519999999996</v>
      </c>
      <c r="M57" s="67">
        <f>G57*I57</f>
        <v>5.8403999999999998</v>
      </c>
      <c r="N57" s="66">
        <f>G57/$G$86</f>
        <v>1.8599999999999998E-2</v>
      </c>
      <c r="O57" s="68">
        <f t="shared" si="1"/>
        <v>2.3599999999999999E-2</v>
      </c>
      <c r="P57" s="66">
        <f>IF(O57&gt;$N$24,MIN(1,(O57-$N$24)/($N$23-$N$24)),MIN(1,($N$24-O57)/($N$24-$N$22)))</f>
        <v>0.70794253881995861</v>
      </c>
      <c r="Q57" s="69">
        <f>IF(O57&gt;$N$24,1+$R$23*POWER(P57,$P$24),1+$R$22*POWER(P57,$P$24))</f>
        <v>0.49881736172915137</v>
      </c>
      <c r="R57" s="67">
        <f t="shared" si="2"/>
        <v>156.62865158295352</v>
      </c>
      <c r="S57" s="67">
        <f t="shared" si="3"/>
        <v>-157.37134841704648</v>
      </c>
      <c r="T57" s="67">
        <f t="shared" si="4"/>
        <v>156.04004709611311</v>
      </c>
      <c r="U57" s="67">
        <f t="shared" si="5"/>
        <v>3.6825451114682695</v>
      </c>
      <c r="V57" s="67">
        <f t="shared" si="9"/>
        <v>-3.7000068885317301</v>
      </c>
      <c r="W57" s="67">
        <f t="shared" si="6"/>
        <v>-153.07994601535518</v>
      </c>
      <c r="X57" s="94">
        <f t="shared" si="7"/>
        <v>1.0037721373313728</v>
      </c>
      <c r="Y57" s="95">
        <f t="shared" si="8"/>
        <v>155.44865158295352</v>
      </c>
      <c r="Z57" s="96">
        <f t="shared" si="10"/>
        <v>1.00759093107585</v>
      </c>
      <c r="AA57" s="96">
        <f>+T57/SUM($T$57:$T$58)</f>
        <v>0.13784831257014518</v>
      </c>
      <c r="AB57" s="96">
        <f>+Y57/SUM($Y$57:$Y$58)</f>
        <v>0.1373760797449958</v>
      </c>
      <c r="AC57" s="31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 s="34"/>
      <c r="AS57" s="20"/>
      <c r="AT57" s="34"/>
      <c r="AU57" s="20"/>
      <c r="AV57" s="21"/>
      <c r="AW57" s="21"/>
      <c r="AX57" s="21"/>
      <c r="AY57" s="20"/>
      <c r="BA57" s="147"/>
      <c r="BB57" s="20"/>
      <c r="BC57" s="20"/>
    </row>
    <row r="58" spans="1:56" s="14" customFormat="1">
      <c r="A58"/>
      <c r="B58" s="71" t="s">
        <v>28</v>
      </c>
      <c r="C58" s="71" t="s">
        <v>32</v>
      </c>
      <c r="D58" s="65">
        <v>0.75</v>
      </c>
      <c r="E58" s="65">
        <v>0.44</v>
      </c>
      <c r="F58" s="72">
        <v>9.2999999999999999E-2</v>
      </c>
      <c r="G58" s="72">
        <v>7.4399999999999994E-2</v>
      </c>
      <c r="H58" s="72">
        <v>1.0081743869209809</v>
      </c>
      <c r="I58" s="73">
        <v>962</v>
      </c>
      <c r="J58" s="73">
        <v>954.2</v>
      </c>
      <c r="K58" s="31"/>
      <c r="L58" s="67">
        <f>F58*J58</f>
        <v>88.740600000000001</v>
      </c>
      <c r="M58" s="67">
        <f>G58*I58</f>
        <v>71.572800000000001</v>
      </c>
      <c r="N58" s="66">
        <f>G58/$G$86</f>
        <v>7.4399999999999994E-2</v>
      </c>
      <c r="O58" s="68">
        <f t="shared" si="1"/>
        <v>9.2999999999999999E-2</v>
      </c>
      <c r="P58" s="66">
        <f>IF(O58&gt;$N$24,MIN(1,(O58-$N$24)/($N$23-$N$24)),MIN(1,($N$24-O58)/($N$24-$N$22)))</f>
        <v>0.15090440210779041</v>
      </c>
      <c r="Q58" s="69">
        <f>IF(O58&gt;$N$24,1+$R$23*POWER(P58,$P$24),1+$R$22*POWER(P58,$P$24))</f>
        <v>1.0227721385755097</v>
      </c>
      <c r="R58" s="67">
        <f t="shared" si="2"/>
        <v>983.90679730964041</v>
      </c>
      <c r="S58" s="67">
        <f t="shared" si="3"/>
        <v>21.90679730964041</v>
      </c>
      <c r="T58" s="67">
        <f t="shared" si="4"/>
        <v>975.92917462875141</v>
      </c>
      <c r="U58" s="67">
        <f t="shared" si="5"/>
        <v>90.761413240473885</v>
      </c>
      <c r="V58" s="67">
        <f t="shared" si="9"/>
        <v>2.0208132404738848</v>
      </c>
      <c r="W58" s="67">
        <f t="shared" si="6"/>
        <v>19.708361388277467</v>
      </c>
      <c r="X58" s="94">
        <f t="shared" si="7"/>
        <v>1.0081743869209809</v>
      </c>
      <c r="Y58" s="95">
        <f t="shared" si="8"/>
        <v>976.10679730964046</v>
      </c>
      <c r="Z58" s="96">
        <f t="shared" si="10"/>
        <v>1.0079909288834976</v>
      </c>
      <c r="AA58" s="96">
        <f>+T58/SUM($T$57:$T$58)</f>
        <v>0.86215168742985471</v>
      </c>
      <c r="AB58" s="96">
        <f>+Y58/SUM($Y$57:$Y$58)</f>
        <v>0.86262392025500412</v>
      </c>
      <c r="AC58" s="31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 s="20"/>
      <c r="AS58" s="20"/>
      <c r="AT58" s="34"/>
      <c r="AU58" s="20"/>
      <c r="AV58" s="21"/>
      <c r="AW58" s="21"/>
      <c r="AX58" s="21"/>
      <c r="AY58" s="20"/>
      <c r="BA58" s="147"/>
    </row>
    <row r="59" spans="1:56" hidden="1">
      <c r="A59" s="9">
        <v>12</v>
      </c>
      <c r="B59" s="1"/>
      <c r="C59" s="1"/>
      <c r="D59" s="5"/>
      <c r="E59" s="5"/>
      <c r="F59" s="37"/>
      <c r="G59" s="37"/>
      <c r="H59" s="35"/>
      <c r="I59" s="39"/>
      <c r="J59" s="39"/>
      <c r="L59" s="26">
        <f>F59*J59</f>
        <v>0</v>
      </c>
      <c r="M59" s="26">
        <f>G59*I59</f>
        <v>0</v>
      </c>
      <c r="N59" s="6">
        <f>G59/$G$86</f>
        <v>0</v>
      </c>
      <c r="O59" s="15"/>
      <c r="P59" s="6">
        <f>IF(O59&gt;$N$24,MIN(1,(O59-$N$24)/($N$23-$N$24)),MIN(1,($N$24-O59)/($N$24-$N$22)))</f>
        <v>1</v>
      </c>
      <c r="Q59" s="25">
        <f>IF(O59&gt;$N$24,1+$R$23*POWER(P59,$P$24),1+$R$22*POWER(P59,$P$24))</f>
        <v>0</v>
      </c>
      <c r="R59" s="26">
        <f t="shared" si="2"/>
        <v>0</v>
      </c>
      <c r="S59" s="26"/>
      <c r="T59" s="26">
        <f t="shared" si="4"/>
        <v>0</v>
      </c>
      <c r="U59" s="26">
        <f t="shared" si="5"/>
        <v>0</v>
      </c>
      <c r="V59" s="34">
        <f t="shared" si="9"/>
        <v>0</v>
      </c>
      <c r="W59" s="34"/>
      <c r="X59" s="97"/>
      <c r="Y59" s="97"/>
      <c r="Z59" s="98"/>
      <c r="AA59" s="98"/>
      <c r="AB59" s="98"/>
      <c r="AR59" s="15"/>
      <c r="AS59" s="15"/>
      <c r="AT59" s="15"/>
      <c r="AU59" s="15"/>
      <c r="AV59" s="6"/>
      <c r="AW59" s="6"/>
      <c r="AX59" s="6" t="e">
        <f>#REF!+AW59</f>
        <v>#REF!</v>
      </c>
      <c r="AY59" s="16" t="e">
        <f t="shared" ref="AY47:AY60" si="13">AX59/$AX$83</f>
        <v>#REF!</v>
      </c>
    </row>
    <row r="60" spans="1:56" hidden="1">
      <c r="A60" s="11">
        <v>13</v>
      </c>
      <c r="B60" s="1"/>
      <c r="C60" s="1"/>
      <c r="D60" s="5"/>
      <c r="E60" s="5"/>
      <c r="F60" s="37"/>
      <c r="G60" s="37"/>
      <c r="H60" s="35"/>
      <c r="I60" s="39"/>
      <c r="J60" s="39"/>
      <c r="L60" s="26">
        <f>F60*J60</f>
        <v>0</v>
      </c>
      <c r="M60" s="26">
        <f>G60*I60</f>
        <v>0</v>
      </c>
      <c r="N60" s="6">
        <f>G60/$G$86</f>
        <v>0</v>
      </c>
      <c r="O60" s="15"/>
      <c r="P60" s="6">
        <f>IF(O60&gt;$N$24,MIN(1,(O60-$N$24)/($N$23-$N$24)),MIN(1,($N$24-O60)/($N$24-$N$22)))</f>
        <v>1</v>
      </c>
      <c r="Q60" s="25">
        <f>IF(O60&gt;$N$24,1+$R$23*POWER(P60,$P$24),1+$R$22*POWER(P60,$P$24))</f>
        <v>0</v>
      </c>
      <c r="R60" s="26">
        <f t="shared" si="2"/>
        <v>0</v>
      </c>
      <c r="S60" s="26"/>
      <c r="T60" s="26">
        <f t="shared" si="4"/>
        <v>0</v>
      </c>
      <c r="U60" s="26">
        <f t="shared" si="5"/>
        <v>0</v>
      </c>
      <c r="V60" s="34">
        <f t="shared" si="9"/>
        <v>0</v>
      </c>
      <c r="W60" s="34"/>
      <c r="X60" s="97"/>
      <c r="Y60" s="97"/>
      <c r="Z60" s="98"/>
      <c r="AA60" s="98"/>
      <c r="AB60" s="98"/>
      <c r="AR60" s="15"/>
      <c r="AS60" s="15"/>
      <c r="AT60" s="15"/>
      <c r="AU60" s="15"/>
      <c r="AV60" s="6"/>
      <c r="AW60" s="6"/>
      <c r="AX60" s="6" t="e">
        <f>#REF!+AW60</f>
        <v>#REF!</v>
      </c>
      <c r="AY60" s="16" t="e">
        <f t="shared" si="13"/>
        <v>#REF!</v>
      </c>
    </row>
    <row r="61" spans="1:56" hidden="1">
      <c r="A61" s="13">
        <v>23</v>
      </c>
      <c r="B61" s="12"/>
      <c r="C61" s="12"/>
      <c r="D61" s="8"/>
      <c r="E61" s="8"/>
      <c r="F61" s="38"/>
      <c r="G61" s="38"/>
      <c r="H61" s="36"/>
      <c r="I61" s="40"/>
      <c r="J61" s="40"/>
      <c r="K61" s="33"/>
      <c r="L61" s="27">
        <f>F61*J61</f>
        <v>0</v>
      </c>
      <c r="M61" s="27">
        <f>G61*I61</f>
        <v>0</v>
      </c>
      <c r="N61" s="6">
        <f>G61/$G$86</f>
        <v>0</v>
      </c>
      <c r="O61" s="43"/>
      <c r="P61" s="6">
        <f>IF(O61&gt;$N$24,MIN(1,(O61-$N$24)/($N$23-$N$24)),MIN(1,($N$24-O61)/($N$24-$N$22)))</f>
        <v>1</v>
      </c>
      <c r="Q61" s="25">
        <f>IF(O61&gt;$N$24,1+$R$23*POWER(P61,$P$24),1-$R$22*POWER(P61,$P$24))</f>
        <v>2</v>
      </c>
      <c r="R61" s="26">
        <f t="shared" si="2"/>
        <v>0</v>
      </c>
      <c r="S61" s="26"/>
      <c r="T61" s="26">
        <f t="shared" si="4"/>
        <v>0</v>
      </c>
      <c r="U61" s="26">
        <f t="shared" si="5"/>
        <v>0</v>
      </c>
      <c r="V61" s="34">
        <f t="shared" si="9"/>
        <v>0</v>
      </c>
      <c r="W61" s="34"/>
      <c r="X61" s="97"/>
      <c r="Y61" s="97"/>
      <c r="Z61" s="98"/>
      <c r="AA61" s="98"/>
      <c r="AB61" s="98"/>
      <c r="AR61" s="15"/>
      <c r="AS61" s="15"/>
      <c r="AT61" s="15"/>
      <c r="AU61" s="15"/>
      <c r="AV61" s="6"/>
      <c r="AY61" s="16"/>
    </row>
    <row r="62" spans="1:56" hidden="1">
      <c r="A62" s="9">
        <v>8</v>
      </c>
      <c r="B62" s="1"/>
      <c r="C62" s="1"/>
      <c r="D62" s="5"/>
      <c r="E62" s="5"/>
      <c r="F62" s="37"/>
      <c r="G62" s="37"/>
      <c r="H62" s="35"/>
      <c r="I62" s="39"/>
      <c r="J62" s="39"/>
      <c r="L62" s="26">
        <f>F62*J62</f>
        <v>0</v>
      </c>
      <c r="M62" s="26">
        <f>G62*I62</f>
        <v>0</v>
      </c>
      <c r="N62" s="6">
        <f>G62/$G$86</f>
        <v>0</v>
      </c>
      <c r="O62" s="15"/>
      <c r="P62" s="6">
        <f>IF(O62&gt;$N$24,MIN(1,(O62-$N$24)/($N$23-$N$24)),MIN(1,($N$24-O62)/($N$24-$N$22)))</f>
        <v>1</v>
      </c>
      <c r="Q62" s="25">
        <f>IF(O62&gt;$N$24,1+$R$23*POWER(P62,$P$24),1+$R$22*POWER(P62,$P$24))</f>
        <v>0</v>
      </c>
      <c r="R62" s="26">
        <f t="shared" si="2"/>
        <v>0</v>
      </c>
      <c r="S62" s="26"/>
      <c r="T62" s="26">
        <f t="shared" si="4"/>
        <v>0</v>
      </c>
      <c r="U62" s="26">
        <f t="shared" si="5"/>
        <v>0</v>
      </c>
      <c r="V62" s="34">
        <f t="shared" si="9"/>
        <v>0</v>
      </c>
      <c r="W62" s="34"/>
      <c r="X62" s="97"/>
      <c r="Y62" s="97"/>
      <c r="Z62" s="98"/>
      <c r="AA62" s="98"/>
      <c r="AB62" s="98"/>
      <c r="AR62" s="15"/>
      <c r="AS62" s="15"/>
      <c r="AT62" s="15"/>
      <c r="AU62" s="15"/>
      <c r="AV62" s="6"/>
      <c r="AY62" s="16"/>
    </row>
    <row r="63" spans="1:56" hidden="1">
      <c r="A63" s="9">
        <v>14</v>
      </c>
      <c r="B63" s="1"/>
      <c r="C63" s="1"/>
      <c r="D63" s="5"/>
      <c r="E63" s="5"/>
      <c r="F63" s="37"/>
      <c r="G63" s="37"/>
      <c r="H63" s="35"/>
      <c r="I63" s="39"/>
      <c r="J63" s="39"/>
      <c r="L63" s="26">
        <f>F63*J63</f>
        <v>0</v>
      </c>
      <c r="M63" s="26">
        <f>G63*I63</f>
        <v>0</v>
      </c>
      <c r="N63" s="6">
        <f>G63/$G$86</f>
        <v>0</v>
      </c>
      <c r="O63" s="15"/>
      <c r="P63" s="6">
        <f>IF(O63&gt;$N$24,MIN(1,(O63-$N$24)/($N$23-$N$24)),MIN(1,($N$24-O63)/($N$24-$N$22)))</f>
        <v>1</v>
      </c>
      <c r="Q63" s="25">
        <f>IF(O63&gt;$N$24,1+$R$23*POWER(P63,$P$24),1+$R$22*POWER(P63,$P$24))</f>
        <v>0</v>
      </c>
      <c r="R63" s="26">
        <f t="shared" si="2"/>
        <v>0</v>
      </c>
      <c r="S63" s="26"/>
      <c r="T63" s="26">
        <f t="shared" si="4"/>
        <v>0</v>
      </c>
      <c r="U63" s="26">
        <f t="shared" si="5"/>
        <v>0</v>
      </c>
      <c r="V63" s="34">
        <f t="shared" si="9"/>
        <v>0</v>
      </c>
      <c r="W63" s="34"/>
      <c r="X63" s="97"/>
      <c r="Y63" s="97"/>
      <c r="Z63" s="98"/>
      <c r="AA63" s="98"/>
      <c r="AB63" s="98"/>
      <c r="AR63" s="15"/>
      <c r="AS63" s="15"/>
      <c r="AT63" s="15"/>
      <c r="AU63" s="15"/>
      <c r="AV63" s="6"/>
      <c r="AW63" s="6"/>
      <c r="AX63" s="6" t="e">
        <f>#REF!+AW63</f>
        <v>#REF!</v>
      </c>
      <c r="AY63" s="16" t="e">
        <f>AX63/$AX$83</f>
        <v>#REF!</v>
      </c>
    </row>
    <row r="64" spans="1:56" hidden="1">
      <c r="A64" s="9">
        <v>15</v>
      </c>
      <c r="B64" s="1"/>
      <c r="C64" s="1"/>
      <c r="D64" s="5"/>
      <c r="E64" s="5"/>
      <c r="F64" s="37"/>
      <c r="G64" s="37"/>
      <c r="H64" s="35"/>
      <c r="I64" s="39"/>
      <c r="J64" s="39"/>
      <c r="L64" s="26">
        <f>F64*J64</f>
        <v>0</v>
      </c>
      <c r="M64" s="26">
        <f>G64*I64</f>
        <v>0</v>
      </c>
      <c r="N64" s="6">
        <f>G64/$G$86</f>
        <v>0</v>
      </c>
      <c r="O64" s="15"/>
      <c r="P64" s="6">
        <f>IF(O64&gt;$N$24,MIN(1,(O64-$N$24)/($N$23-$N$24)),MIN(1,($N$24-O64)/($N$24-$N$22)))</f>
        <v>1</v>
      </c>
      <c r="Q64" s="25">
        <f>IF(O64&gt;$N$24,1+$R$23*POWER(P64,$P$24),1+$R$22*POWER(P64,$P$24))</f>
        <v>0</v>
      </c>
      <c r="R64" s="26">
        <f t="shared" si="2"/>
        <v>0</v>
      </c>
      <c r="S64" s="26"/>
      <c r="T64" s="26">
        <f t="shared" si="4"/>
        <v>0</v>
      </c>
      <c r="U64" s="26">
        <f t="shared" si="5"/>
        <v>0</v>
      </c>
      <c r="V64" s="34">
        <f t="shared" si="9"/>
        <v>0</v>
      </c>
      <c r="W64" s="34"/>
      <c r="X64" s="97"/>
      <c r="Y64" s="97"/>
      <c r="Z64" s="98"/>
      <c r="AA64" s="98"/>
      <c r="AB64" s="98"/>
      <c r="AR64" s="15"/>
      <c r="AS64" s="15"/>
      <c r="AT64" s="15"/>
      <c r="AU64" s="15"/>
      <c r="AV64" s="6"/>
      <c r="AW64" s="6"/>
      <c r="AX64" s="6" t="e">
        <f>#REF!+AW64</f>
        <v>#REF!</v>
      </c>
      <c r="AY64" s="16" t="e">
        <f>AX64/$AX$83</f>
        <v>#REF!</v>
      </c>
    </row>
    <row r="65" spans="1:51" hidden="1">
      <c r="A65" s="11">
        <v>16</v>
      </c>
      <c r="B65" s="1"/>
      <c r="C65" s="1"/>
      <c r="D65" s="5"/>
      <c r="E65" s="5"/>
      <c r="F65" s="37"/>
      <c r="G65" s="37"/>
      <c r="H65" s="35"/>
      <c r="I65" s="39"/>
      <c r="J65" s="39"/>
      <c r="L65" s="26">
        <f>F65*J65</f>
        <v>0</v>
      </c>
      <c r="M65" s="26">
        <f>G65*I65</f>
        <v>0</v>
      </c>
      <c r="N65" s="6">
        <f>G65/$G$86</f>
        <v>0</v>
      </c>
      <c r="O65" s="15"/>
      <c r="P65" s="6">
        <f>IF(O65&gt;$N$24,MIN(1,(O65-$N$24)/($N$23-$N$24)),MIN(1,($N$24-O65)/($N$24-$N$22)))</f>
        <v>1</v>
      </c>
      <c r="Q65" s="25">
        <f>IF(O65&gt;$N$24,1+$R$23*POWER(P65,$P$24),1+$R$22*POWER(P65,$P$24))</f>
        <v>0</v>
      </c>
      <c r="R65" s="26">
        <f t="shared" si="2"/>
        <v>0</v>
      </c>
      <c r="S65" s="26"/>
      <c r="T65" s="26">
        <f t="shared" si="4"/>
        <v>0</v>
      </c>
      <c r="U65" s="26">
        <f t="shared" si="5"/>
        <v>0</v>
      </c>
      <c r="V65" s="34">
        <f t="shared" si="9"/>
        <v>0</v>
      </c>
      <c r="W65" s="34"/>
      <c r="X65" s="97"/>
      <c r="Y65" s="97"/>
      <c r="Z65" s="98"/>
      <c r="AA65" s="98"/>
      <c r="AB65" s="98"/>
      <c r="AR65" s="15"/>
      <c r="AS65" s="15"/>
      <c r="AT65" s="15"/>
      <c r="AU65" s="15"/>
      <c r="AV65" s="6"/>
      <c r="AW65" s="6"/>
      <c r="AX65" s="6" t="e">
        <f>#REF!+AW65</f>
        <v>#REF!</v>
      </c>
      <c r="AY65" s="16" t="e">
        <f>AX65/$AX$83</f>
        <v>#REF!</v>
      </c>
    </row>
    <row r="66" spans="1:51" hidden="1">
      <c r="A66" s="9">
        <v>17</v>
      </c>
      <c r="B66" s="1"/>
      <c r="C66" s="1"/>
      <c r="D66" s="5"/>
      <c r="E66" s="5"/>
      <c r="F66" s="37"/>
      <c r="G66" s="37"/>
      <c r="H66" s="35"/>
      <c r="I66" s="39"/>
      <c r="J66" s="39"/>
      <c r="L66" s="26">
        <f>F66*J66</f>
        <v>0</v>
      </c>
      <c r="M66" s="26">
        <f>G66*I66</f>
        <v>0</v>
      </c>
      <c r="N66" s="6">
        <f>G66/$G$86</f>
        <v>0</v>
      </c>
      <c r="O66" s="15"/>
      <c r="P66" s="6">
        <f>IF(O66&gt;$N$24,MIN(1,(O66-$N$24)/($N$23-$N$24)),MIN(1,($N$24-O66)/($N$24-$N$22)))</f>
        <v>1</v>
      </c>
      <c r="Q66" s="25">
        <f>IF(O66&gt;$N$24,1+$R$23*POWER(P66,$P$24),1+$R$22*POWER(P66,$P$24))</f>
        <v>0</v>
      </c>
      <c r="R66" s="26">
        <f t="shared" si="2"/>
        <v>0</v>
      </c>
      <c r="S66" s="26"/>
      <c r="T66" s="26">
        <f t="shared" si="4"/>
        <v>0</v>
      </c>
      <c r="U66" s="26">
        <f t="shared" si="5"/>
        <v>0</v>
      </c>
      <c r="V66" s="34">
        <f t="shared" si="9"/>
        <v>0</v>
      </c>
      <c r="W66" s="34"/>
      <c r="X66" s="97"/>
      <c r="Y66" s="97"/>
      <c r="Z66" s="98"/>
      <c r="AA66" s="98"/>
      <c r="AB66" s="98"/>
      <c r="AR66" s="15"/>
      <c r="AS66" s="15"/>
      <c r="AT66" s="15"/>
      <c r="AU66" s="15"/>
      <c r="AV66" s="6"/>
      <c r="AW66" s="6"/>
      <c r="AX66" s="6" t="e">
        <f>#REF!+AW66</f>
        <v>#REF!</v>
      </c>
      <c r="AY66" s="16" t="e">
        <f>AX66/$AX$83</f>
        <v>#REF!</v>
      </c>
    </row>
    <row r="67" spans="1:51" hidden="1">
      <c r="A67" s="13">
        <v>23</v>
      </c>
      <c r="B67" s="12"/>
      <c r="C67" s="12"/>
      <c r="D67" s="8"/>
      <c r="E67" s="8"/>
      <c r="F67" s="38"/>
      <c r="G67" s="38"/>
      <c r="H67" s="36"/>
      <c r="I67" s="40"/>
      <c r="J67" s="40"/>
      <c r="K67" s="33"/>
      <c r="L67" s="27">
        <f>F67*J67</f>
        <v>0</v>
      </c>
      <c r="M67" s="27">
        <f>G67*I67</f>
        <v>0</v>
      </c>
      <c r="N67" s="6">
        <f>G67/$G$86</f>
        <v>0</v>
      </c>
      <c r="O67" s="43"/>
      <c r="P67" s="6">
        <f>IF(O67&gt;$N$24,MIN(1,(O67-$N$24)/($N$23-$N$24)),MIN(1,($N$24-O67)/($N$24-$N$22)))</f>
        <v>1</v>
      </c>
      <c r="Q67" s="25">
        <f>IF(O67&gt;$N$24,1+$R$23*POWER(P67,$P$24),1-$R$22*POWER(P67,$P$24))</f>
        <v>2</v>
      </c>
      <c r="R67" s="26">
        <f t="shared" si="2"/>
        <v>0</v>
      </c>
      <c r="S67" s="26"/>
      <c r="T67" s="26">
        <f t="shared" si="4"/>
        <v>0</v>
      </c>
      <c r="U67" s="26">
        <f t="shared" si="5"/>
        <v>0</v>
      </c>
      <c r="V67" s="34">
        <f t="shared" si="9"/>
        <v>0</v>
      </c>
      <c r="W67" s="34"/>
      <c r="X67" s="97"/>
      <c r="Y67" s="97"/>
      <c r="Z67" s="98"/>
      <c r="AA67" s="98"/>
      <c r="AB67" s="98"/>
      <c r="AR67" s="15"/>
      <c r="AS67" s="15"/>
      <c r="AT67" s="15"/>
      <c r="AU67" s="15"/>
      <c r="AV67" s="6"/>
      <c r="AY67" s="16"/>
    </row>
    <row r="68" spans="1:51" hidden="1">
      <c r="A68" s="9">
        <v>18</v>
      </c>
      <c r="B68" s="1"/>
      <c r="C68" s="1"/>
      <c r="D68" s="5"/>
      <c r="E68" s="5"/>
      <c r="F68" s="37"/>
      <c r="G68" s="37"/>
      <c r="H68" s="35"/>
      <c r="I68" s="39"/>
      <c r="J68" s="39"/>
      <c r="L68" s="26">
        <f>F68*J68</f>
        <v>0</v>
      </c>
      <c r="M68" s="26">
        <f>G68*I68</f>
        <v>0</v>
      </c>
      <c r="N68" s="6">
        <f>G68/$G$86</f>
        <v>0</v>
      </c>
      <c r="O68" s="15"/>
      <c r="P68" s="6">
        <f>IF(O68&gt;$N$24,MIN(1,(O68-$N$24)/($N$23-$N$24)),MIN(1,($N$24-O68)/($N$24-$N$22)))</f>
        <v>1</v>
      </c>
      <c r="Q68" s="25">
        <f>IF(O68&gt;$N$24,1+$R$23*POWER(P68,$P$24),1+$R$22*POWER(P68,$P$24))</f>
        <v>0</v>
      </c>
      <c r="R68" s="26">
        <f t="shared" si="2"/>
        <v>0</v>
      </c>
      <c r="S68" s="26"/>
      <c r="T68" s="26">
        <f t="shared" si="4"/>
        <v>0</v>
      </c>
      <c r="U68" s="26">
        <f t="shared" si="5"/>
        <v>0</v>
      </c>
      <c r="V68" s="34">
        <f t="shared" si="9"/>
        <v>0</v>
      </c>
      <c r="W68" s="34"/>
      <c r="X68" s="97"/>
      <c r="Y68" s="97"/>
      <c r="Z68" s="98"/>
      <c r="AA68" s="98"/>
      <c r="AB68" s="98"/>
      <c r="AR68" s="15"/>
      <c r="AS68" s="15"/>
      <c r="AT68" s="15"/>
      <c r="AU68" s="15"/>
      <c r="AV68" s="6"/>
      <c r="AW68" s="6"/>
      <c r="AX68" s="6" t="e">
        <f>#REF!+AW68</f>
        <v>#REF!</v>
      </c>
      <c r="AY68" s="16" t="e">
        <f>AX68/$AX$83</f>
        <v>#REF!</v>
      </c>
    </row>
    <row r="69" spans="1:51" hidden="1">
      <c r="A69" s="11">
        <v>19</v>
      </c>
      <c r="B69" s="1"/>
      <c r="C69" s="1"/>
      <c r="D69" s="5"/>
      <c r="E69" s="5"/>
      <c r="F69" s="37"/>
      <c r="G69" s="37"/>
      <c r="H69" s="35"/>
      <c r="I69" s="39"/>
      <c r="J69" s="39"/>
      <c r="L69" s="26">
        <f>F69*J69</f>
        <v>0</v>
      </c>
      <c r="M69" s="26">
        <f>G69*I69</f>
        <v>0</v>
      </c>
      <c r="N69" s="6">
        <f>G69/$G$86</f>
        <v>0</v>
      </c>
      <c r="O69" s="15"/>
      <c r="P69" s="6">
        <f>IF(O69&gt;$N$24,MIN(1,(O69-$N$24)/($N$23-$N$24)),MIN(1,($N$24-O69)/($N$24-$N$22)))</f>
        <v>1</v>
      </c>
      <c r="Q69" s="25">
        <f>IF(O69&gt;$N$24,1+$R$23*POWER(P69,$P$24),1+$R$22*POWER(P69,$P$24))</f>
        <v>0</v>
      </c>
      <c r="R69" s="26">
        <f t="shared" si="2"/>
        <v>0</v>
      </c>
      <c r="S69" s="26"/>
      <c r="T69" s="26">
        <f t="shared" si="4"/>
        <v>0</v>
      </c>
      <c r="U69" s="26">
        <f t="shared" si="5"/>
        <v>0</v>
      </c>
      <c r="V69" s="34">
        <f t="shared" si="9"/>
        <v>0</v>
      </c>
      <c r="W69" s="34"/>
      <c r="X69" s="97"/>
      <c r="Y69" s="97"/>
      <c r="Z69" s="98"/>
      <c r="AA69" s="98"/>
      <c r="AB69" s="98"/>
      <c r="AR69" s="15"/>
      <c r="AS69" s="15"/>
      <c r="AT69" s="15"/>
      <c r="AU69" s="15"/>
      <c r="AV69" s="6"/>
      <c r="AW69" s="6"/>
      <c r="AX69" s="6" t="e">
        <f>#REF!+AW69</f>
        <v>#REF!</v>
      </c>
      <c r="AY69" s="16" t="e">
        <f>AX69/$AX$83</f>
        <v>#REF!</v>
      </c>
    </row>
    <row r="70" spans="1:51" hidden="1">
      <c r="A70" s="11">
        <v>20</v>
      </c>
      <c r="B70" s="1"/>
      <c r="C70" s="1"/>
      <c r="D70" s="5"/>
      <c r="E70" s="5"/>
      <c r="F70" s="37"/>
      <c r="G70" s="37"/>
      <c r="H70" s="35"/>
      <c r="I70" s="39"/>
      <c r="J70" s="39"/>
      <c r="L70" s="26">
        <f>F70*J70</f>
        <v>0</v>
      </c>
      <c r="M70" s="26">
        <f>G70*I70</f>
        <v>0</v>
      </c>
      <c r="N70" s="6">
        <f>G70/$G$86</f>
        <v>0</v>
      </c>
      <c r="O70" s="15"/>
      <c r="P70" s="6">
        <f>IF(O70&gt;$N$24,MIN(1,(O70-$N$24)/($N$23-$N$24)),MIN(1,($N$24-O70)/($N$24-$N$22)))</f>
        <v>1</v>
      </c>
      <c r="Q70" s="25">
        <f>IF(O70&gt;$N$24,1+$R$23*POWER(P70,$P$24),1+$R$22*POWER(P70,$P$24))</f>
        <v>0</v>
      </c>
      <c r="R70" s="26">
        <f t="shared" si="2"/>
        <v>0</v>
      </c>
      <c r="S70" s="26"/>
      <c r="T70" s="26">
        <f t="shared" si="4"/>
        <v>0</v>
      </c>
      <c r="U70" s="26">
        <f t="shared" si="5"/>
        <v>0</v>
      </c>
      <c r="V70" s="34">
        <f t="shared" si="9"/>
        <v>0</v>
      </c>
      <c r="W70" s="34"/>
      <c r="X70" s="97"/>
      <c r="Y70" s="97"/>
      <c r="Z70" s="98"/>
      <c r="AA70" s="98"/>
      <c r="AB70" s="98"/>
      <c r="AR70" s="15"/>
      <c r="AS70" s="15"/>
      <c r="AT70" s="15"/>
      <c r="AU70" s="15"/>
      <c r="AV70" s="6"/>
      <c r="AW70" s="6"/>
      <c r="AX70" s="6" t="e">
        <f>#REF!+AW70</f>
        <v>#REF!</v>
      </c>
      <c r="AY70" s="16" t="e">
        <f>AX70/$AX$83</f>
        <v>#REF!</v>
      </c>
    </row>
    <row r="71" spans="1:51" hidden="1">
      <c r="A71" s="11">
        <v>8</v>
      </c>
      <c r="B71" s="1"/>
      <c r="C71" s="1"/>
      <c r="D71" s="5"/>
      <c r="E71" s="5"/>
      <c r="F71" s="37"/>
      <c r="G71" s="37"/>
      <c r="H71" s="35"/>
      <c r="I71" s="39"/>
      <c r="J71" s="39"/>
      <c r="L71" s="26">
        <f>F71*J71</f>
        <v>0</v>
      </c>
      <c r="M71" s="26">
        <f>G71*I71</f>
        <v>0</v>
      </c>
      <c r="N71" s="6">
        <f>G71/$G$86</f>
        <v>0</v>
      </c>
      <c r="O71" s="15"/>
      <c r="P71" s="6">
        <f>IF(O71&gt;$N$24,MIN(1,(O71-$N$24)/($N$23-$N$24)),MIN(1,($N$24-O71)/($N$24-$N$22)))</f>
        <v>1</v>
      </c>
      <c r="Q71" s="25">
        <f>IF(O71&gt;$N$24,1+$R$23*POWER(P71,$P$24),1+$R$22*POWER(P71,$P$24))</f>
        <v>0</v>
      </c>
      <c r="R71" s="26">
        <f t="shared" si="2"/>
        <v>0</v>
      </c>
      <c r="S71" s="26"/>
      <c r="T71" s="26">
        <f t="shared" si="4"/>
        <v>0</v>
      </c>
      <c r="U71" s="26">
        <f t="shared" si="5"/>
        <v>0</v>
      </c>
      <c r="V71" s="34">
        <f t="shared" si="9"/>
        <v>0</v>
      </c>
      <c r="W71" s="34"/>
      <c r="X71" s="97"/>
      <c r="Y71" s="97"/>
      <c r="Z71" s="98"/>
      <c r="AA71" s="98"/>
      <c r="AB71" s="98"/>
      <c r="AR71" s="15"/>
      <c r="AS71" s="15"/>
      <c r="AT71" s="15"/>
      <c r="AU71" s="15"/>
      <c r="AV71" s="6"/>
      <c r="AY71" s="16"/>
    </row>
    <row r="72" spans="1:51" hidden="1">
      <c r="A72" s="11">
        <v>10</v>
      </c>
      <c r="B72" s="1"/>
      <c r="C72" s="1"/>
      <c r="D72" s="5"/>
      <c r="E72" s="5"/>
      <c r="F72" s="37"/>
      <c r="G72" s="37"/>
      <c r="H72" s="35"/>
      <c r="I72" s="39"/>
      <c r="J72" s="39"/>
      <c r="L72" s="26">
        <f>F72*J72</f>
        <v>0</v>
      </c>
      <c r="M72" s="26">
        <f>G72*I72</f>
        <v>0</v>
      </c>
      <c r="N72" s="6">
        <f>G72/$G$86</f>
        <v>0</v>
      </c>
      <c r="O72" s="15"/>
      <c r="P72" s="6">
        <f>IF(O72&gt;$N$24,MIN(1,(O72-$N$24)/($N$23-$N$24)),MIN(1,($N$24-O72)/($N$24-$N$22)))</f>
        <v>1</v>
      </c>
      <c r="Q72" s="25">
        <f>IF(O72&gt;$N$24,1+$R$23*POWER(P72,$P$24),1+$R$22*POWER(P72,$P$24))</f>
        <v>0</v>
      </c>
      <c r="R72" s="26">
        <f t="shared" si="2"/>
        <v>0</v>
      </c>
      <c r="S72" s="26"/>
      <c r="T72" s="26">
        <f t="shared" si="4"/>
        <v>0</v>
      </c>
      <c r="U72" s="26">
        <f t="shared" si="5"/>
        <v>0</v>
      </c>
      <c r="V72" s="34">
        <f t="shared" si="9"/>
        <v>0</v>
      </c>
      <c r="W72" s="34"/>
      <c r="X72" s="97"/>
      <c r="Y72" s="97"/>
      <c r="Z72" s="98"/>
      <c r="AA72" s="98"/>
      <c r="AB72" s="98"/>
      <c r="AR72" s="15"/>
      <c r="AS72" s="15"/>
      <c r="AT72" s="15"/>
      <c r="AU72" s="15"/>
      <c r="AV72" s="6"/>
      <c r="AY72" s="16"/>
    </row>
    <row r="73" spans="1:51" hidden="1">
      <c r="A73" s="11">
        <v>20</v>
      </c>
      <c r="B73" s="1"/>
      <c r="C73" s="1"/>
      <c r="D73" s="5"/>
      <c r="E73" s="5"/>
      <c r="F73" s="37"/>
      <c r="G73" s="37"/>
      <c r="H73" s="35"/>
      <c r="I73" s="39"/>
      <c r="J73" s="39"/>
      <c r="L73" s="26">
        <f>F73*J73</f>
        <v>0</v>
      </c>
      <c r="M73" s="26">
        <f>G73*I73</f>
        <v>0</v>
      </c>
      <c r="N73" s="6">
        <f>G73/$G$86</f>
        <v>0</v>
      </c>
      <c r="O73" s="15"/>
      <c r="P73" s="6">
        <f>IF(O73&gt;$N$24,MIN(1,(O73-$N$24)/($N$23-$N$24)),MIN(1,($N$24-O73)/($N$24-$N$22)))</f>
        <v>1</v>
      </c>
      <c r="Q73" s="25">
        <f>IF(O73&gt;$N$24,1+$R$23*POWER(P73,$P$24),1+$R$22*POWER(P73,$P$24))</f>
        <v>0</v>
      </c>
      <c r="R73" s="26">
        <f t="shared" si="2"/>
        <v>0</v>
      </c>
      <c r="S73" s="26"/>
      <c r="T73" s="26">
        <f t="shared" si="4"/>
        <v>0</v>
      </c>
      <c r="U73" s="26">
        <f t="shared" si="5"/>
        <v>0</v>
      </c>
      <c r="V73" s="34">
        <f t="shared" si="9"/>
        <v>0</v>
      </c>
      <c r="W73" s="34"/>
      <c r="X73" s="97"/>
      <c r="Y73" s="97"/>
      <c r="Z73" s="98"/>
      <c r="AA73" s="98"/>
      <c r="AB73" s="98"/>
      <c r="AR73" s="15"/>
      <c r="AS73" s="15"/>
      <c r="AT73" s="15"/>
      <c r="AU73" s="15"/>
      <c r="AV73" s="6"/>
      <c r="AY73" s="16"/>
    </row>
    <row r="74" spans="1:51" hidden="1">
      <c r="A74" s="9">
        <v>19</v>
      </c>
      <c r="B74" s="1"/>
      <c r="C74" s="1"/>
      <c r="D74" s="5"/>
      <c r="E74" s="5"/>
      <c r="F74" s="37"/>
      <c r="G74" s="37"/>
      <c r="H74" s="35"/>
      <c r="I74" s="39"/>
      <c r="J74" s="39"/>
      <c r="L74" s="26">
        <f>F74*J74</f>
        <v>0</v>
      </c>
      <c r="M74" s="26">
        <f>G74*I74</f>
        <v>0</v>
      </c>
      <c r="N74" s="6">
        <f>G74/$G$86</f>
        <v>0</v>
      </c>
      <c r="O74" s="15"/>
      <c r="P74" s="6">
        <f>IF(O74&gt;$N$24,MIN(1,(O74-$N$24)/($N$23-$N$24)),MIN(1,($N$24-O74)/($N$24-$N$22)))</f>
        <v>1</v>
      </c>
      <c r="Q74" s="25">
        <f>IF(O74&gt;$N$24,1+$R$23*POWER(P74,$P$24),1+$R$22*POWER(P74,$P$24))</f>
        <v>0</v>
      </c>
      <c r="R74" s="26">
        <f t="shared" si="2"/>
        <v>0</v>
      </c>
      <c r="S74" s="26"/>
      <c r="T74" s="26">
        <f t="shared" si="4"/>
        <v>0</v>
      </c>
      <c r="U74" s="26">
        <f t="shared" si="5"/>
        <v>0</v>
      </c>
      <c r="V74" s="34">
        <f t="shared" si="9"/>
        <v>0</v>
      </c>
      <c r="W74" s="34"/>
      <c r="X74" s="97"/>
      <c r="Y74" s="97"/>
      <c r="Z74" s="98"/>
      <c r="AA74" s="98"/>
      <c r="AB74" s="98"/>
      <c r="AR74" s="15"/>
      <c r="AS74" s="15"/>
      <c r="AT74" s="15"/>
      <c r="AU74" s="15"/>
      <c r="AV74" s="6"/>
      <c r="AY74" s="16"/>
    </row>
    <row r="75" spans="1:51" hidden="1">
      <c r="A75" s="7">
        <v>23</v>
      </c>
      <c r="B75" s="12"/>
      <c r="C75" s="12"/>
      <c r="D75" s="8"/>
      <c r="E75" s="8"/>
      <c r="F75" s="38"/>
      <c r="G75" s="38"/>
      <c r="H75" s="36"/>
      <c r="I75" s="40"/>
      <c r="J75" s="40"/>
      <c r="K75" s="33"/>
      <c r="L75" s="27">
        <f>F75*J75</f>
        <v>0</v>
      </c>
      <c r="M75" s="27">
        <f>G75*I75</f>
        <v>0</v>
      </c>
      <c r="N75" s="6">
        <f>G75/$G$86</f>
        <v>0</v>
      </c>
      <c r="O75" s="43"/>
      <c r="P75" s="6">
        <f>IF(O75&gt;$N$24,MIN(1,(O75-$N$24)/($N$23-$N$24)),MIN(1,($N$24-O75)/($N$24-$N$22)))</f>
        <v>1</v>
      </c>
      <c r="Q75" s="25">
        <f>IF(O75&gt;$N$24,1+$R$23*POWER(P75,$P$24),1+$R$22*POWER(P75,$P$24))</f>
        <v>0</v>
      </c>
      <c r="R75" s="26">
        <f t="shared" si="2"/>
        <v>0</v>
      </c>
      <c r="S75" s="26"/>
      <c r="T75" s="26">
        <f t="shared" si="4"/>
        <v>0</v>
      </c>
      <c r="U75" s="26">
        <f t="shared" si="5"/>
        <v>0</v>
      </c>
      <c r="V75" s="34">
        <f t="shared" si="9"/>
        <v>0</v>
      </c>
      <c r="W75" s="34"/>
      <c r="X75" s="97"/>
      <c r="Y75" s="97"/>
      <c r="Z75" s="98"/>
      <c r="AA75" s="98"/>
      <c r="AB75" s="98"/>
      <c r="AR75" s="15"/>
      <c r="AS75" s="15"/>
      <c r="AT75" s="15"/>
      <c r="AU75" s="15"/>
      <c r="AV75" s="6"/>
      <c r="AY75" s="16"/>
    </row>
    <row r="76" spans="1:51" hidden="1">
      <c r="A76" s="9">
        <v>17</v>
      </c>
      <c r="B76" s="1"/>
      <c r="C76" s="1"/>
      <c r="D76" s="5"/>
      <c r="E76" s="5"/>
      <c r="F76" s="37"/>
      <c r="G76" s="37"/>
      <c r="H76" s="35"/>
      <c r="I76" s="39"/>
      <c r="J76" s="39"/>
      <c r="L76" s="26">
        <f>F76*J76</f>
        <v>0</v>
      </c>
      <c r="M76" s="26">
        <f>G76*I76</f>
        <v>0</v>
      </c>
      <c r="N76" s="6">
        <f>G76/$G$86</f>
        <v>0</v>
      </c>
      <c r="O76" s="15"/>
      <c r="P76" s="6">
        <f>IF(O76&gt;$N$24,MIN(1,(O76-$N$24)/($N$23-$N$24)),MIN(1,($N$24-O76)/($N$24-$N$22)))</f>
        <v>1</v>
      </c>
      <c r="Q76" s="25">
        <f>IF(O76&gt;$N$24,1+$R$23*POWER(P76,$P$24),1+$R$22*POWER(P76,$P$24))</f>
        <v>0</v>
      </c>
      <c r="R76" s="26">
        <f t="shared" si="2"/>
        <v>0</v>
      </c>
      <c r="S76" s="26"/>
      <c r="T76" s="26">
        <f t="shared" si="4"/>
        <v>0</v>
      </c>
      <c r="U76" s="26">
        <f t="shared" si="5"/>
        <v>0</v>
      </c>
      <c r="V76" s="34">
        <f t="shared" si="9"/>
        <v>0</v>
      </c>
      <c r="W76" s="34"/>
      <c r="X76" s="97"/>
      <c r="Y76" s="97"/>
      <c r="Z76" s="98"/>
      <c r="AA76" s="98"/>
      <c r="AB76" s="98"/>
      <c r="AR76" s="15"/>
      <c r="AS76" s="15"/>
      <c r="AT76" s="15"/>
      <c r="AU76" s="15"/>
      <c r="AV76" s="6"/>
      <c r="AY76" s="16"/>
    </row>
    <row r="77" spans="1:51" hidden="1">
      <c r="A77" s="9">
        <v>18</v>
      </c>
      <c r="B77" s="1"/>
      <c r="C77" s="1"/>
      <c r="D77" s="5"/>
      <c r="E77" s="5"/>
      <c r="F77" s="37"/>
      <c r="G77" s="37"/>
      <c r="H77" s="35"/>
      <c r="I77" s="39"/>
      <c r="J77" s="39"/>
      <c r="L77" s="26">
        <f>F77*J77</f>
        <v>0</v>
      </c>
      <c r="M77" s="26">
        <f>G77*I77</f>
        <v>0</v>
      </c>
      <c r="N77" s="6">
        <f>G77/$G$86</f>
        <v>0</v>
      </c>
      <c r="O77" s="15"/>
      <c r="P77" s="6">
        <f>IF(O77&gt;$N$24,MIN(1,(O77-$N$24)/($N$23-$N$24)),MIN(1,($N$24-O77)/($N$24-$N$22)))</f>
        <v>1</v>
      </c>
      <c r="Q77" s="25">
        <f>IF(O77&gt;$N$24,1+$R$23*POWER(P77,$P$24),1+$R$22*POWER(P77,$P$24))</f>
        <v>0</v>
      </c>
      <c r="R77" s="26">
        <f t="shared" si="2"/>
        <v>0</v>
      </c>
      <c r="S77" s="26"/>
      <c r="T77" s="26">
        <f t="shared" si="4"/>
        <v>0</v>
      </c>
      <c r="U77" s="26">
        <f t="shared" si="5"/>
        <v>0</v>
      </c>
      <c r="V77" s="34">
        <f t="shared" si="9"/>
        <v>0</v>
      </c>
      <c r="W77" s="34"/>
      <c r="X77" s="97"/>
      <c r="Y77" s="97"/>
      <c r="Z77" s="98"/>
      <c r="AA77" s="98"/>
      <c r="AB77" s="98"/>
      <c r="AR77" s="15"/>
      <c r="AS77" s="15"/>
      <c r="AT77" s="15"/>
      <c r="AU77" s="15"/>
      <c r="AV77" s="6"/>
      <c r="AY77" s="16"/>
    </row>
    <row r="78" spans="1:51" hidden="1">
      <c r="A78" s="9">
        <v>21</v>
      </c>
      <c r="B78" s="1"/>
      <c r="C78" s="1"/>
      <c r="D78" s="5"/>
      <c r="E78" s="5"/>
      <c r="F78" s="37"/>
      <c r="G78" s="37"/>
      <c r="H78" s="35"/>
      <c r="I78" s="39"/>
      <c r="J78" s="39"/>
      <c r="L78" s="26">
        <f>F78*J78</f>
        <v>0</v>
      </c>
      <c r="M78" s="26">
        <f>G78*I78</f>
        <v>0</v>
      </c>
      <c r="N78" s="6">
        <f>G78/$G$86</f>
        <v>0</v>
      </c>
      <c r="O78" s="15"/>
      <c r="P78" s="6">
        <f>IF(O78&gt;$N$24,MIN(1,(O78-$N$24)/($N$23-$N$24)),MIN(1,($N$24-O78)/($N$24-$N$22)))</f>
        <v>1</v>
      </c>
      <c r="Q78" s="25">
        <f>IF(O78&gt;$N$24,1+$R$23*POWER(P78,$P$24),1+$R$22*POWER(P78,$P$24))</f>
        <v>0</v>
      </c>
      <c r="R78" s="26">
        <f t="shared" si="2"/>
        <v>0</v>
      </c>
      <c r="S78" s="26"/>
      <c r="T78" s="26">
        <f t="shared" si="4"/>
        <v>0</v>
      </c>
      <c r="U78" s="26">
        <f t="shared" si="5"/>
        <v>0</v>
      </c>
      <c r="V78" s="34">
        <f t="shared" si="9"/>
        <v>0</v>
      </c>
      <c r="W78" s="34"/>
      <c r="X78" s="97"/>
      <c r="Y78" s="97"/>
      <c r="Z78" s="98"/>
      <c r="AA78" s="98"/>
      <c r="AB78" s="98"/>
      <c r="AR78" s="15"/>
      <c r="AS78" s="15"/>
      <c r="AT78" s="15"/>
      <c r="AU78" s="15"/>
      <c r="AV78" s="6"/>
      <c r="AW78" s="6"/>
      <c r="AX78" s="6" t="e">
        <f>#REF!+AW78</f>
        <v>#REF!</v>
      </c>
      <c r="AY78" s="16" t="e">
        <f>AX78/$AX$83</f>
        <v>#REF!</v>
      </c>
    </row>
    <row r="79" spans="1:51" hidden="1">
      <c r="A79" s="9">
        <v>11</v>
      </c>
      <c r="B79" s="1"/>
      <c r="C79" s="1"/>
      <c r="D79" s="5"/>
      <c r="E79" s="5"/>
      <c r="F79" s="37"/>
      <c r="G79" s="37"/>
      <c r="H79" s="35"/>
      <c r="I79" s="39"/>
      <c r="J79" s="39"/>
      <c r="L79" s="26">
        <f>F79*J79</f>
        <v>0</v>
      </c>
      <c r="M79" s="26">
        <f>G79*I79</f>
        <v>0</v>
      </c>
      <c r="N79" s="6">
        <f>G79/$G$86</f>
        <v>0</v>
      </c>
      <c r="O79" s="15"/>
      <c r="P79" s="6">
        <f>IF(O79&gt;$N$24,MIN(1,(O79-$N$24)/($N$23-$N$24)),MIN(1,($N$24-O79)/($N$24-$N$22)))</f>
        <v>1</v>
      </c>
      <c r="Q79" s="25">
        <f>IF(O79&gt;$N$24,1+$R$23*POWER(P79,$P$24),1+$R$22*POWER(P79,$P$24))</f>
        <v>0</v>
      </c>
      <c r="R79" s="26">
        <f t="shared" si="2"/>
        <v>0</v>
      </c>
      <c r="S79" s="26"/>
      <c r="T79" s="26">
        <f t="shared" si="4"/>
        <v>0</v>
      </c>
      <c r="U79" s="26">
        <f t="shared" si="5"/>
        <v>0</v>
      </c>
      <c r="V79" s="34">
        <f t="shared" si="9"/>
        <v>0</v>
      </c>
      <c r="W79" s="34"/>
      <c r="X79" s="97"/>
      <c r="Y79" s="97"/>
      <c r="Z79" s="98"/>
      <c r="AA79" s="98"/>
      <c r="AB79" s="98"/>
      <c r="AR79" s="15"/>
      <c r="AS79" s="15"/>
      <c r="AT79" s="15"/>
      <c r="AU79" s="15"/>
      <c r="AV79" s="6"/>
      <c r="AY79" s="16"/>
    </row>
    <row r="80" spans="1:51" hidden="1">
      <c r="A80" s="9">
        <v>22</v>
      </c>
      <c r="B80" s="1"/>
      <c r="C80" s="1"/>
      <c r="D80" s="5"/>
      <c r="E80" s="5"/>
      <c r="F80" s="37"/>
      <c r="G80" s="37"/>
      <c r="H80" s="35"/>
      <c r="I80" s="39"/>
      <c r="J80" s="39"/>
      <c r="L80" s="26">
        <f>F80*J80</f>
        <v>0</v>
      </c>
      <c r="M80" s="26">
        <f>G80*I80</f>
        <v>0</v>
      </c>
      <c r="N80" s="6">
        <f>G80/$G$86</f>
        <v>0</v>
      </c>
      <c r="O80" s="15"/>
      <c r="P80" s="6">
        <f>IF(O80&gt;$N$24,MIN(1,(O80-$N$24)/($N$23-$N$24)),MIN(1,($N$24-O80)/($N$24-$N$22)))</f>
        <v>1</v>
      </c>
      <c r="Q80" s="25">
        <f>IF(O80&gt;$N$24,1+$R$23*POWER(P80,$P$24),1+$R$22*POWER(P80,$P$24))</f>
        <v>0</v>
      </c>
      <c r="R80" s="26">
        <f t="shared" si="2"/>
        <v>0</v>
      </c>
      <c r="S80" s="26"/>
      <c r="T80" s="26">
        <f t="shared" si="4"/>
        <v>0</v>
      </c>
      <c r="U80" s="26">
        <f t="shared" si="5"/>
        <v>0</v>
      </c>
      <c r="V80" s="34">
        <f t="shared" si="9"/>
        <v>0</v>
      </c>
      <c r="W80" s="34"/>
      <c r="X80" s="97"/>
      <c r="Y80" s="97"/>
      <c r="Z80" s="98"/>
      <c r="AA80" s="98"/>
      <c r="AB80" s="98"/>
      <c r="AR80" s="15"/>
      <c r="AS80" s="15"/>
      <c r="AT80" s="15"/>
      <c r="AU80" s="15"/>
      <c r="AV80" s="6"/>
      <c r="AW80" s="6"/>
      <c r="AX80" s="6" t="e">
        <f>#REF!+AW80</f>
        <v>#REF!</v>
      </c>
      <c r="AY80" s="16" t="e">
        <f>AX80/$AX$83</f>
        <v>#REF!</v>
      </c>
    </row>
    <row r="81" spans="1:56" hidden="1">
      <c r="A81" s="9">
        <v>12</v>
      </c>
      <c r="B81" s="1"/>
      <c r="C81" s="1"/>
      <c r="D81" s="5"/>
      <c r="E81" s="5"/>
      <c r="F81" s="37"/>
      <c r="G81" s="37"/>
      <c r="H81" s="35"/>
      <c r="I81" s="39"/>
      <c r="J81" s="39"/>
      <c r="L81" s="26">
        <f>F81*J81</f>
        <v>0</v>
      </c>
      <c r="M81" s="26">
        <f>G81*I81</f>
        <v>0</v>
      </c>
      <c r="N81" s="6">
        <f>G81/$G$86</f>
        <v>0</v>
      </c>
      <c r="O81" s="15"/>
      <c r="P81" s="6">
        <f>IF(O81&gt;$N$24,MIN(1,(O81-$N$24)/($N$23-$N$24)),MIN(1,($N$24-O81)/($N$24-$N$22)))</f>
        <v>1</v>
      </c>
      <c r="Q81" s="25">
        <f>IF(O81&gt;$N$24,1+$R$23*POWER(P81,$P$24),1+$R$22*POWER(P81,$P$24))</f>
        <v>0</v>
      </c>
      <c r="R81" s="26">
        <f t="shared" si="2"/>
        <v>0</v>
      </c>
      <c r="S81" s="26"/>
      <c r="T81" s="26">
        <f t="shared" si="4"/>
        <v>0</v>
      </c>
      <c r="U81" s="26">
        <f t="shared" si="5"/>
        <v>0</v>
      </c>
      <c r="V81" s="34">
        <f t="shared" si="9"/>
        <v>0</v>
      </c>
      <c r="W81" s="34"/>
      <c r="X81" s="97"/>
      <c r="Y81" s="97"/>
      <c r="Z81" s="98"/>
      <c r="AA81" s="98"/>
      <c r="AB81" s="98"/>
      <c r="AR81" s="15"/>
      <c r="AS81" s="15"/>
      <c r="AT81" s="15"/>
      <c r="AU81" s="15"/>
      <c r="AV81" s="6"/>
      <c r="AY81" s="16"/>
    </row>
    <row r="82" spans="1:56" hidden="1">
      <c r="A82" s="9">
        <v>13</v>
      </c>
      <c r="B82" s="1"/>
      <c r="C82" s="1"/>
      <c r="D82" s="5"/>
      <c r="E82" s="5"/>
      <c r="F82" s="37"/>
      <c r="G82" s="37"/>
      <c r="H82" s="35"/>
      <c r="I82" s="39"/>
      <c r="J82" s="39"/>
      <c r="L82" s="26">
        <f>F82*J82</f>
        <v>0</v>
      </c>
      <c r="M82" s="26">
        <f>G82*I82</f>
        <v>0</v>
      </c>
      <c r="N82" s="6">
        <f>G82/$G$86</f>
        <v>0</v>
      </c>
      <c r="O82" s="15"/>
      <c r="P82" s="6">
        <f>IF(O82&gt;$N$24,MIN(1,(O82-$N$24)/($N$23-$N$24)),MIN(1,($N$24-O82)/($N$24-$N$22)))</f>
        <v>1</v>
      </c>
      <c r="Q82" s="25">
        <f>IF(O82&gt;$N$24,1+$R$23*POWER(P82,$P$24),1+$R$22*POWER(P82,$P$24))</f>
        <v>0</v>
      </c>
      <c r="R82" s="26">
        <f t="shared" si="2"/>
        <v>0</v>
      </c>
      <c r="S82" s="26"/>
      <c r="T82" s="26">
        <f t="shared" si="4"/>
        <v>0</v>
      </c>
      <c r="U82" s="26">
        <f t="shared" si="5"/>
        <v>0</v>
      </c>
      <c r="V82" s="34">
        <f t="shared" si="9"/>
        <v>0</v>
      </c>
      <c r="W82" s="34"/>
      <c r="X82" s="97"/>
      <c r="Y82" s="97"/>
      <c r="Z82" s="98"/>
      <c r="AA82" s="98"/>
      <c r="AB82" s="98"/>
      <c r="AR82" s="15"/>
      <c r="AS82" s="15"/>
      <c r="AT82" s="15"/>
      <c r="AU82" s="15"/>
      <c r="AV82" s="6"/>
      <c r="AY82" s="16"/>
    </row>
    <row r="83" spans="1:56" ht="18">
      <c r="A83" s="4"/>
      <c r="I83" s="67">
        <f>SUM(I47:I82)</f>
        <v>6118</v>
      </c>
      <c r="J83" s="67">
        <f>SUM(J47:J82)</f>
        <v>6087.5199999999995</v>
      </c>
      <c r="K83" s="64"/>
      <c r="L83" s="67">
        <f>SUM(L47:L82)</f>
        <v>491.90824100000009</v>
      </c>
      <c r="M83" s="67">
        <f>SUM(M47:M82)</f>
        <v>472.21882000000005</v>
      </c>
      <c r="R83" s="67">
        <f>SUM(R47:R82)</f>
        <v>5685.1403312990797</v>
      </c>
      <c r="S83" s="70">
        <f>SUM(S47:S82)</f>
        <v>-432.85966870092028</v>
      </c>
      <c r="T83" s="67">
        <f>SUM(T47:T82)</f>
        <v>5684.7854286688653</v>
      </c>
      <c r="U83" s="67">
        <f>SUM(U47:U82)</f>
        <v>631.67818528008922</v>
      </c>
      <c r="V83" s="70">
        <f t="shared" si="9"/>
        <v>139.76994428008913</v>
      </c>
      <c r="W83" s="70">
        <f t="shared" si="9"/>
        <v>-332.44887571991092</v>
      </c>
      <c r="X83" s="99">
        <f>+R83/T83</f>
        <v>1.0000624302596233</v>
      </c>
      <c r="Y83" s="95">
        <f>SUM(Y47:Y82)</f>
        <v>5654.6603312990801</v>
      </c>
      <c r="Z83" s="94">
        <f>+R83/Y83</f>
        <v>1.0053902441904936</v>
      </c>
      <c r="AA83" s="98"/>
      <c r="AB83" s="98"/>
      <c r="AQ83">
        <f>SUM(AQ47:AQ58)</f>
        <v>0</v>
      </c>
      <c r="AR83" s="50">
        <f>SUM(AR47:AR58)</f>
        <v>0</v>
      </c>
      <c r="AS83" s="15">
        <f t="shared" ref="AG83:AT83" si="14">SUM(AS47:AS82)</f>
        <v>0</v>
      </c>
      <c r="AT83" s="49">
        <f t="shared" si="14"/>
        <v>0</v>
      </c>
      <c r="AU83" s="15"/>
      <c r="AV83" s="6">
        <f>SUM(AV47:AV82)</f>
        <v>0</v>
      </c>
      <c r="AW83" s="6">
        <f>SUM(AW47:AW82)</f>
        <v>0</v>
      </c>
      <c r="AX83" s="6" t="e">
        <f>SUM(AX47:AX82)</f>
        <v>#REF!</v>
      </c>
      <c r="AY83" s="15" t="e">
        <f>SUM(AY47:AY82)</f>
        <v>#REF!</v>
      </c>
      <c r="BC83" s="15">
        <f>SUM(BC47:BC82)</f>
        <v>0</v>
      </c>
      <c r="BD83" s="15">
        <f>SUM(BD47:BD82)</f>
        <v>0</v>
      </c>
    </row>
    <row r="84" spans="1:56">
      <c r="F84" t="s">
        <v>39</v>
      </c>
      <c r="G84" t="s">
        <v>100</v>
      </c>
      <c r="H84" t="s">
        <v>12</v>
      </c>
    </row>
    <row r="85" spans="1:56">
      <c r="E85" s="6" t="s">
        <v>101</v>
      </c>
      <c r="F85" s="66">
        <f>MIN(F47:F58)</f>
        <v>2.35E-2</v>
      </c>
      <c r="G85" s="66">
        <f>MIN(G47:G58)</f>
        <v>9.2599999999999991E-3</v>
      </c>
      <c r="H85" s="66">
        <f>MIN(H47:H58)</f>
        <v>0.9336283185840708</v>
      </c>
      <c r="I85" s="6"/>
      <c r="J85" s="6"/>
      <c r="N85" s="6"/>
    </row>
    <row r="86" spans="1:56">
      <c r="E86" s="6" t="s">
        <v>102</v>
      </c>
      <c r="F86" s="66">
        <f>MAX(F47:F58)</f>
        <v>0.32</v>
      </c>
      <c r="G86" s="66">
        <f>MAX(G47:G58)</f>
        <v>1</v>
      </c>
      <c r="H86" s="66">
        <f>MAX(H47:H58)</f>
        <v>1.023076923076923</v>
      </c>
      <c r="I86" s="6"/>
      <c r="J86" s="6"/>
      <c r="N86" s="6"/>
      <c r="Y86" s="44" t="s">
        <v>103</v>
      </c>
    </row>
    <row r="87" spans="1:56">
      <c r="E87" s="6" t="s">
        <v>104</v>
      </c>
      <c r="F87" s="66">
        <f>L83/J83</f>
        <v>8.080601640733831E-2</v>
      </c>
      <c r="G87" s="66">
        <f>M83/I83</f>
        <v>7.7185161817587458E-2</v>
      </c>
      <c r="H87" s="66">
        <f>I83/J83</f>
        <v>1.0050069650695193</v>
      </c>
      <c r="I87" s="6"/>
      <c r="J87" s="6"/>
      <c r="N87" t="s">
        <v>105</v>
      </c>
      <c r="Y87" t="s">
        <v>106</v>
      </c>
    </row>
    <row r="88" spans="1:56">
      <c r="N88" t="s">
        <v>107</v>
      </c>
      <c r="O88" t="s">
        <v>108</v>
      </c>
      <c r="P88" t="s">
        <v>86</v>
      </c>
      <c r="Y88" t="s">
        <v>109</v>
      </c>
    </row>
    <row r="89" spans="1:56">
      <c r="C89" s="6"/>
      <c r="E89" s="6" t="s">
        <v>110</v>
      </c>
      <c r="F89" s="64">
        <f>MIN(F87,F87*$P$21)</f>
        <v>8.080601640733831E-2</v>
      </c>
      <c r="G89" s="64">
        <f>MIN(G87,G87*$P$21)</f>
        <v>7.7185161817587458E-2</v>
      </c>
      <c r="H89" s="64">
        <f>MIN(H87,H87*$P$21)</f>
        <v>1.0050069650695193</v>
      </c>
      <c r="N89">
        <v>0</v>
      </c>
      <c r="O89" s="21">
        <f>IF(N89&gt;$N$24,MIN(1,(N89-$N$24)/($N$23-$N$24)),MIN(1,($N$24-N89)/($N$24-$N$22)))</f>
        <v>1</v>
      </c>
      <c r="P89" s="41">
        <f>IF(N89&gt;$N$24,1+$R$23*POWER(O89,$P$24),1+$R$22*POWER(O89,$P$24))</f>
        <v>0</v>
      </c>
    </row>
    <row r="90" spans="1:56">
      <c r="C90" s="6"/>
      <c r="E90" s="6" t="s">
        <v>111</v>
      </c>
      <c r="F90" s="66">
        <f>F87-F89</f>
        <v>0</v>
      </c>
      <c r="G90" s="66">
        <f>G87-G89</f>
        <v>0</v>
      </c>
      <c r="H90" s="66">
        <f>H87-H89</f>
        <v>0</v>
      </c>
      <c r="N90">
        <v>0.01</v>
      </c>
      <c r="O90" s="21">
        <f>IF(N90&gt;$N$24,MIN(1,(N90-$N$24)/($N$23-$N$24)),MIN(1,($N$24-N90)/($N$24-$N$22)))</f>
        <v>0.87624683848303331</v>
      </c>
      <c r="P90" s="41">
        <f>IF(N90&gt;$N$24,1+$R$23*POWER(O90,$P$24),1+$R$22*POWER(O90,$P$24))</f>
        <v>0.23219147804848894</v>
      </c>
    </row>
    <row r="91" spans="1:56">
      <c r="E91" s="6" t="s">
        <v>112</v>
      </c>
      <c r="F91" s="66">
        <f>F87+F89</f>
        <v>0.16161203281467662</v>
      </c>
      <c r="G91" s="66">
        <f>G87+G89</f>
        <v>0.15437032363517492</v>
      </c>
      <c r="H91" s="66">
        <f>H87+H89</f>
        <v>2.0100139301390385</v>
      </c>
      <c r="N91">
        <v>0.02</v>
      </c>
      <c r="O91" s="21">
        <f>IF(N91&gt;$N$24,MIN(1,(N91-$N$24)/($N$23-$N$24)),MIN(1,($N$24-N91)/($N$24-$N$22)))</f>
        <v>0.7524936769660665</v>
      </c>
      <c r="P91" s="41">
        <f>IF(N91&gt;$N$24,1+$R$23*POWER(O91,$P$24),1+$R$22*POWER(O91,$P$24))</f>
        <v>0.43375326612608911</v>
      </c>
    </row>
    <row r="92" spans="1:56">
      <c r="H92" s="61"/>
      <c r="N92">
        <v>0.03</v>
      </c>
      <c r="O92" s="21">
        <f>IF(N92&gt;$N$24,MIN(1,(N92-$N$24)/($N$23-$N$24)),MIN(1,($N$24-N92)/($N$24-$N$22)))</f>
        <v>0.62874051544909992</v>
      </c>
      <c r="P92" s="41">
        <f>IF(N92&gt;$N$24,1+$R$23*POWER(O92,$P$24),1+$R$22*POWER(O92,$P$24))</f>
        <v>0.60468536423280006</v>
      </c>
    </row>
    <row r="93" spans="1:56">
      <c r="N93">
        <v>0.04</v>
      </c>
      <c r="O93" s="21">
        <f>IF(N93&gt;$N$24,MIN(1,(N93-$N$24)/($N$23-$N$24)),MIN(1,($N$24-N93)/($N$24-$N$22)))</f>
        <v>0.50498735393213312</v>
      </c>
      <c r="P93" s="41">
        <f>IF(N93&gt;$N$24,1+$R$23*POWER(O93,$P$24),1+$R$22*POWER(O93,$P$24))</f>
        <v>0.74498777236862246</v>
      </c>
    </row>
    <row r="94" spans="1:56">
      <c r="N94">
        <v>0.05</v>
      </c>
      <c r="O94" s="21">
        <f>IF(N94&gt;$N$24,MIN(1,(N94-$N$24)/($N$23-$N$24)),MIN(1,($N$24-N94)/($N$24-$N$22)))</f>
        <v>0.38123419241516643</v>
      </c>
      <c r="P94" s="41">
        <f>IF(N94&gt;$N$24,1+$R$23*POWER(O94,$P$24),1+$R$22*POWER(O94,$P$24))</f>
        <v>0.85466049053355586</v>
      </c>
    </row>
    <row r="95" spans="1:56">
      <c r="N95">
        <v>0.08</v>
      </c>
      <c r="O95" s="21">
        <f>IF(N95&gt;$N$24,MIN(1,(N95-$N$24)/($N$23-$N$24)),MIN(1,($N$24-N95)/($N$24-$N$22)))</f>
        <v>9.9747078642662933E-3</v>
      </c>
      <c r="P95" s="41">
        <f>IF(N95&gt;$N$24,1+$R$23*POWER(O95,$P$24),1+$R$22*POWER(O95,$P$24))</f>
        <v>0.99990050520302254</v>
      </c>
    </row>
    <row r="96" spans="1:56">
      <c r="N96">
        <v>0.15</v>
      </c>
      <c r="O96" s="21">
        <f>IF(N96&gt;$N$24,MIN(1,(N96-$N$24)/($N$23-$N$24)),MIN(1,($N$24-N96)/($N$24-$N$22)))</f>
        <v>0.8562974227545006</v>
      </c>
      <c r="P96" s="41">
        <f>IF(N96&gt;$N$24,1+$R$23*POWER(O96,$P$24),1+$R$22*POWER(O96,$P$24))</f>
        <v>1.733245276216</v>
      </c>
    </row>
    <row r="97" spans="14:17">
      <c r="N97">
        <v>0.2</v>
      </c>
      <c r="O97" s="21">
        <f>IF(N97&gt;$N$24,MIN(1,(N97-$N$24)/($N$23-$N$24)),MIN(1,($N$24-N97)/($N$24-$N$22)))</f>
        <v>1</v>
      </c>
      <c r="P97" s="41">
        <f>IF(N97&gt;$N$24,1+$R$23*POWER(O97,$P$24),1+$R$22*POWER(O97,$P$24))</f>
        <v>2</v>
      </c>
    </row>
    <row r="98" spans="14:17">
      <c r="N98">
        <v>0.25</v>
      </c>
      <c r="O98" s="21">
        <f>IF(N98&gt;$N$24,MIN(1,(N98-$N$24)/($N$23-$N$24)),MIN(1,($N$24-N98)/($N$24-$N$22)))</f>
        <v>1</v>
      </c>
      <c r="P98" s="41">
        <f>IF(N98&gt;$N$24,1+$R$23*POWER(O98,$P$24),1+$R$22*POWER(O98,$P$24))</f>
        <v>2</v>
      </c>
    </row>
    <row r="99" spans="14:17">
      <c r="N99">
        <v>0.3</v>
      </c>
      <c r="O99" s="21">
        <f>IF(N99&gt;$N$24,MIN(1,(N99-$N$24)/($N$23-$N$24)),MIN(1,($N$24-N99)/($N$24-$N$22)))</f>
        <v>1</v>
      </c>
      <c r="P99" s="41">
        <f>IF(N99&gt;$N$24,1+$R$23*POWER(O99,$P$24),1+$R$22*POWER(O99,$P$24))</f>
        <v>2</v>
      </c>
    </row>
    <row r="100" spans="14:17">
      <c r="N100">
        <v>0.4</v>
      </c>
      <c r="O100" s="21">
        <f>IF(N100&gt;$N$24,MIN(1,(N100-$N$24)/($N$23-$N$24)),MIN(1,($N$24-N100)/($N$24-$N$22)))</f>
        <v>1</v>
      </c>
      <c r="P100" s="41">
        <f>IF(N100&gt;$N$24,1+$R$23*POWER(O100,$P$24),1+$R$22*POWER(O100,$P$24))</f>
        <v>2</v>
      </c>
    </row>
    <row r="101" spans="14:17">
      <c r="N101">
        <v>0.5</v>
      </c>
      <c r="O101" s="21">
        <f>IF(N101&gt;$N$24,MIN(1,(N101-$N$24)/($N$23-$N$24)),MIN(1,($N$24-N101)/($N$24-$N$22)))</f>
        <v>1</v>
      </c>
      <c r="P101" s="41">
        <f>IF(N101&gt;$N$24,1+$R$23*POWER(O101,$P$24),1+$R$22*POWER(O101,$P$24))</f>
        <v>2</v>
      </c>
    </row>
    <row r="102" spans="14:17">
      <c r="N102">
        <v>1</v>
      </c>
      <c r="O102" s="21">
        <f>IF(N102&gt;$N$24,MIN(1,(N102-$N$24)/($N$23-$N$24)),MIN(1,($N$24-N102)/($N$24-$N$22)))</f>
        <v>1</v>
      </c>
      <c r="P102" s="41">
        <f>IF(N102&gt;$N$24,1+$R$23*POWER(O102,$P$24),1+$R$22*POWER(O102,$P$24))</f>
        <v>2</v>
      </c>
    </row>
    <row r="110" spans="14:17">
      <c r="N110">
        <v>0.01</v>
      </c>
      <c r="O110" s="15">
        <f>N110^$P$24</f>
        <v>1E-4</v>
      </c>
      <c r="P110">
        <f>+O110*$R$22</f>
        <v>-1E-4</v>
      </c>
      <c r="Q110">
        <f>1+P110</f>
        <v>0.99990000000000001</v>
      </c>
    </row>
  </sheetData>
  <mergeCells count="13">
    <mergeCell ref="BA55:BA56"/>
    <mergeCell ref="BA57:BA58"/>
    <mergeCell ref="AD45:AL45"/>
    <mergeCell ref="L45:W45"/>
    <mergeCell ref="BA47:BA48"/>
    <mergeCell ref="BA49:BA51"/>
    <mergeCell ref="BA52:BA54"/>
    <mergeCell ref="M32:S32"/>
    <mergeCell ref="B45:J45"/>
    <mergeCell ref="M19:T19"/>
    <mergeCell ref="M26:P26"/>
    <mergeCell ref="M1:R1"/>
    <mergeCell ref="M7:R7"/>
  </mergeCells>
  <conditionalFormatting sqref="Q34:Q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{5CF8251A-19A7-4FB9-99B1-EE8DB45595C5}</x14:id>
        </ext>
      </extLst>
    </cfRule>
  </conditionalFormatting>
  <conditionalFormatting sqref="Q39:Q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{95593BC8-05C9-47BB-BA3C-8B359FEC928C}</x14:id>
        </ext>
      </extLst>
    </cfRule>
  </conditionalFormatting>
  <conditionalFormatting sqref="R34:R42">
    <cfRule type="cellIs" dxfId="1" priority="2" operator="greaterThan">
      <formula>0</formula>
    </cfRule>
  </conditionalFormatting>
  <conditionalFormatting sqref="S34:S42">
    <cfRule type="cellIs" dxfId="0" priority="1" operator="lessThan">
      <formula>0</formula>
    </cfRule>
  </conditionalFormatting>
  <pageMargins left="0.7" right="0.7" top="0.75" bottom="0.75" header="0.3" footer="0.3"/>
  <pageSetup paperSize="129" orientation="portrait" horizontalDpi="300" verticalDpi="300" r:id="rId1"/>
  <headerFooter>
    <oddFooter>&amp;C&amp;1#&amp;"Calibri"&amp;10&amp;K000000Schlumberger-Private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F8251A-19A7-4FB9-99B1-EE8DB4559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Q34:Q38</xm:sqref>
        </x14:conditionalFormatting>
        <x14:conditionalFormatting xmlns:xm="http://schemas.microsoft.com/office/excel/2006/main">
          <x14:cfRule type="dataBar" id="{95593BC8-05C9-47BB-BA3C-8B359FEC9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Q39:Q42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2F41F2-3F5C-4793-AED0-4BE2A01A7F98}">
          <x14:formula1>
            <xm:f>Sheet2!$B$2:$B$4</xm:f>
          </x14:formula1>
          <xm:sqref>P20</xm:sqref>
        </x14:dataValidation>
        <x14:dataValidation type="list" allowBlank="1" showInputMessage="1" showErrorMessage="1" xr:uid="{201EF9A2-2799-4F41-AA16-CBCD3B50788F}">
          <x14:formula1>
            <xm:f>Sheet2!$B$6:$B$7</xm:f>
          </x14:formula1>
          <xm:sqref>R20</xm:sqref>
        </x14:dataValidation>
        <x14:dataValidation type="list" allowBlank="1" showInputMessage="1" showErrorMessage="1" xr:uid="{98DC98A9-D4D9-439C-9838-27EDF169BF8A}">
          <x14:formula1>
            <xm:f>Sheet2!$B$9:$B$10</xm:f>
          </x14:formula1>
          <xm:sqref>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06D7-0D97-44D3-9882-A67B285B8082}">
  <dimension ref="B2:AG45"/>
  <sheetViews>
    <sheetView topLeftCell="E1" zoomScale="130" zoomScaleNormal="130" workbookViewId="0">
      <selection activeCell="E10" sqref="E10"/>
    </sheetView>
  </sheetViews>
  <sheetFormatPr defaultRowHeight="14.45"/>
  <cols>
    <col min="2" max="2" width="10.7109375" customWidth="1"/>
    <col min="3" max="3" width="10.85546875" customWidth="1"/>
    <col min="4" max="4" width="11.42578125" customWidth="1"/>
    <col min="5" max="5" width="12.5703125" customWidth="1"/>
    <col min="6" max="6" width="13.140625" customWidth="1"/>
    <col min="7" max="7" width="13.28515625" customWidth="1"/>
    <col min="8" max="8" width="12.85546875" customWidth="1"/>
    <col min="9" max="9" width="14.85546875" customWidth="1"/>
    <col min="10" max="10" width="11.85546875" customWidth="1"/>
    <col min="11" max="11" width="11.5703125" customWidth="1"/>
    <col min="12" max="12" width="15" customWidth="1"/>
    <col min="13" max="13" width="14.28515625" customWidth="1"/>
    <col min="14" max="14" width="10.140625" customWidth="1"/>
    <col min="15" max="15" width="15.28515625" customWidth="1"/>
    <col min="16" max="16" width="18.28515625" customWidth="1"/>
    <col min="17" max="17" width="12.140625" customWidth="1"/>
    <col min="18" max="19" width="10.7109375" customWidth="1"/>
    <col min="20" max="21" width="10.5703125" customWidth="1"/>
    <col min="22" max="23" width="10.28515625" customWidth="1"/>
    <col min="24" max="24" width="10.140625" customWidth="1"/>
    <col min="25" max="25" width="10.7109375" customWidth="1"/>
    <col min="26" max="26" width="10.42578125" customWidth="1"/>
    <col min="27" max="27" width="11.42578125" customWidth="1"/>
    <col min="28" max="28" width="10.42578125" customWidth="1"/>
  </cols>
  <sheetData>
    <row r="2" spans="2:25" ht="21">
      <c r="B2" s="56" t="s">
        <v>113</v>
      </c>
    </row>
    <row r="3" spans="2:25" ht="54">
      <c r="C3" s="59" t="s">
        <v>114</v>
      </c>
      <c r="D3" s="58" t="s">
        <v>115</v>
      </c>
      <c r="E3" s="58" t="s">
        <v>1</v>
      </c>
      <c r="F3" s="58" t="s">
        <v>2</v>
      </c>
      <c r="G3" s="58" t="s">
        <v>116</v>
      </c>
      <c r="H3" s="58" t="s">
        <v>117</v>
      </c>
      <c r="I3" s="58" t="s">
        <v>118</v>
      </c>
      <c r="J3" s="58" t="s">
        <v>119</v>
      </c>
      <c r="K3" s="58" t="s">
        <v>120</v>
      </c>
      <c r="L3" s="58" t="s">
        <v>121</v>
      </c>
      <c r="M3" s="58" t="s">
        <v>122</v>
      </c>
      <c r="N3" s="58" t="s">
        <v>123</v>
      </c>
      <c r="O3" s="58" t="s">
        <v>124</v>
      </c>
      <c r="P3" s="58" t="s">
        <v>125</v>
      </c>
    </row>
    <row r="4" spans="2:25" ht="28.9">
      <c r="C4">
        <v>1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130</v>
      </c>
      <c r="J4" s="18" t="s">
        <v>131</v>
      </c>
      <c r="K4" s="18" t="s">
        <v>132</v>
      </c>
      <c r="L4" t="s">
        <v>133</v>
      </c>
      <c r="M4" t="s">
        <v>134</v>
      </c>
      <c r="N4" s="18" t="s">
        <v>135</v>
      </c>
      <c r="O4" t="s">
        <v>129</v>
      </c>
      <c r="P4" t="s">
        <v>129</v>
      </c>
    </row>
    <row r="5" spans="2:25">
      <c r="C5" t="s">
        <v>136</v>
      </c>
      <c r="D5" t="s">
        <v>136</v>
      </c>
      <c r="E5" t="s">
        <v>136</v>
      </c>
      <c r="F5" t="s">
        <v>136</v>
      </c>
      <c r="G5" t="s">
        <v>137</v>
      </c>
      <c r="H5" t="s">
        <v>136</v>
      </c>
      <c r="I5" t="s">
        <v>136</v>
      </c>
      <c r="J5" t="s">
        <v>136</v>
      </c>
      <c r="K5" t="s">
        <v>136</v>
      </c>
      <c r="L5" t="s">
        <v>138</v>
      </c>
      <c r="M5" t="s">
        <v>138</v>
      </c>
      <c r="N5" t="s">
        <v>138</v>
      </c>
      <c r="O5" t="s">
        <v>138</v>
      </c>
      <c r="P5" t="s">
        <v>139</v>
      </c>
    </row>
    <row r="7" spans="2:25" ht="21">
      <c r="B7" s="56" t="s">
        <v>140</v>
      </c>
    </row>
    <row r="8" spans="2:25" ht="21">
      <c r="B8" s="56"/>
    </row>
    <row r="9" spans="2:25">
      <c r="B9" t="s">
        <v>141</v>
      </c>
      <c r="C9" s="2" t="s">
        <v>142</v>
      </c>
    </row>
    <row r="10" spans="2:25" ht="28.9">
      <c r="C10" s="60" t="s">
        <v>143</v>
      </c>
      <c r="D10" s="60" t="s">
        <v>144</v>
      </c>
      <c r="E10" s="60" t="s">
        <v>75</v>
      </c>
      <c r="F10" s="60" t="s">
        <v>145</v>
      </c>
      <c r="G10" s="60" t="s">
        <v>77</v>
      </c>
      <c r="H10" s="60" t="s">
        <v>78</v>
      </c>
      <c r="I10" s="60" t="s">
        <v>146</v>
      </c>
      <c r="J10" s="60" t="s">
        <v>147</v>
      </c>
      <c r="K10" s="60" t="s">
        <v>148</v>
      </c>
      <c r="L10" s="55" t="s">
        <v>149</v>
      </c>
      <c r="M10" s="55" t="s">
        <v>150</v>
      </c>
      <c r="N10" s="60"/>
      <c r="O10" s="60"/>
    </row>
    <row r="11" spans="2:25">
      <c r="C11" t="s">
        <v>136</v>
      </c>
      <c r="D11" t="s">
        <v>136</v>
      </c>
      <c r="E11" t="s">
        <v>136</v>
      </c>
      <c r="F11" t="s">
        <v>136</v>
      </c>
      <c r="G11" t="s">
        <v>136</v>
      </c>
      <c r="H11" s="54" t="s">
        <v>139</v>
      </c>
      <c r="I11" t="s">
        <v>151</v>
      </c>
      <c r="J11" t="s">
        <v>136</v>
      </c>
      <c r="K11" t="s">
        <v>136</v>
      </c>
      <c r="L11" s="54" t="s">
        <v>139</v>
      </c>
      <c r="M11" s="54" t="s">
        <v>139</v>
      </c>
    </row>
    <row r="13" spans="2:25" ht="28.9">
      <c r="E13" s="18" t="s">
        <v>152</v>
      </c>
      <c r="F13" s="18" t="s">
        <v>153</v>
      </c>
      <c r="J13" s="18" t="s">
        <v>154</v>
      </c>
      <c r="K13" s="18" t="s">
        <v>155</v>
      </c>
      <c r="N13" s="18"/>
    </row>
    <row r="15" spans="2:25">
      <c r="B15" t="s">
        <v>156</v>
      </c>
      <c r="C15" s="2" t="s">
        <v>157</v>
      </c>
    </row>
    <row r="16" spans="2:25" ht="21">
      <c r="B16" s="56"/>
      <c r="C16" s="87" t="s">
        <v>158</v>
      </c>
      <c r="D16" s="150" t="s">
        <v>159</v>
      </c>
      <c r="E16" s="151"/>
      <c r="F16" s="151"/>
      <c r="G16" s="151"/>
      <c r="H16" s="151"/>
      <c r="I16" s="151"/>
      <c r="J16" s="151"/>
      <c r="K16" s="151"/>
      <c r="L16" s="152"/>
      <c r="M16" s="150" t="s">
        <v>160</v>
      </c>
      <c r="N16" s="151"/>
      <c r="O16" s="151"/>
      <c r="P16" s="152"/>
      <c r="Q16" s="150" t="s">
        <v>161</v>
      </c>
      <c r="R16" s="151"/>
      <c r="S16" s="151"/>
      <c r="T16" s="151"/>
      <c r="U16" s="151"/>
      <c r="V16" s="151"/>
      <c r="W16" s="152"/>
      <c r="Y16" t="s">
        <v>162</v>
      </c>
    </row>
    <row r="17" spans="2:33" ht="57.6">
      <c r="C17" s="57" t="s">
        <v>114</v>
      </c>
      <c r="D17" s="57" t="s">
        <v>36</v>
      </c>
      <c r="E17" s="57" t="s">
        <v>163</v>
      </c>
      <c r="F17" s="57" t="s">
        <v>53</v>
      </c>
      <c r="G17" s="57" t="s">
        <v>50</v>
      </c>
      <c r="H17" s="57" t="s">
        <v>164</v>
      </c>
      <c r="I17" s="57" t="s">
        <v>165</v>
      </c>
      <c r="J17" s="57" t="s">
        <v>40</v>
      </c>
      <c r="K17" s="57" t="s">
        <v>166</v>
      </c>
      <c r="L17" s="57" t="s">
        <v>167</v>
      </c>
      <c r="M17" s="57" t="s">
        <v>168</v>
      </c>
      <c r="N17" s="57" t="s">
        <v>169</v>
      </c>
      <c r="O17" s="57" t="s">
        <v>170</v>
      </c>
      <c r="P17" s="57" t="s">
        <v>171</v>
      </c>
      <c r="Q17" s="57" t="s">
        <v>10</v>
      </c>
      <c r="R17" s="57" t="s">
        <v>172</v>
      </c>
      <c r="S17" s="57" t="s">
        <v>173</v>
      </c>
      <c r="T17" s="57" t="s">
        <v>174</v>
      </c>
      <c r="U17" s="57" t="s">
        <v>175</v>
      </c>
      <c r="V17" s="57" t="s">
        <v>176</v>
      </c>
      <c r="W17" s="57" t="s">
        <v>12</v>
      </c>
      <c r="Y17" s="57" t="s">
        <v>177</v>
      </c>
      <c r="Z17" s="57" t="s">
        <v>51</v>
      </c>
      <c r="AA17" s="57" t="s">
        <v>178</v>
      </c>
      <c r="AB17" s="57" t="s">
        <v>179</v>
      </c>
      <c r="AC17" s="57" t="s">
        <v>180</v>
      </c>
      <c r="AD17" s="57" t="s">
        <v>181</v>
      </c>
      <c r="AF17" t="s">
        <v>182</v>
      </c>
      <c r="AG17" t="s">
        <v>183</v>
      </c>
    </row>
    <row r="18" spans="2:33">
      <c r="C18" t="s">
        <v>136</v>
      </c>
      <c r="D18" t="s">
        <v>136</v>
      </c>
      <c r="E18" t="s">
        <v>136</v>
      </c>
      <c r="F18" t="s">
        <v>136</v>
      </c>
      <c r="G18" t="s">
        <v>136</v>
      </c>
      <c r="H18" t="s">
        <v>136</v>
      </c>
      <c r="I18" s="54" t="s">
        <v>139</v>
      </c>
      <c r="J18" s="54" t="s">
        <v>139</v>
      </c>
      <c r="K18" s="54" t="s">
        <v>139</v>
      </c>
      <c r="L18" t="s">
        <v>136</v>
      </c>
      <c r="Q18" t="s">
        <v>184</v>
      </c>
      <c r="R18" t="s">
        <v>184</v>
      </c>
      <c r="S18" t="s">
        <v>184</v>
      </c>
      <c r="T18" t="s">
        <v>184</v>
      </c>
      <c r="U18" t="s">
        <v>184</v>
      </c>
      <c r="V18" t="s">
        <v>184</v>
      </c>
      <c r="W18" t="s">
        <v>184</v>
      </c>
      <c r="Y18" t="s">
        <v>184</v>
      </c>
      <c r="Z18" t="s">
        <v>184</v>
      </c>
      <c r="AA18" t="s">
        <v>184</v>
      </c>
      <c r="AB18" t="s">
        <v>184</v>
      </c>
      <c r="AC18" t="s">
        <v>184</v>
      </c>
      <c r="AD18" t="s">
        <v>138</v>
      </c>
      <c r="AF18">
        <v>0</v>
      </c>
      <c r="AG18">
        <v>0.5</v>
      </c>
    </row>
    <row r="19" spans="2:33">
      <c r="C19">
        <v>1</v>
      </c>
      <c r="D19" t="s">
        <v>185</v>
      </c>
      <c r="E19" t="s">
        <v>39</v>
      </c>
      <c r="F19">
        <v>1.5</v>
      </c>
      <c r="G19">
        <v>0.5</v>
      </c>
      <c r="H19">
        <v>2</v>
      </c>
      <c r="I19">
        <v>1</v>
      </c>
      <c r="J19" t="s">
        <v>186</v>
      </c>
      <c r="K19">
        <v>-0.25</v>
      </c>
      <c r="L19" t="s">
        <v>187</v>
      </c>
      <c r="Q19" t="s">
        <v>188</v>
      </c>
      <c r="R19" t="s">
        <v>188</v>
      </c>
      <c r="S19" t="s">
        <v>188</v>
      </c>
      <c r="T19" t="s">
        <v>188</v>
      </c>
      <c r="U19" t="s">
        <v>188</v>
      </c>
      <c r="V19" t="s">
        <v>188</v>
      </c>
      <c r="W19" t="s">
        <v>188</v>
      </c>
      <c r="Y19">
        <f>+F19-1</f>
        <v>0.5</v>
      </c>
      <c r="Z19">
        <f>+G19-1</f>
        <v>-0.5</v>
      </c>
      <c r="AA19" t="s">
        <v>189</v>
      </c>
      <c r="AB19" t="s">
        <v>190</v>
      </c>
      <c r="AC19" t="s">
        <v>191</v>
      </c>
      <c r="AD19" t="s">
        <v>192</v>
      </c>
      <c r="AF19" s="3" t="s">
        <v>111</v>
      </c>
      <c r="AG19">
        <v>0.5</v>
      </c>
    </row>
    <row r="20" spans="2:33">
      <c r="F20">
        <v>2</v>
      </c>
      <c r="AF20" s="3"/>
    </row>
    <row r="24" spans="2:33" ht="21">
      <c r="B24" s="56" t="s">
        <v>193</v>
      </c>
    </row>
    <row r="26" spans="2:33">
      <c r="C26" s="2"/>
    </row>
    <row r="27" spans="2:33" ht="18"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8"/>
      <c r="R27" s="58"/>
      <c r="S27" s="58"/>
    </row>
    <row r="32" spans="2:33">
      <c r="C32" s="2"/>
    </row>
    <row r="33" spans="2:13">
      <c r="D33" s="55"/>
      <c r="E33" s="55"/>
      <c r="F33" s="55"/>
      <c r="G33" s="55"/>
      <c r="H33" s="55"/>
      <c r="I33" s="55"/>
      <c r="J33" s="55"/>
      <c r="K33" s="55"/>
    </row>
    <row r="42" spans="2:13">
      <c r="C42" s="52"/>
      <c r="D42" s="52"/>
      <c r="E42" s="51"/>
      <c r="F42" s="51"/>
      <c r="G42" s="52"/>
      <c r="H42" s="52"/>
      <c r="I42" s="52"/>
      <c r="J42" s="51"/>
      <c r="K42" s="51"/>
      <c r="L42" s="18"/>
      <c r="M42" s="18"/>
    </row>
    <row r="43" spans="2:13">
      <c r="H43" s="54"/>
      <c r="L43" s="54"/>
      <c r="M43" s="54"/>
    </row>
    <row r="45" spans="2:13">
      <c r="B45" t="s">
        <v>194</v>
      </c>
    </row>
  </sheetData>
  <mergeCells count="3">
    <mergeCell ref="D16:L16"/>
    <mergeCell ref="M16:P16"/>
    <mergeCell ref="Q16:W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54F0-E947-48AD-BBC9-71CCA9F67A8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5CDE-8852-431D-B8C5-8A74BF4405DC}">
  <dimension ref="B2:B10"/>
  <sheetViews>
    <sheetView workbookViewId="0">
      <selection activeCell="D10" sqref="D10"/>
    </sheetView>
  </sheetViews>
  <sheetFormatPr defaultRowHeight="14.45"/>
  <sheetData>
    <row r="2" spans="2:2">
      <c r="B2" s="63" t="s">
        <v>12</v>
      </c>
    </row>
    <row r="3" spans="2:2">
      <c r="B3" s="63" t="s">
        <v>39</v>
      </c>
    </row>
    <row r="4" spans="2:2">
      <c r="B4" s="63" t="s">
        <v>100</v>
      </c>
    </row>
    <row r="6" spans="2:2">
      <c r="B6" s="62" t="s">
        <v>195</v>
      </c>
    </row>
    <row r="7" spans="2:2">
      <c r="B7" s="62" t="s">
        <v>41</v>
      </c>
    </row>
    <row r="9" spans="2:2">
      <c r="B9" t="s">
        <v>196</v>
      </c>
    </row>
    <row r="10" spans="2:2">
      <c r="B10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6525ED8D4F84B8BBA4EE20F4C769C" ma:contentTypeVersion="11" ma:contentTypeDescription="Create a new document." ma:contentTypeScope="" ma:versionID="079688eb4d2596e4458e40cd2e6a1869">
  <xsd:schema xmlns:xsd="http://www.w3.org/2001/XMLSchema" xmlns:xs="http://www.w3.org/2001/XMLSchema" xmlns:p="http://schemas.microsoft.com/office/2006/metadata/properties" xmlns:ns2="601f32b6-c506-4322-a970-f537d177fb18" xmlns:ns3="b432c77d-a678-4671-8484-908a4df29974" targetNamespace="http://schemas.microsoft.com/office/2006/metadata/properties" ma:root="true" ma:fieldsID="39732138c3a84d2b0149b0540e0a493d" ns2:_="" ns3:_="">
    <xsd:import namespace="601f32b6-c506-4322-a970-f537d177fb18"/>
    <xsd:import namespace="b432c77d-a678-4671-8484-908a4df299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f32b6-c506-4322-a970-f537d177f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2c77d-a678-4671-8484-908a4df29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M I E A A B Q S w M E F A A C A A g A q q p r W a W A m j u l A A A A 9 g A A A B I A H A B D b 2 5 m a W c v U G F j a 2 F n Z S 5 4 b W w g o h g A K K A U A A A A A A A A A A A A A A A A A A A A A A A A A A A A h Y + x D o I w G I R f h X S n L W U h 5 K c m O r h I Y m J i X B u o 0 A g / h h b L u z n 4 S L 6 C G E X d H O / u u + T u f r 3 B Y m y b 4 K J 7 a z r M S E Q 5 C T Q W X W m w y s j g j m F C F h K 2 q j i p S g c T j D Y d r c l I 7 d w 5 Z c x 7 T 3 1 M u 7 5 i g v O I H f L N r q h 1 q 0 K D 1 i k s N P m 0 y v 8 t I m H / G i M F j W J B Y 5 F Q D m w 2 I T f 4 B c S 0 9 5 n + m L A a G j f 0 W m o M 1 0 t g s w T 2 / i A f U E s D B B Q A A g A I A K q q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q m t Z t I L g 4 7 s B A A A u B g A A E w A c A E Z v c m 1 1 b G F z L 1 N l Y 3 R p b 2 4 x L m 0 g o h g A K K A U A A A A A A A A A A A A A A A A A A A A A A A A A A A A 7 Z N R b 9 M w E M e f q d T v Y I W X V s q i d Y x N Y s r D l D Y s M L p A C n l Y 0 O Q l R + v N s d H 5 M p i q f X d u b V G 6 k f G G x M P y 4 v P 9 7 L v / n X M O S l L W i G y 9 j o 7 6 v X 7 P L S R C J d L 4 w 0 m S z S 6 y V I R C A / V 7 g r / M N l g C e y J 3 E 4 x t 2 d R g a B A r D U F k D f H G D b z o T f H Z A b r C X S 8 k S a M k F m c G x q h u Q O y I r F z o p r 4 E n A M W u c X r I k V 7 x R J c 8 b 7 5 I R U V u U S Z x w V L 4 P R F q 2 T L D I 5 P p 7 u 7 h w f e 0 D 8 f g 1 a 1 I s D Q e + H 5 I r I c 3 r h w 9 M o X E 1 P a S p l 5 O N p 7 v e e L j 4 0 l y O h W Q 9 i a w d Q a + D r 0 1 x W + 9 F h N z a w S J y A r L s P j c m f y k g 9 u y M Y / W D f D F + c b / 7 H W W S m 1 R B c S N t s h o 4 U 0 c 4 4 4 u / 0 O b b g Z S u O + W a z X i u + h G 3 T k 9 5 d L L 5 X E B Z o M i C s k P i k I f t K d L 5 Z e R h I p B 6 2 T 6 g 8 2 M d U T Z C w J f j s r t l f O M 6 U 5 e / V p i 5 n V U 6 3 o W + m 2 a G L o Y D + 4 F 7 2 C O e F f r j J N z N X T c V v 4 K G y K 4 F y D X d e 4 3 T a W Z Q d J L c I X q z v I g z b c D f s 9 Z T r f 6 N E k 8 A 9 3 k U z f T e L 4 P x i G V s z D 3 W Y k D p 9 H 4 n k k / s V I / A J Q S w E C L Q A U A A I A C A C q q m t Z p Y C a O 6 U A A A D 2 A A A A E g A A A A A A A A A A A A A A A A A A A A A A Q 2 9 u Z m l n L 1 B h Y 2 t h Z 2 U u e G 1 s U E s B A i 0 A F A A C A A g A q q p r W Q / K 6 a u k A A A A 6 Q A A A B M A A A A A A A A A A A A A A A A A 8 Q A A A F t D b 2 5 0 Z W 5 0 X 1 R 5 c G V z X S 5 4 b W x Q S w E C L Q A U A A I A C A C q q m t Z t I L g 4 7 s B A A A u B g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g A A A A A A A H c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S E l T V F 9 T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w M D Y 2 Y j c y L T J j Y W E t N G Y 4 O S 0 5 M D J j L T E z Z W E y Z D Y y N W Y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w O T o z O T o w O S 4 y M D U 0 M T E 3 W i I g L z 4 8 R W 5 0 c n k g V H l w Z T 0 i R m l s b E N v b H V t b l R 5 c G V z I i B W Y W x 1 Z T 0 i c 0 J n W U d D U V V E Q l F V R E J R V U Z C Z z 0 9 I i A v P j x F b n R y e S B U e X B l P S J G a W x s Q 2 9 s d W 1 u T m F t Z X M i I F Z h b H V l P S J z W y Z x d W 9 0 O 1 B h d H R l c m 5 T Z X Q m c X V v d D s s J n F 1 b 3 Q 7 U 3 R h c n R X Z W x s S W Q m c X V v d D s s J n F 1 b 3 Q 7 R W 5 k V 2 V s b E l k J n F 1 b 3 Q 7 L C Z x d W 9 0 O 0 R h d G U m c X V v d D s s J n F 1 b 3 Q 7 T 2 l s U H J v Z F J h d G U m c X V v d D s s J n F 1 b 3 Q 7 R 2 F z U H J v Z F J h d G U m c X V v d D s s J n F 1 b 3 Q 7 V 3 R y U H J v Z F J h d G U m c X V v d D s s J n F 1 b 3 Q 7 V 3 R y S W 5 q U m F 0 Z S Z x d W 9 0 O y w m c X V v d D t H Y X N J b m p S Y X R l J n F 1 b 3 Q 7 L C Z x d W 9 0 O 1 B y Z X N z d X J l J n F 1 b 3 Q 7 L C Z x d W 9 0 O 0 F s b G 9 G Y W M m c X V v d D s s J n F 1 b 3 Q 7 U G 9 y Z V Z v b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G T U h J U 1 R f U 1 A v Q X V 0 b 1 J l b W 9 2 Z W R D b 2 x 1 b W 5 z M S 5 7 U G F 0 d G V y b l N l d C w w f S Z x d W 9 0 O y w m c X V v d D t T Z W N 0 a W 9 u M S 9 Q R k 1 I S V N U X 1 N Q L 0 F 1 d G 9 S Z W 1 v d m V k Q 2 9 s d W 1 u c z E u e 1 N 0 Y X J 0 V 2 V s b E l k L D F 9 J n F 1 b 3 Q 7 L C Z x d W 9 0 O 1 N l Y 3 R p b 2 4 x L 1 B G T U h J U 1 R f U 1 A v Q X V 0 b 1 J l b W 9 2 Z W R D b 2 x 1 b W 5 z M S 5 7 R W 5 k V 2 V s b E l k L D J 9 J n F 1 b 3 Q 7 L C Z x d W 9 0 O 1 N l Y 3 R p b 2 4 x L 1 B G T U h J U 1 R f U 1 A v Q X V 0 b 1 J l b W 9 2 Z W R D b 2 x 1 b W 5 z M S 5 7 R G F 0 Z S w z f S Z x d W 9 0 O y w m c X V v d D t T Z W N 0 a W 9 u M S 9 Q R k 1 I S V N U X 1 N Q L 0 F 1 d G 9 S Z W 1 v d m V k Q 2 9 s d W 1 u c z E u e 0 9 p b F B y b 2 R S Y X R l L D R 9 J n F 1 b 3 Q 7 L C Z x d W 9 0 O 1 N l Y 3 R p b 2 4 x L 1 B G T U h J U 1 R f U 1 A v Q X V 0 b 1 J l b W 9 2 Z W R D b 2 x 1 b W 5 z M S 5 7 R 2 F z U H J v Z F J h d G U s N X 0 m c X V v d D s s J n F 1 b 3 Q 7 U 2 V j d G l v b j E v U E Z N S E l T V F 9 T U C 9 B d X R v U m V t b 3 Z l Z E N v b H V t b n M x L n t X d H J Q c m 9 k U m F 0 Z S w 2 f S Z x d W 9 0 O y w m c X V v d D t T Z W N 0 a W 9 u M S 9 Q R k 1 I S V N U X 1 N Q L 0 F 1 d G 9 S Z W 1 v d m V k Q 2 9 s d W 1 u c z E u e 1 d 0 c k l u a l J h d G U s N 3 0 m c X V v d D s s J n F 1 b 3 Q 7 U 2 V j d G l v b j E v U E Z N S E l T V F 9 T U C 9 B d X R v U m V t b 3 Z l Z E N v b H V t b n M x L n t H Y X N J b m p S Y X R l L D h 9 J n F 1 b 3 Q 7 L C Z x d W 9 0 O 1 N l Y 3 R p b 2 4 x L 1 B G T U h J U 1 R f U 1 A v Q X V 0 b 1 J l b W 9 2 Z W R D b 2 x 1 b W 5 z M S 5 7 U H J l c 3 N 1 c m U s O X 0 m c X V v d D s s J n F 1 b 3 Q 7 U 2 V j d G l v b j E v U E Z N S E l T V F 9 T U C 9 B d X R v U m V t b 3 Z l Z E N v b H V t b n M x L n t B b G x v R m F j L D E w f S Z x d W 9 0 O y w m c X V v d D t T Z W N 0 a W 9 u M S 9 Q R k 1 I S V N U X 1 N Q L 0 F 1 d G 9 S Z W 1 v d m V k Q 2 9 s d W 1 u c z E u e 1 B v c m V W b 2 w s M T F 9 J n F 1 b 3 Q 7 L C Z x d W 9 0 O 1 N l Y 3 R p b 2 4 x L 1 B G T U h J U 1 R f U 1 A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G T U h J U 1 R f U 1 A v Q X V 0 b 1 J l b W 9 2 Z W R D b 2 x 1 b W 5 z M S 5 7 U G F 0 d G V y b l N l d C w w f S Z x d W 9 0 O y w m c X V v d D t T Z W N 0 a W 9 u M S 9 Q R k 1 I S V N U X 1 N Q L 0 F 1 d G 9 S Z W 1 v d m V k Q 2 9 s d W 1 u c z E u e 1 N 0 Y X J 0 V 2 V s b E l k L D F 9 J n F 1 b 3 Q 7 L C Z x d W 9 0 O 1 N l Y 3 R p b 2 4 x L 1 B G T U h J U 1 R f U 1 A v Q X V 0 b 1 J l b W 9 2 Z W R D b 2 x 1 b W 5 z M S 5 7 R W 5 k V 2 V s b E l k L D J 9 J n F 1 b 3 Q 7 L C Z x d W 9 0 O 1 N l Y 3 R p b 2 4 x L 1 B G T U h J U 1 R f U 1 A v Q X V 0 b 1 J l b W 9 2 Z W R D b 2 x 1 b W 5 z M S 5 7 R G F 0 Z S w z f S Z x d W 9 0 O y w m c X V v d D t T Z W N 0 a W 9 u M S 9 Q R k 1 I S V N U X 1 N Q L 0 F 1 d G 9 S Z W 1 v d m V k Q 2 9 s d W 1 u c z E u e 0 9 p b F B y b 2 R S Y X R l L D R 9 J n F 1 b 3 Q 7 L C Z x d W 9 0 O 1 N l Y 3 R p b 2 4 x L 1 B G T U h J U 1 R f U 1 A v Q X V 0 b 1 J l b W 9 2 Z W R D b 2 x 1 b W 5 z M S 5 7 R 2 F z U H J v Z F J h d G U s N X 0 m c X V v d D s s J n F 1 b 3 Q 7 U 2 V j d G l v b j E v U E Z N S E l T V F 9 T U C 9 B d X R v U m V t b 3 Z l Z E N v b H V t b n M x L n t X d H J Q c m 9 k U m F 0 Z S w 2 f S Z x d W 9 0 O y w m c X V v d D t T Z W N 0 a W 9 u M S 9 Q R k 1 I S V N U X 1 N Q L 0 F 1 d G 9 S Z W 1 v d m V k Q 2 9 s d W 1 u c z E u e 1 d 0 c k l u a l J h d G U s N 3 0 m c X V v d D s s J n F 1 b 3 Q 7 U 2 V j d G l v b j E v U E Z N S E l T V F 9 T U C 9 B d X R v U m V t b 3 Z l Z E N v b H V t b n M x L n t H Y X N J b m p S Y X R l L D h 9 J n F 1 b 3 Q 7 L C Z x d W 9 0 O 1 N l Y 3 R p b 2 4 x L 1 B G T U h J U 1 R f U 1 A v Q X V 0 b 1 J l b W 9 2 Z W R D b 2 x 1 b W 5 z M S 5 7 U H J l c 3 N 1 c m U s O X 0 m c X V v d D s s J n F 1 b 3 Q 7 U 2 V j d G l v b j E v U E Z N S E l T V F 9 T U C 9 B d X R v U m V t b 3 Z l Z E N v b H V t b n M x L n t B b G x v R m F j L D E w f S Z x d W 9 0 O y w m c X V v d D t T Z W N 0 a W 9 u M S 9 Q R k 1 I S V N U X 1 N Q L 0 F 1 d G 9 S Z W 1 v d m V k Q 2 9 s d W 1 u c z E u e 1 B v c m V W b 2 w s M T F 9 J n F 1 b 3 Q 7 L C Z x d W 9 0 O 1 N l Y 3 R p b 2 4 x L 1 B G T U h J U 1 R f U 1 A v Q X V 0 b 1 J l b W 9 2 Z W R D b 2 x 1 b W 5 z M S 5 7 Q 2 9 s d W 1 u M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G T U h J U 1 R f U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S E l T V F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1 I S V N U X 1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X 1 N Q X 0 l O S k V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Z D g y M j V l L T c y O W M t N G Z i N C 0 5 N m Z h L T c 3 M T A 2 O T U w O G V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N D o 1 O T o y M i 4 2 N T U 4 M z E 0 W i I g L z 4 8 R W 5 0 c n k g V H l w Z T 0 i R m l s b E N v b H V t b l R 5 c G V z I i B W Y W x 1 Z T 0 i c 0 J n W U d D U V V E Q l F V R E J R V U Z C Z z 0 9 I i A v P j x F b n R y e S B U e X B l P S J G a W x s Q 2 9 s d W 1 u T m F t Z X M i I F Z h b H V l P S J z W y Z x d W 9 0 O 1 B h d H R l c m 5 T Z X Q m c X V v d D s s J n F 1 b 3 Q 7 U 3 R h c n R X Z W x s S W Q m c X V v d D s s J n F 1 b 3 Q 7 R W 5 k V 2 V s b E l k J n F 1 b 3 Q 7 L C Z x d W 9 0 O 0 R h d G U m c X V v d D s s J n F 1 b 3 Q 7 T 2 l s U H J v Z F J h d G U m c X V v d D s s J n F 1 b 3 Q 7 R 2 F z U H J v Z F J h d G U m c X V v d D s s J n F 1 b 3 Q 7 V 3 R y U H J v Z F J h d G U m c X V v d D s s J n F 1 b 3 Q 7 V 3 R y S W 5 q U m F 0 Z S Z x d W 9 0 O y w m c X V v d D t H Y X N J b m p S Y X R l J n F 1 b 3 Q 7 L C Z x d W 9 0 O 1 B y Z X N z d X J l J n F 1 b 3 Q 7 L C Z x d W 9 0 O 0 F s b G 9 G Y W M m c X V v d D s s J n F 1 b 3 Q 7 U G 9 y Z V Z v b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G T V 9 T U F 9 J T k p F R k Y v Q X V 0 b 1 J l b W 9 2 Z W R D b 2 x 1 b W 5 z M S 5 7 U G F 0 d G V y b l N l d C w w f S Z x d W 9 0 O y w m c X V v d D t T Z W N 0 a W 9 u M S 9 Q R k 1 f U 1 B f S U 5 K R U Z G L 0 F 1 d G 9 S Z W 1 v d m V k Q 2 9 s d W 1 u c z E u e 1 N 0 Y X J 0 V 2 V s b E l k L D F 9 J n F 1 b 3 Q 7 L C Z x d W 9 0 O 1 N l Y 3 R p b 2 4 x L 1 B G T V 9 T U F 9 J T k p F R k Y v Q X V 0 b 1 J l b W 9 2 Z W R D b 2 x 1 b W 5 z M S 5 7 R W 5 k V 2 V s b E l k L D J 9 J n F 1 b 3 Q 7 L C Z x d W 9 0 O 1 N l Y 3 R p b 2 4 x L 1 B G T V 9 T U F 9 J T k p F R k Y v Q X V 0 b 1 J l b W 9 2 Z W R D b 2 x 1 b W 5 z M S 5 7 R G F 0 Z S w z f S Z x d W 9 0 O y w m c X V v d D t T Z W N 0 a W 9 u M S 9 Q R k 1 f U 1 B f S U 5 K R U Z G L 0 F 1 d G 9 S Z W 1 v d m V k Q 2 9 s d W 1 u c z E u e 0 9 p b F B y b 2 R S Y X R l L D R 9 J n F 1 b 3 Q 7 L C Z x d W 9 0 O 1 N l Y 3 R p b 2 4 x L 1 B G T V 9 T U F 9 J T k p F R k Y v Q X V 0 b 1 J l b W 9 2 Z W R D b 2 x 1 b W 5 z M S 5 7 R 2 F z U H J v Z F J h d G U s N X 0 m c X V v d D s s J n F 1 b 3 Q 7 U 2 V j d G l v b j E v U E Z N X 1 N Q X 0 l O S k V G R i 9 B d X R v U m V t b 3 Z l Z E N v b H V t b n M x L n t X d H J Q c m 9 k U m F 0 Z S w 2 f S Z x d W 9 0 O y w m c X V v d D t T Z W N 0 a W 9 u M S 9 Q R k 1 f U 1 B f S U 5 K R U Z G L 0 F 1 d G 9 S Z W 1 v d m V k Q 2 9 s d W 1 u c z E u e 1 d 0 c k l u a l J h d G U s N 3 0 m c X V v d D s s J n F 1 b 3 Q 7 U 2 V j d G l v b j E v U E Z N X 1 N Q X 0 l O S k V G R i 9 B d X R v U m V t b 3 Z l Z E N v b H V t b n M x L n t H Y X N J b m p S Y X R l L D h 9 J n F 1 b 3 Q 7 L C Z x d W 9 0 O 1 N l Y 3 R p b 2 4 x L 1 B G T V 9 T U F 9 J T k p F R k Y v Q X V 0 b 1 J l b W 9 2 Z W R D b 2 x 1 b W 5 z M S 5 7 U H J l c 3 N 1 c m U s O X 0 m c X V v d D s s J n F 1 b 3 Q 7 U 2 V j d G l v b j E v U E Z N X 1 N Q X 0 l O S k V G R i 9 B d X R v U m V t b 3 Z l Z E N v b H V t b n M x L n t B b G x v R m F j L D E w f S Z x d W 9 0 O y w m c X V v d D t T Z W N 0 a W 9 u M S 9 Q R k 1 f U 1 B f S U 5 K R U Z G L 0 F 1 d G 9 S Z W 1 v d m V k Q 2 9 s d W 1 u c z E u e 1 B v c m V W b 2 w s M T F 9 J n F 1 b 3 Q 7 L C Z x d W 9 0 O 1 N l Y 3 R p b 2 4 x L 1 B G T V 9 T U F 9 J T k p F R k Y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G T V 9 T U F 9 J T k p F R k Y v Q X V 0 b 1 J l b W 9 2 Z W R D b 2 x 1 b W 5 z M S 5 7 U G F 0 d G V y b l N l d C w w f S Z x d W 9 0 O y w m c X V v d D t T Z W N 0 a W 9 u M S 9 Q R k 1 f U 1 B f S U 5 K R U Z G L 0 F 1 d G 9 S Z W 1 v d m V k Q 2 9 s d W 1 u c z E u e 1 N 0 Y X J 0 V 2 V s b E l k L D F 9 J n F 1 b 3 Q 7 L C Z x d W 9 0 O 1 N l Y 3 R p b 2 4 x L 1 B G T V 9 T U F 9 J T k p F R k Y v Q X V 0 b 1 J l b W 9 2 Z W R D b 2 x 1 b W 5 z M S 5 7 R W 5 k V 2 V s b E l k L D J 9 J n F 1 b 3 Q 7 L C Z x d W 9 0 O 1 N l Y 3 R p b 2 4 x L 1 B G T V 9 T U F 9 J T k p F R k Y v Q X V 0 b 1 J l b W 9 2 Z W R D b 2 x 1 b W 5 z M S 5 7 R G F 0 Z S w z f S Z x d W 9 0 O y w m c X V v d D t T Z W N 0 a W 9 u M S 9 Q R k 1 f U 1 B f S U 5 K R U Z G L 0 F 1 d G 9 S Z W 1 v d m V k Q 2 9 s d W 1 u c z E u e 0 9 p b F B y b 2 R S Y X R l L D R 9 J n F 1 b 3 Q 7 L C Z x d W 9 0 O 1 N l Y 3 R p b 2 4 x L 1 B G T V 9 T U F 9 J T k p F R k Y v Q X V 0 b 1 J l b W 9 2 Z W R D b 2 x 1 b W 5 z M S 5 7 R 2 F z U H J v Z F J h d G U s N X 0 m c X V v d D s s J n F 1 b 3 Q 7 U 2 V j d G l v b j E v U E Z N X 1 N Q X 0 l O S k V G R i 9 B d X R v U m V t b 3 Z l Z E N v b H V t b n M x L n t X d H J Q c m 9 k U m F 0 Z S w 2 f S Z x d W 9 0 O y w m c X V v d D t T Z W N 0 a W 9 u M S 9 Q R k 1 f U 1 B f S U 5 K R U Z G L 0 F 1 d G 9 S Z W 1 v d m V k Q 2 9 s d W 1 u c z E u e 1 d 0 c k l u a l J h d G U s N 3 0 m c X V v d D s s J n F 1 b 3 Q 7 U 2 V j d G l v b j E v U E Z N X 1 N Q X 0 l O S k V G R i 9 B d X R v U m V t b 3 Z l Z E N v b H V t b n M x L n t H Y X N J b m p S Y X R l L D h 9 J n F 1 b 3 Q 7 L C Z x d W 9 0 O 1 N l Y 3 R p b 2 4 x L 1 B G T V 9 T U F 9 J T k p F R k Y v Q X V 0 b 1 J l b W 9 2 Z W R D b 2 x 1 b W 5 z M S 5 7 U H J l c 3 N 1 c m U s O X 0 m c X V v d D s s J n F 1 b 3 Q 7 U 2 V j d G l v b j E v U E Z N X 1 N Q X 0 l O S k V G R i 9 B d X R v U m V t b 3 Z l Z E N v b H V t b n M x L n t B b G x v R m F j L D E w f S Z x d W 9 0 O y w m c X V v d D t T Z W N 0 a W 9 u M S 9 Q R k 1 f U 1 B f S U 5 K R U Z G L 0 F 1 d G 9 S Z W 1 v d m V k Q 2 9 s d W 1 u c z E u e 1 B v c m V W b 2 w s M T F 9 J n F 1 b 3 Q 7 L C Z x d W 9 0 O 1 N l Y 3 R p b 2 4 x L 1 B G T V 9 T U F 9 J T k p F R k Y v Q X V 0 b 1 J l b W 9 2 Z W R D b 2 x 1 b W 5 z M S 5 7 Q 2 9 s d W 1 u M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G T V 9 T U F 9 J T k p F R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X 1 N Q X 0 l O S k V G R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1 f U 1 B f S U 5 K R U Z G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V Y b T L k I J 9 H t + b P t m 6 0 K v g A A A A A A g A A A A A A A 2 Y A A M A A A A A Q A A A A j m l a 4 U p w O g d U w e 3 L q j X a O A A A A A A E g A A A o A A A A B A A A A A P g Q C n D q w E b A U S F 8 J a I U d d U A A A A P d g 2 o s 9 e 5 z K k q l u V 3 w p 4 l i J V Q S 8 I H H Q D c c O K k F U M U n N J a w n M C w g 9 b i O O q l d M U V c z H 1 O V o L M E y K 0 i w i T 9 W q 0 i G 5 q B L r i G o 5 o e k 2 4 Y E B M F L P o F A A A A F N 4 h Y R 7 y I k Q j n U F N o u n R k E F p 9 N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4F6073-D56E-4FE9-9890-C148A38AEA79}"/>
</file>

<file path=customXml/itemProps2.xml><?xml version="1.0" encoding="utf-8"?>
<ds:datastoreItem xmlns:ds="http://schemas.openxmlformats.org/officeDocument/2006/customXml" ds:itemID="{FF440C37-4784-425E-868D-7BC358980C26}"/>
</file>

<file path=customXml/itemProps3.xml><?xml version="1.0" encoding="utf-8"?>
<ds:datastoreItem xmlns:ds="http://schemas.openxmlformats.org/officeDocument/2006/customXml" ds:itemID="{2AEF184E-47FD-49BD-B36D-1A60F391F7AA}"/>
</file>

<file path=customXml/itemProps4.xml><?xml version="1.0" encoding="utf-8"?>
<ds:datastoreItem xmlns:ds="http://schemas.openxmlformats.org/officeDocument/2006/customXml" ds:itemID="{EA49F523-3901-4839-9742-59B0006F0548}"/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Frode Bratvedt</dc:creator>
  <cp:keywords/>
  <dc:description/>
  <cp:lastModifiedBy/>
  <cp:revision/>
  <dcterms:created xsi:type="dcterms:W3CDTF">2021-11-17T16:50:46Z</dcterms:created>
  <dcterms:modified xsi:type="dcterms:W3CDTF">2024-11-22T16:01:17Z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FBratvedt@slb.com</vt:lpwstr>
  </property>
  <property fmtid="{D5CDD505-2E9C-101B-9397-08002B2CF9AE}" pid="5" name="MSIP_Label_585f1f62-8d2b-4457-869c-0a13c6549635_SetDate">
    <vt:lpwstr>2021-11-17T17:48:01.6816552Z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ae348168-24ba-443f-baa2-b20787b0b963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FBratvedt@slb.com</vt:lpwstr>
  </property>
  <property fmtid="{D5CDD505-2E9C-101B-9397-08002B2CF9AE}" pid="13" name="MSIP_Label_8bb759f6-5337-4dc5-b19b-e74b6da11f8f_SetDate">
    <vt:lpwstr>2021-11-17T17:48:01.6816552Z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ae348168-24ba-443f-baa2-b20787b0b963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  <property fmtid="{D5CDD505-2E9C-101B-9397-08002B2CF9AE}" pid="20" name="ContentTypeId">
    <vt:lpwstr>0x01010079B6525ED8D4F84B8BBA4EE20F4C769C</vt:lpwstr>
  </property>
</Properties>
</file>