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in_amazon_cn_to_translate" sheetId="1" r:id="rId3"/>
  </sheets>
  <definedNames/>
  <calcPr/>
</workbook>
</file>

<file path=xl/sharedStrings.xml><?xml version="1.0" encoding="utf-8"?>
<sst xmlns="http://schemas.openxmlformats.org/spreadsheetml/2006/main" count="5003" uniqueCount="4982">
  <si>
    <t>labels</t>
  </si>
  <si>
    <t>text</t>
  </si>
  <si>
    <t>translation</t>
  </si>
  <si>
    <t>希望不是二手 开封打开了一个，另一个很脏，这个型号无法连接蓝牙，查看不了是不是被用过，机子试用了一次，不知道之后好不好用</t>
  </si>
  <si>
    <t>紧身款，适合高瘦型 本人173，66kg，s码紧身，只能打底穿了。做工一般，线头多，初洗会掉色，要多泡几次。</t>
  </si>
  <si>
    <t>容量中英文标的不一样 不喜欢，中文显示容量是8t，买回来才知道是6t，再也不在amazon买东西了</t>
  </si>
  <si>
    <t>腰部会下卷 腰部会下卷，夏天穿很热</t>
  </si>
  <si>
    <t>满意 尺寸和国内差不多，172m77公斤，32很合适，这款是宽松型，裤腿比较宽。</t>
  </si>
  <si>
    <t>海外的东西物美价廉 是好东西，就是运的时间有点久。但也值了。用起来响应速度快，读取快，手感好。</t>
  </si>
  <si>
    <t>很好的一件防寒外套 我已经购买了一件其他品牌的衬衫款式的外套，十分温暖，所以再次购买这款颜色的。 首先，这是一款衬衫花色和款式的外套，不是传统意义上的衬衫（也可以当衬衫穿），尺码自然就是外套尺码。 其次，这件外套里面肯定是还要穿内衣的。这英文中的羊羔绒，就是我们常说的抓绒。 第三，这外套不会起静电，但最好内衣穿纯棉的。适合5-15度气温穿着这件外套，里面只需要穿一件短袖体恤就够了。 孟加拉国制造，质量还可以。</t>
  </si>
  <si>
    <t>物美价廉，穿着舒适 物美价廉，穿着舒适，还会再次购买</t>
  </si>
  <si>
    <t>🐘印品质优 已经试用了，效果不错</t>
  </si>
  <si>
    <t>还行吧 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</si>
  <si>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感觉不错啊！ 可能我要求低，感觉蛮好的。175，78选的M，也蛮合适的。美国本土的衣服比较适合长的壮的人！</t>
  </si>
  <si>
    <t>衣服还行 175 75kg M号刚刚好了衣服有点厚</t>
  </si>
  <si>
    <t>很满意 标题写8只装，实际收到是12只的，大家放心 很实惠的价格，确认是正品，可以购买</t>
  </si>
  <si>
    <t>打八十五分 不错！小缺点是左脚刚好右脚反而紧，而且我是左撇子，真绝了</t>
  </si>
  <si>
    <t>衣服品质 拿到手的时候，新衣服上就粘上了许多毛，非常莫名其妙，不推荐购买</t>
  </si>
  <si>
    <t>有型 帽子有型，戴着舒服。</t>
  </si>
  <si>
    <t>做工精细，用料好 舒适合身，非常喜欢。</t>
  </si>
  <si>
    <t>很棒 235mm，uk4很合适，不怎么磨脚。买的樱桃红，产自越南，有黄色鞋带。400+入手。亚马逊的客服也很棒。</t>
  </si>
  <si>
    <t>神器神器 朋友推荐的神器，双胞胎儿子一人一套，早起就练起来，能自己吃上几口，我们刚一岁</t>
  </si>
  <si>
    <t>书写好用 一块钱一支，珠心比晨光的好一万倍</t>
  </si>
  <si>
    <t>还行 里面穿一件短袖或长袖T恤刚刚好修身，再大一码估计就稍微宽松一点了！就是不知道是不是正品</t>
  </si>
  <si>
    <t>搭配运动休闲裤。 收到鞋子尺码可以，就是偏窄了点</t>
  </si>
  <si>
    <t>百搭 秋冬深色衣服的百搭款</t>
  </si>
  <si>
    <t>好 裤子很合适，尺码标注准确。</t>
  </si>
  <si>
    <t>质量不错 就是价格有点贵，烫热菜或者冷却稀饭都很快速，还有一个带盖饭盒方便外出使用，橙色很漂亮。</t>
  </si>
  <si>
    <t>值得拥有 不错的跑鞋，很满意。</t>
  </si>
  <si>
    <t>合适 这个牌子三角裤我买大码有点小，四角的买大码就合适，材料夏天穿很舒服，173高71公斤</t>
  </si>
  <si>
    <t>包边不好 手帕柔软，但包边做工比较粗糙</t>
  </si>
  <si>
    <t>假 感觉是假的 我买的勺子和叉子长短都不一样，颜色也不一样拆封了 没法退</t>
  </si>
  <si>
    <t>还可以 两根肩带，细的那根肩带的缝线做的太差，还好也没打算用！皮子没什么大味道</t>
  </si>
  <si>
    <t>还行 1，还是有些夹头，入耳式还是最舒服的 2，音质比较均衡，每个声部都比较清晰 3，价格还是略高，为了音质不建议购买</t>
  </si>
  <si>
    <t>舒适性 鞋底偏硬，其他ok。号码小一码到一码半。</t>
  </si>
  <si>
    <t>声音太大 很一般，声音太大了</t>
  </si>
  <si>
    <t>还不错 布料不错，裁剪也合适，就是不大修身</t>
  </si>
  <si>
    <t>不错 美亚发货太慢了，足足等了四五个工作日，但是物流很不错，美亚发货后7天到货，比各种转运速度快多了，中亚的客服态度也不错。 收到的香蕉看包装标示应该是美国产的，打开没什么气味，比较容易粘毛，不过硅胶制品总是难免的，孩子头一回玩很喜欢，不知道能持续多久</t>
  </si>
  <si>
    <t>比想像好 好</t>
  </si>
  <si>
    <t>碧然德 过滤效果不错。</t>
  </si>
  <si>
    <t>性价比超高！ 性价比高！对于我的耳朵来说！足够了！</t>
  </si>
  <si>
    <t>不偏大 别买小了 鞋子挺好的 没有明显瑕疵 多米尼加产 偏瘦且不偏大 之前买过脚踝里衬是碎花的那款黄靴 比这个10361小半码 但无论是穿起来 还是我拿在手里比对 感觉是碎花的大一点 肥一点 37.5的脚 买的7.5w us/  5.5uk 不能再小了</t>
  </si>
  <si>
    <t>还不错 今天收到了，查了下型号，4T，WD的蓝盘，5400转。简单试了试，各方面还行。</t>
  </si>
  <si>
    <t>会一直回购的好物 这个超级好穿，到货后又马上下了一单，购买同款另一色。</t>
  </si>
  <si>
    <t>红色很Nice 已收到 ，英国直邮仅五天就到了。很棒 很Nice 。运输过程中一直让我很期待 ，带了几天越看越喜欢 非常的百搭，走在街上感觉自己是这条街最靓的仔。</t>
  </si>
  <si>
    <t>喜欢 挺好用的，收到当天就用了！</t>
  </si>
  <si>
    <t>很不错！是原装！ 用起来非常好。就是运的速度超慢！</t>
  </si>
  <si>
    <t>保温效果好，颜值高 给爸爸买的，他就喜欢各种保温杯，对于这款很满意，觉得颜值很高，保温效果也很好</t>
  </si>
  <si>
    <t>正版 一直信赖亚马逊，保温壶是日版的。保温时间长，心仪很久了，终于下手了。宝宝也很喜欢</t>
  </si>
  <si>
    <t>舒适 比较薄白色的透不能外穿，面料舒适。172  75穿着合适</t>
  </si>
  <si>
    <t>很棒 蓝色是骚了点，买大了一号，不过加个鞋垫还是合脚的。压脚背跟磨脚的现象没法避免，穿一阵子就好了</t>
  </si>
  <si>
    <t>Perfect boots! 第一次海外购直邮，体验很好，总共十天就到了。鞋子非常合脚，平时穿运动鞋40或者41这个买的7.5EE加个鞋垫刚好，包裹性和舒适度是我穿过的最好的鞋了。到手价加上税费一共1600，还是很划算了～期待过了磨合期的脚感～</t>
  </si>
  <si>
    <t>好质量 173cm，70kg，m穿起有点大，喜欢宽松的话很合适，我喜欢紧凑的s应该更好</t>
  </si>
  <si>
    <t>re系列，录音最对的选择 买来录音用的 在台里用的是re20，在家录音本来也想买20，买的时候没货，就买了320了。 怎么说呢，肯定是比普通话筒好的多，包括一些电容麦，录出来高音很漂亮，很有质感，很立体 低音的话，没有20那种加持的快感，但是也能很真实的反应出人声音色，总之也是很棒的 颜值真的高，黑色太好看了，比20好看的多 说下物流，因为付款人和收件人不一致，清关的时候延迟来着，在北京卡了整整5天 然后顺风送货，第二天就到了，一共花了15天的时间，快递包装袋很高科技，是絮了棉花的牛皮纸之类材质的纸袋儿，还不错 最重要的是，一共才花了2500+，比别的平台包括供货商都便宜多了，20也才3000，台里8000买的…可怕 我的声卡是雅马哈ur22ll，内置话放很棒，能把声音推上来，听人说别的声卡，推不动动圈，需要外置话放，这点真得注意…… 最后，这个系列的话筒录人声真的棒，毕竟央广标配来着</t>
  </si>
  <si>
    <t>纯棉 质量很好，稍微大一点点并不影响</t>
  </si>
  <si>
    <t>性价比极高的海外购 使用了4个月了，发现尚未评论。一切安好，尚未发现不良瑕疵。</t>
  </si>
  <si>
    <t>很不错的衣服 舒适柔软，尺码合适。</t>
  </si>
  <si>
    <t>满意 尺码合适穿着很舒服，满意</t>
  </si>
  <si>
    <t>装开水有味 中国制造，装开水有味。</t>
  </si>
  <si>
    <t>做工有些粗糙 鞋子收到了 中国产的...做工有些粗糙 不太敢确定是否正品 买之前真的很相信亚马逊自营 看来以后得注意一点了……</t>
  </si>
  <si>
    <t>差得令人惊讶 看这字印得，在国内山寨产品里都算最差的那个档次。1星都高了。</t>
  </si>
  <si>
    <t>性价比高 很有质感 价格实惠 就是实际颜色和页面介绍偏差较大 东西质量和舒适度可以</t>
  </si>
  <si>
    <t>还不错，没手柄和搅拌球 不错，但是没有带手柄，这点不好，孩子大点了想自己扶但是不会扶啊</t>
  </si>
  <si>
    <t>颜色 实物与图片颜色不太相符</t>
  </si>
  <si>
    <t>鞋面有伤痕咋办？ 鞋子来了，稍微有些大，垫了鞋垫正好，不过鞋面上有伤痕不知如何处理？</t>
  </si>
  <si>
    <t>衬衣尺寸与实际有出入 不太理想，尺寸大了</t>
  </si>
  <si>
    <t>是正品 鞋子很轻，很舒适！</t>
  </si>
  <si>
    <t>喜欢 小腿胳膊还有腋下都使用了两次了，效果真的惊艳，两个星期用一次，有一些没长出来，长出来的也很慢了看着不明显，毛星人的救星</t>
  </si>
  <si>
    <t>AKG Y500(绿色) 音质很好，日亚的商品，耳罩稍微有些热</t>
  </si>
  <si>
    <t>合适 大小合适，186，82公斤，远l</t>
  </si>
  <si>
    <t>蛮好的  ~~~ 穿起来很舒服 ~~~~非常划算 ~~~</t>
  </si>
  <si>
    <t>裤子稍小 卖家的表述与中国人的习惯不同，又没有一个直接与卖家沟通的平台。所以，对于在海南岛穿来说，稍嫌厚了点，穿上身稍紧⋯东西的面料、做工不错。</t>
  </si>
  <si>
    <t>全棉的 日本的尺码与国内还是很一致的，购买方便。</t>
  </si>
  <si>
    <t>尺码合适，但是外形架不起来 尺码挺合适，外形适合身材比较魁梧一点的人，普通和偏瘦的其实还是买亚洲版更好</t>
  </si>
  <si>
    <t>就是领口小了一点 173cm、78Kg国内买41的衬衫，这次买M的大小合适可领口小了，居然扣子都扣不上。不过穿上不扣领扣没问题</t>
  </si>
  <si>
    <t>漂亮秀气时尚 非常漂亮，召开羡慕的眼光</t>
  </si>
  <si>
    <t>颜色 色差自己感受下。喜欢就好</t>
  </si>
  <si>
    <t>帽子整体还行，商标的位置有点做工问题，懒得折腾了，留下 帽子整体还行，商标的位置有点做工问题，懒得折腾了，留下</t>
  </si>
  <si>
    <t>价格不错，声音比较大 价格不错，声音比较大，性价比高。</t>
  </si>
  <si>
    <t>很好的衣服 好好好，喜欢，有弹性</t>
  </si>
  <si>
    <t>【比较牛逼的移动硬】 很好用，用1年了没任何问题~</t>
  </si>
  <si>
    <t>不错 有点小 质量很好 很舒服</t>
  </si>
  <si>
    <t>有点大 很酷，喜欢。就是稍微有点大，穿了袜子也大</t>
  </si>
  <si>
    <t>两头实用 宝宝还没加辅食，买回来备用。拿来喂药也特别方面。</t>
  </si>
  <si>
    <t>好用 虽然要用变压器，但确实好用，保温效果超级好</t>
  </si>
  <si>
    <t>轻薄保暖 老公怕热不怕冷，冬天穿这个正合适</t>
  </si>
  <si>
    <t>金色复古手表 带着好显眼呀 超级喜欢〜 还有夜光的功能 好怀念呀 呵呵 发货速度 包装很精致</t>
  </si>
  <si>
    <t>第一次用 很不错，声音定位准，越听越有味，清淡，脱俗的气质。</t>
  </si>
  <si>
    <t>日本购买的中国制造 本来以为是日本货，结果是中国制造</t>
  </si>
  <si>
    <t>一般吧 感觉不是很值得,没想象的好</t>
  </si>
  <si>
    <t>用过几次  一年没有  就读写不出来了 没有质保 只有三十天的退换期限</t>
  </si>
  <si>
    <t>假货 此商品明显是假货。   1鞋盒中无合格证，各类印章全无。   2鞋底的狮子与正品完全不符。   3要购买的朋友请注意，一旦购买，退货运费将不会退还（100多运费）。</t>
  </si>
  <si>
    <t>太短了 30腰围，买30的居然五个孔的最紧一个孔都扣不上！！还没地方打孔了，直接作废！那有这种尺码的？</t>
  </si>
  <si>
    <t>便宜 图便宜买了两件，料子较厚，感觉还行。</t>
  </si>
  <si>
    <t>满意 在家穿穿挺好，当睡衣。</t>
  </si>
  <si>
    <t>粘毛，起球，触感粗糙 本人174cm，75kg，第一次买champion的裤子，M码我穿大小挺合适的 说说这个裤子的缺点： 1、要粘毛，最好是跟其他颜色衣物分开写； 2、要起球，摸着触感粗糙。  但，毕竟价格在这里，不考虑品牌，建议再贴一点点钱买安踏、李宁的。</t>
  </si>
  <si>
    <t>颜色过旧 颜色有点旧，前面还有一个口袋。国内码170穿这个有点小。袖子瘦长。</t>
  </si>
  <si>
    <t>需要把手更便携 有把手会更好 ，便于携带。</t>
  </si>
  <si>
    <t>喜欢 喜欢这款式，面料很好</t>
  </si>
  <si>
    <t>好 好 宽松肥大 舒服</t>
  </si>
  <si>
    <t>可以 还可以，大小合适。舒适</t>
  </si>
  <si>
    <t>很好的裤子 很好很满意！不错的！</t>
  </si>
  <si>
    <t>有点小 有点小，其余都好</t>
  </si>
  <si>
    <t>黑色短体桖 东西还不错，性价比很好，大小适合，还会继续选购！！</t>
  </si>
  <si>
    <t>很舒服，质量不错，的啊 不错的面料，很舒服，触感好好</t>
  </si>
  <si>
    <t>牛奶系统，一键式菜单 1.6种一键式菜单很便捷 2.牛奶系统很方便，味道不错 3.开机时用灯的闪烁进行提示不是很直观便</t>
  </si>
  <si>
    <t>物美价廉 二百五十三含税买下，稍微比正常码大一点，脚尖处比较宽W版，适合脚肥的人，这双上一次买的偏紧这次买的同样码偏松一点。</t>
  </si>
  <si>
    <t>几好！！不过个人可能手比较大，所以觉得手表比较小！！手表很精致！！ 几好！！不过个人可能手比较大，所以觉得手表比较小！！手表很精致！！</t>
  </si>
  <si>
    <t>长期服用 每天一次，效果估计得长期服用</t>
  </si>
  <si>
    <t>好 价格很优惠！损耗品可多买备用</t>
  </si>
  <si>
    <t>挺好用 挺好的。拿来工作用再合适不过~</t>
  </si>
  <si>
    <t>性价比很高的耳机 性价比没得说，三音均衡，解析和结像都很棒。就是稍微有点夹头。</t>
  </si>
  <si>
    <t>买大了…转手有需求的吗… 脑抽平常鬼冢虎42.5应该8.5差不多，选成了9.5…终于到货…还是挺好看的…就是大了T T 现在想出了他…感觉平常运动鞋44的差不多…有想要的朋友可以联系我下…</t>
  </si>
  <si>
    <t>满意 &lt;div id="video-block-RNAGZRYXUWMC1" class="a-section a-spacing-small a-spacing-top-mini video-block"&gt;&lt;/div&gt;&lt;input type="hidden" name="" value="https://images-cn.ssl-images-amazon.com/images/I/91W5fF2PgsS.mp4" class="video-url"&gt;&lt;input type="hidden" name="" value="https://images-cn.ssl-images-amazon.com/images/I/71aOhLkTvpS.png" class="video-slate-img-url"&gt;&amp;nbsp;自己动手安装挺方便，只用到大阪手，就跟换了之前用了近20年的混水器（也是日产）</t>
  </si>
  <si>
    <t>质量不错，价格OK 宝贝质量不错，价格OK，就是颜色样式不太符。退货要自去邮寄，麻烦，算了。</t>
  </si>
  <si>
    <t>喜欢 160。 90斤。穿xs刚刚好。有点oversize感觉就是袖子挺长的。不错很喜欢。百分之十正品</t>
  </si>
  <si>
    <t>大小合适方便背挎 很好很好很好</t>
  </si>
  <si>
    <t>买过最贵的电吹风 这段时间空气比较湿润，所以测试不了水离子的功效。相比198元的负离子松下旧电吹风，这款风大噪音低，很喜欢按住瞬间变凉风的功能。</t>
  </si>
  <si>
    <t>产品质量尚可 产品质量还行，大小合适，价格适中，比较推荐。我179CM 75KG买的M，正好。给各位做一个参考。</t>
  </si>
  <si>
    <t>挺好的 买大了，衣服质量不错</t>
  </si>
  <si>
    <t>质量不行 收到货时手表已经在走了，买来用了一两个月就不走了</t>
  </si>
  <si>
    <t>凉快就是特别大大大大 173cm 90kg 穿 XXL 不仅肥了两个码，而且太短，离膝盖还有一定距离。 舒服是舒服，比较凉快。</t>
  </si>
  <si>
    <t>包装不好 正品，但是包装回来，有好多都破壳而出</t>
  </si>
  <si>
    <t>不行 杯子味道特别大没法用，已经拆了退不了</t>
  </si>
  <si>
    <t>鸡肋产品。 不好用 一点都不好用，到头来还不如自己切。</t>
  </si>
  <si>
    <t>很好看 皮很软 38码买了us7.5合适，确实有点内增高啊哈哈是新款箭头金标。收到鞋两只都有穿过的痕迹，还是选择了退货，重新下单了，希望这次没问题。</t>
  </si>
  <si>
    <t>品质 质感其实不好，很单薄，不挺。线头特别多，纽扣的缝制做工很差。同价位与国内品牌比也没什么优势</t>
  </si>
  <si>
    <t>衣服很不错，物流体验不好 衣服本身很不错。有一定厚度，内有绒。穿上非常暖和（十几度的天气）。两侧都有口袋，一侧的口袋里还有一个类似零钱袋的网格小袋。还有耳机线孔。衣服稍显长，但我175,75穿M号还是比较合身。做工上质地比一般的如champion的要好很多。左胸前的logo虽然是烫印上去的，但是那种有凸起的，有一定厚度的，而不是那种类似油漆印的感觉。有些许线头，但不多。 谈到物流，体验很不好。理解双十一物流慢，我11月11日下的单26日到的。但这家快递公司人员的态度让人不快。本来海外购加双十一也没什么问题。但有趣的是看物流追踪信息，23日货品就到了上海，显示在配送。但后来就是显示配送高峰包裹延误。本来想打个电话给配送员问一下大概会延误到什么时候。配送员的电话始终处于关机状态。接下来连续2天都是同样情况。看信息，早上配送员就开始配送，但到晚上就显示延误，电话是白天晚上都关机。终于到26日。接到某配送员电话，说在你家楼下了，家里怎么没人（口气生硬且不耐烦）。我回答，不好意思上班时分家里确实没人，避免他再跑一次，可以有两个选择，一进得了楼大门可以将货品放在楼梯间的水表箱，或者是小区门口的丰巢。然后他又不耐烦的回应丰巢说不定满了。我说已经过了高峰时间了，应该没有问题的。没等我说完，他又不耐烦的说晓得了挂断了电话。亚马逊这次我就买了3样东西，有2样是这家快递送的都延误了。而第三件是圆通送的，没问题。所以亚马逊在这次双十一的物流表现上至少是比淘宝和京东什么的逊色</t>
  </si>
  <si>
    <t>水质会改变吗 感觉还不错，就是水没检测。</t>
  </si>
  <si>
    <t>还没开始用 囤货，一直没用上，都是买的成品辅食</t>
  </si>
  <si>
    <t>性价比高 鞋码很准，宽松款式，小半号可以。穿着轻便舒适。性价比高。</t>
  </si>
  <si>
    <t>冠军T恤 日本冠军，质量还可以，修身版，适合亚洲人体型，内有一层薄内衬。满意！</t>
  </si>
  <si>
    <t>质量赞 这次发货很快，包装完善而且很用心。小配件装好一套，不用看图纸也能上手。国内家装标准一致可以直接更换，就是适配偏心螺纹管对动手能力差的来说有点难度。控温很好，温度指示仅作参考。花洒很小巧，但出水量很大，手握能感觉到反作用力。软管有点硬，防止偏向冷水浇头。</t>
  </si>
  <si>
    <t>在亚马逊上购买安德玛水杯物超所值 水杯颜色亮丽大方，制作非常精美，容量适中，是健身和旅游必备之品，值得购买。</t>
  </si>
  <si>
    <t>牛仔裤 裤子大小合适，就是偏短了一点。但是再长一点的尺码又没货</t>
  </si>
  <si>
    <t>合适 一百十几买的，收到包包跟图片完全一致，不过后面降价了才七十几，亚马逊的价格是门学问</t>
  </si>
  <si>
    <t>172 60kg 172 60 kg 29w32l 腰刚好合适裤腿长了一点点。</t>
  </si>
  <si>
    <t>非常划算的海淘 帮朋友海淘的，价格非常划算！朋友说很喜欢，实物比照片还好看</t>
  </si>
  <si>
    <t>有效果 海外购太划算了，东西挺好的收到后每天都用，觉得还是有效果的，产后恢复必备</t>
  </si>
  <si>
    <t>合脚，但是偏大 鞋子很软，平时穿42的，结果这个42大了半码</t>
  </si>
  <si>
    <t>175  65kg买的S非常贴身，面料摸着舒服。 175  65kg买的S非常贴身，面料摸着舒服。</t>
  </si>
  <si>
    <t>非常不错。 包装有些简陋，不过实物收到很漂亮。</t>
  </si>
  <si>
    <t>三幅霹雳马卷笔刀 不愧是三福的，连卷笔刀都做得十分优秀，设计了两个规格的削笔孔，可以将彩铅削细长型的也可以是粗短型的，而且削笔很快不会浪费笔芯，容量比较大可以装多点笔削~所以虽然是四十多块钱一个，不过因为是直接海外购的也比代购的便宜，好的彩铅也要搭配好的卷笔刀，值得购买！另外，包装的话还是比较严实的，里面填满充气袋，可能由于是美国那边发出的，又在海关查验折腾了好些天，原包装有被开过的痕迹，不过易客满有用胶带再次封好，里面的东西完好无损，这次是第一次海外购刚好遇到g20峰会，所以清关比较慢，咨询了亚马逊客服，服务还是不错的，无论是电话，邮件还是短信都是有回应，有帮忙解决问题，不会怠慢，希望继续努力越做越好。</t>
  </si>
  <si>
    <t>还行 厚，让你有一种踏实的感觉……</t>
  </si>
  <si>
    <t>完美 完美！</t>
  </si>
  <si>
    <t>值得买 这个鞋子比较跟脚，包裹性强，皮质偏硬，鞋底硬度适中，没有阿迪boost那么软，整体比较舒适。</t>
  </si>
  <si>
    <t>Really nice 特别好，性价比高，很满意</t>
  </si>
  <si>
    <t>值得 172，70，尺码刚刚好，裤子质量很好，就是线头有点</t>
  </si>
  <si>
    <t>还可以 挺好的，大小合适，但鞋底有点脏，感觉像是在店里出售的展品，被试过好多次</t>
  </si>
  <si>
    <t>合适 36码的脚穿这个码正合适，里面的没有内衬布，有点掉色</t>
  </si>
  <si>
    <t>非常满意的一次购物 为750配了这个干杯，价格是国内行货的零头。一个容器，又没有电压之类的区别，保修基本也用不到，还能保证正品。除去干杯打干粉的功能外，32盎司的大小使用起来更加方便，现在经常用来打果汁，虽然果汁的细腻度不如湿杯，但清洗更方便。</t>
  </si>
  <si>
    <t>好评 摸着还可以，不知道效果怎么样</t>
  </si>
  <si>
    <t>刻度不准 刻度严重不准！！！误差能有10ml！！！</t>
  </si>
  <si>
    <t>单肩包 迷你肩包 S PM-01 还行，觉得200元以内比较合理！</t>
  </si>
  <si>
    <t>慎入 价格持续走低，装在笔记本上速度表现一般，可能是受限于笔记本平台，这样看来不如买其他品牌更便宜的</t>
  </si>
  <si>
    <t>不值得买 不值得买，导航盒电池不到一个月就耗光，售后服务差，解答疑问不耐烦</t>
  </si>
  <si>
    <t>用没几次就坏了 首先，东西用了10次不到马达就坏了，且机器打开时机身上有不少很淡的白色面粉状斑块，考虑到海外购的退货麻烦且打开包装时距离签收有好几个月了就算了，另外料理杯接口的盖子外面也有两个黄豆大的磨损(开始没注意到)，全新的商品不应该这样啊；其次，吐槽下中亚的客服服务简直就是垃圾，毫无诚信可言，体验过海外亚马逊和中亚客服服务的自然明白我说的。</t>
  </si>
  <si>
    <t>品质 确实不如华歌尔舒服</t>
  </si>
  <si>
    <t>衣服修身，胖人慎选。 衣服做工不错，样子颜色都挺好看的。长短合适，比较修身，基本上贴在身上了。身高175，体重66，S号。M号肯定又大了。</t>
  </si>
  <si>
    <t>稍大，面料较软 做工还行，面料较软。可能我头小，带着有点大了，可以当遮阳帽，潮帽就算了。。</t>
  </si>
  <si>
    <t>产品总体不错 其它都好，声音略有点儿响</t>
  </si>
  <si>
    <t>量很大 应该是真的吧，貌似有点作用，就是口味太甜</t>
  </si>
  <si>
    <t>奶嘴孔很小 这个Y型孔的奶嘴孔很小，吸起来很费劲。</t>
  </si>
  <si>
    <t>合身 没想到能买到这么合身的牛仔衣。我属于大胸，不好买衣服。这款身段合适，袖子稍长，需要挽一节。但总体显瘦。胖妹纸可以考虑</t>
  </si>
  <si>
    <t>非常好的淋浴龙头 花洒虽然很小，水流确不小，温度控制准确，比手动控制的混水阀出热水的速度快好多，而且温度稳定，可以开心的洗澡了</t>
  </si>
  <si>
    <t>合适 188/82，美版就只能选M号，约旦货的做工比洪都拉斯的好多了</t>
  </si>
  <si>
    <t>贝亲玻璃实感奶瓶 收到货虽然盒子有点烂了，但是里面的包装挺好的，瓶子是原装进口的，也没有破损，第一次在亚马逊海外购买东西，朋友推荐的，价钱优惠东西也好</t>
  </si>
  <si>
    <t>传输速度很快 实际7.2TB左右，有点遗憾，传输100多MB一秒，很快了</t>
  </si>
  <si>
    <t>舒服 给朋友买的，他说穿着舒服</t>
  </si>
  <si>
    <t>好 很舒适。松紧带窄，喜欢</t>
  </si>
  <si>
    <t>一致好评 给俩同事在日亚一人一个，不到五天就到货了，包装很精致，东西很满意。价格很实惠哦</t>
  </si>
  <si>
    <t>价格实惠 号码合适，价格实惠不少。</t>
  </si>
  <si>
    <t>使用前一定要设置好系统。 写入能到100M，需要设置好虚拟内存，硬盘属性里面打开高性能模式，否则只有20多M的写入速度。</t>
  </si>
  <si>
    <t>音质不错 音质不错，还是拜亚的经典味道，发货快</t>
  </si>
  <si>
    <t>合适 系统经典牛仔裤。老美的款式确实裤脚有一点点大，是真的直筒</t>
  </si>
  <si>
    <t>相当不错 尺码很准确，裤子质地比较厚实，腰部和整体都带弹力的，裤型也比较大方。这样的裤子国内买价格得翻倍。</t>
  </si>
  <si>
    <t>perfect shoes i bought a smaller size than normal. It's perfect fit. Looking very beautiful as well. Wearing together with jean very cool. i'm from DX state, IT'S A PRIVINCE OF SHANDONG, NOT SOUTH OF US</t>
  </si>
  <si>
    <t>不错 还不错，属于夏款，很薄</t>
  </si>
  <si>
    <t>补钙好选择 孩子一直都在用它家的东西 感觉没什么问题 孩子很喜欢</t>
  </si>
  <si>
    <t>不错料子挺厚的。。。。 不错料子挺厚。。。。。。</t>
  </si>
  <si>
    <t>不错的仔裤 挺好的，尺码合适，价格适中，比专卖店便宜不少。</t>
  </si>
  <si>
    <t>..... 很好的餐具，宝宝喜欢用</t>
  </si>
  <si>
    <t>感觉好容易就没了！ 很顺滑，感觉没什么蜡质</t>
  </si>
  <si>
    <t>挺好 体重胖的买正常尺寸就行 袖子长点</t>
  </si>
  <si>
    <t>这次真的信了！ 开始找了很多牌子，无法确定。最后看到这个，施耐德，品牌好，买家多，品论也多，所以选了这个。。但回来试了才发现，我应该相信楼上大哥们的话。。这个笔真的有点小问题。。转笔时候真的不出水。。试了之后真的信了。。不过其他还好。。。第一次在这里购买。。有点小失望。。准备去澳门时候再买一支。。这个就备用了。。。</t>
  </si>
  <si>
    <t>质量尺寸 感觉不出是纯棉，还想没大了当睡裤，这质量不行，另外我170高140重买m是偏大。</t>
  </si>
  <si>
    <t>推荐购买 160，96斤，大小合适，颜色是米白色，里面加绒，胸前是印花，袖子上是刺绣，价钱合适，可以购买。</t>
  </si>
  <si>
    <t>好大啊…… 原本以为和columbia一样买美版XL对我刚好的，哪知道Champion 的XL码如此巨大，自认肩膀很宽的我穿着像唱戏的，因为不贵，也懒得退了，直接放家里当睡衣穿了，毕竟触感和用料感觉下来还是非常不错的，就是尺寸难以把握……</t>
  </si>
  <si>
    <t>质量一般 笔基也就是握笔的地方是两片塑料拼接起来的，有明显的拼接缝</t>
  </si>
  <si>
    <t>不好 不好，发过来的钢笔明显用过，还不顺滑</t>
  </si>
  <si>
    <t>买贵了 买贵了，买贵了，相差1000块，之前买的5800</t>
  </si>
  <si>
    <t>舒适 无钢圈穿上很舒服，聚拢效果不错，夏季穿在身上不感觉热。</t>
  </si>
  <si>
    <t>穿了一天的感受 平时穿nike，adidas的运动鞋是36.5到37，这双买的uk4往前挤的话后跟那还大了一点点，但是比较喜欢穿松一点所以可以说是合适，走路的确掉脚跟但只要把鞋带绑紧一点就不会。puma的细节处理确实没有别的牌子好，只穿款不在乎质量的话入手ok</t>
  </si>
  <si>
    <t>有味道 有味道，洗了几次，还是有味道</t>
  </si>
  <si>
    <t>好看 唯一缺点是没有帽绳。。。去哪儿配啊</t>
  </si>
  <si>
    <t>返璞归真 基础功能，对于只需要简单计时和防水功能的运动和户外活动爱好者来说绝对是首选。返璞归真，跟着自己的感觉和爱好走，不让各种智能数据做自己的主！</t>
  </si>
  <si>
    <t>性价比 给妈妈买的，很划算，性价比高。</t>
  </si>
  <si>
    <t>物有所值 非常漂亮舒適的切爾西，鞋碼很準確</t>
  </si>
  <si>
    <t>很好 尺寸正合适，穿着也很舒服</t>
  </si>
  <si>
    <t>东西还是可以的 十几美元的东西。还是可以的。国内现在很难买到裆长一点的裤子。特别是高个男孩。</t>
  </si>
  <si>
    <t>可以的 速度比想象中快多了  非行家  不是太懂  能用就可以了</t>
  </si>
  <si>
    <t>美版正和身。 182cm,110kg。在国内不好买衣服，美版XL正和身。</t>
  </si>
  <si>
    <t>种草很久了！ 种草很久了~！ 但是维他密斯的东西都太贵了，这款是经典版的，属于商务简包装，简单实用，终于还是下手了。 东西不错豆浆，米糊都很细腻哦~！</t>
  </si>
  <si>
    <t>值得购买 东西不错，我相信国内也能做出来这样的产品，只是国内缺少信任，所以还是愿意在国外买一个。在电脑上拷贝发文件，平均速度65~70M，三个USB口都试了，一个非常慢20M，另外两个一样，说的380M的速度在我电脑上没看到，估计我电脑USB口的输出问题，速度非常稳定，这次买这么好的优盘，也第一次买这么贵的。</t>
  </si>
  <si>
    <t>棒棒 做工很惊艳，价格也美丽</t>
  </si>
  <si>
    <t>这款抓绒衣挺好的 做工好，剪裁完美，穿着舒适，值得买。</t>
  </si>
  <si>
    <t>好用 很好用，密封性很强..</t>
  </si>
  <si>
    <t>总体不错。 物流挺快的，确实存在秒针对不齐现象，但总体表还是不错。</t>
  </si>
  <si>
    <t>我 一级棒噢，很喜欢，很喜欢质感</t>
  </si>
  <si>
    <t>化身大只佬 厚实，穿上感觉自己大只了很多，可能修身更适合。不过穿久了就适应了。十分保暖，袖子略长，其他都很好，值得拥有</t>
  </si>
  <si>
    <t>合身 172，64公斤这样，30*30完美的一塌糊涂。第一次买LEE真是好东西</t>
  </si>
  <si>
    <t>男鞋 舒适，轻盈，适脚，继续支持😊</t>
  </si>
  <si>
    <t>适合运动的时候穿，有弹性，包裹性也不错，平时我还是喜欢穿宽松的内裤，。缺点是洗几次以后有点褪色和缩水 适合运动的时候穿，有弹性，包裹性也不错，平时我还是喜欢穿宽松的内裤，。缺点是洗几次以后有点褪色和缩水</t>
  </si>
  <si>
    <t>没有专柜的好 S就够了166 67kg  感觉没有国内专柜里的lee 做工好。产地都是孟加拉 柬埔寨。一</t>
  </si>
  <si>
    <t>颜色有点偏 颜色与派克纯黑有点区别</t>
  </si>
  <si>
    <t>舒服 很舒服的鞋，软不磨脚还有型，缺点是容易沾灰</t>
  </si>
  <si>
    <t>价格挺好，同事说很满意 松下的东西一直值得信赖。而且不用买变压器。性价比高。</t>
  </si>
  <si>
    <t>质量差 无话可说，地摊货都比它好！</t>
  </si>
  <si>
    <t>性价比不高 图片看起来还不错，实物材质和品相都不怎么样。价钱也不算低。</t>
  </si>
  <si>
    <t>大小合适. 176CM,88KG,大码都不有点大喽.</t>
  </si>
  <si>
    <t>过于懈松，编制的不紧密 编织的不紧实，质量一般</t>
  </si>
  <si>
    <t>不到一年，硬盘滴滴响，电脑无法识别 不到一年，硬盘滴滴响，电脑无法识别</t>
  </si>
  <si>
    <t>寄过来一个坏表 寄过来一个坏表，根本不走。太糟糕的网购经历了。以后再也不在亚马逊消费了。</t>
  </si>
  <si>
    <t>大小按平时买就好，舒适度不如踢不烂，不过也很不错了 还不错，不过买的当时英亚还不免运费</t>
  </si>
  <si>
    <t>偏大一码 42的有点儿大，垫了鞋垫还可以，41的就好了</t>
  </si>
  <si>
    <t>暖和宽松 裤子宽松，穿着暖和。</t>
  </si>
  <si>
    <t>总体感觉还好。 总体感觉还好一般。没有ck的舒服。物流挺快的，越南生产。</t>
  </si>
  <si>
    <t>还不错，价格有优势，下单后6日内送到 腰围94-95，LEE牌牛仔裤穿W34L32，皮带选的36的，皮带一共5个扣眼，正好系到第3个扣眼，长度完美。质量一般，不是很厚，没有想象的好。</t>
  </si>
  <si>
    <t>尺寸 商品很好</t>
  </si>
  <si>
    <t>就是这个范儿！ 本人身高184，体重86kg，长期健身，穿L正好</t>
  </si>
  <si>
    <t>赞 非常合身，100个赞，可惜我要的码只有一个颜色了</t>
  </si>
  <si>
    <t>便宜实惠正品 亚马逊的东西便宜又实惠，又正品。还会再来。</t>
  </si>
  <si>
    <t>合适 穿了很舒服，大小合适，袖子有点长，貌似欧美衣服，袖子都长。</t>
  </si>
  <si>
    <t>超级舒服 裤子整体不错，性价比高，材料舒服有弹性，182高。85KG，33*32的基本合适，腰需要发挥松紧带的功能，稍紧一点点，不知道为什么LEE没有W33/L33这个码，要是这个码，就太完美了。</t>
  </si>
  <si>
    <t>质地很好，简洁耐穿 皮子质地很好，价格也很合适。穿着起来很舒服。就是比一般的6码大一点点。不过属于瘦版鞋形，并且没有拉链，如果再小半码，可能穿厚袜子踩进去有点费劲。脚净长24吨，不到24.5。</t>
  </si>
  <si>
    <t>很好的衣服 非常合适，很满意，面料较柔软，穿着非常舒适</t>
  </si>
  <si>
    <t>中国制作 图案很鲜艳，质量也很厚实，就是不知道材料是否百分百安全。宝宝的餐具就要做到食品级的，真心的安全！！才是人道，也是品牌长盛不衰的根基！</t>
  </si>
  <si>
    <t>速度很快。 速度很快，稍微有声音</t>
  </si>
  <si>
    <t>裤子 裤子穿起来很舒服，也非常暖和</t>
  </si>
  <si>
    <t>舒服，尺码合适 我脚背高，大拇指长，40码的脚，买的就是6.5码，这是我穿过最合脚的一双其乐，虽然脚背还是有点嫌低，但鞋带可以松松，穿着包裹性很强，走路舒服，也很好搭配。竟然比之前买的一双类似款式的爱步舒服。</t>
  </si>
  <si>
    <t>完美 买了四个了，轻、严、保温效果好</t>
  </si>
  <si>
    <t>专业耳机 频响均衡，一款非常不错的耳机</t>
  </si>
  <si>
    <t>价格略高 挺好的，颜色挺不错  ，就是价格略高，是美国产的</t>
  </si>
  <si>
    <t>超可爱的餐具 超级可爱的颜色，很实用</t>
  </si>
  <si>
    <t>海外购实惠 包装非常扎实，很薄，希捷出货多，故障率不算低，希望这块用的时间久，仓盘。</t>
  </si>
  <si>
    <t>不错 正品，很完整，几乎无漏活性炭</t>
  </si>
  <si>
    <t>穿着很舒服 比想象中的软、舒服，建议比球鞋买小一码，很不错</t>
  </si>
  <si>
    <t>恒温水龙头比较小巧性价比高 5天就收到了，请了师傅安装一会儿就搞定了，用了一下控温的按钮(小黑点)好像不起作用，按和不按都能旋转，但温度控制还是蛮好的，花洒比较小，总的来说这个恒温水龙头比较小巧，性价比蛮高。花洒的塑料管子比较硬换了自己原来的管子</t>
  </si>
  <si>
    <t>推荐 这个裤子瘦人穿起来还是很不错的，就是有点儿偏硬，过水后会好很多，本人身高181CM，65公斤，腰围2尺4，穿31WX32L刚刚好。想入手的可以作为参考</t>
  </si>
  <si>
    <t>不错 直筒裤，很好很舒适，尺寸标准。</t>
  </si>
  <si>
    <t>质量不行 用了大半年后，锅底出现了一个个小坑并有增多趋势，准备坚持用下去直到漏水为止， 看看它到底能坚持多久，锅的材质不行，这应该是钢板里面的气泡吧</t>
  </si>
  <si>
    <t>不好 胸口logo的机绣跟山寨货一样</t>
  </si>
  <si>
    <t>产品很一般，不能有太高期望 不能仔细看，否则太多瑕疵。有点失望。 1，表壳是塑料的，做了金属涂层，用久了肯定会脱落。说明中有说，没看仔细。 2，表链好薄弱，特别是扣具和表壳连接处。 3，黑色表盘小，刚开始有些不习惯。 4，冲着光能来买的，希望耐用些。 5，远看还是不错的。  日亚速度真快，周日下单，周三收到。 试用两个月的Prime会员，都有些不好意思了。正式加入prime。188的确很划算，快递一份文件去巴西都要三百多。</t>
  </si>
  <si>
    <t>工业甲醛味道，洗不掉！非常差！ 衣服有工业味道，洗了2次，用盐水泡都泡不掉！</t>
  </si>
  <si>
    <t>请大家慎重购买，两个月不到秒针掉了，海外购没有保修服务的！ 请大家慎重购买！！以耐摔耐用而闻名的GSHOCK居然在两三天偶尔带一次的使用频率下秒针掉了，而且入手刚不足两个月。海外购订单在过了一个月退换货时间后亚马逊就不管了，维修没有全球保修卡，坐标上海，自己联系英国的，所以大家慎重选择亚马逊。。慎重啊！</t>
  </si>
  <si>
    <t>衣服有漂染气味 我去年买的同款衣服收到时衣带有香味，这次收到时是漂染的气味，完全不一样</t>
  </si>
  <si>
    <t>越低调，越专业。 第一时间拿到手开箱，检查，验证，全都没有问题，唯一可惜的是少了耳机包。k240s确实比较难推。电脑上还还说，到了平板上就很难了。总之煲完耳机希望能有惊喜吧。</t>
  </si>
  <si>
    <t>交货延迟了！ 商品本身OK的，交货延迟了蛮久。短信通知说是被海关扣住了。这么看来，清关手续还书蛮复杂的吧。</t>
  </si>
  <si>
    <t>推荐 非常好穿！平常穿37，这次买大一码，略有富余，但完全不会显脚大，很有型！还比预期早了一周到。</t>
  </si>
  <si>
    <t>还可以 泰国产。有点小瑕疵，整体不错。</t>
  </si>
  <si>
    <t>鞋子很好，就是尺码太大了 鞋子不错，穿上脚很舒服，轻便而且有一种没穿的感觉，但是真的是大了。我平时运动鞋穿38，这个伸一个手指进去都有余，同事39的脚，试穿刚刚好。喜欢的人一定要买小一个码。注意，我的是德国亚马逊发货。</t>
  </si>
  <si>
    <t>鞋是好鞋，号不正经 鞋是好鞋，号不正经？</t>
  </si>
  <si>
    <t>强烈推荐 保温性能好，轻便精致。</t>
  </si>
  <si>
    <t>非常舒服的一条塑身裤 我买过不止十件塑身裤了，这是最舒服的一条</t>
  </si>
  <si>
    <t>值得买 一直在穿CAT，踢不烂这双实在好穿，脚感很好，比CAT的靴子舒服很多。宽版实在是款，适合脚胖和脚面高的，一般脚建议选标准鞋楦就好！</t>
  </si>
  <si>
    <t>满意的购物 不错</t>
  </si>
  <si>
    <t>东西还好，但是用的时间并不是很长，家里小孩都是喝温水的，喝这个的话比较容易凉，毕竟小孩喝水还是超慢的 东西还好，但是用的时间并不是很长，家里小孩都是喝温水的，喝这个的话比较容易凉，毕竟小孩喝水还是超慢的</t>
  </si>
  <si>
    <t>非常不错，满意 非常不错，满意，帮我哥买的，他很喜欢，价格是国内的1/3</t>
  </si>
  <si>
    <t>Clarks是很实惠的 鞋底比较软，舒服，只是不是很耐磨。国内25.5-26的鞋，选码7.5UK，8.5US，41.5</t>
  </si>
  <si>
    <t>很好 很喜欢，比想象中的要好。有其他颜色就更好了。</t>
  </si>
  <si>
    <t>鞋底硬 但穿穿也没什么不舒服的 平时穿他家37.5号 这次依然是，这双确实有点紧，前面比较瘪，薄袜子还可以，否则磨小脚趾（我属于脚背比较高的），鞋底开始觉得硬，后来穿穿也没什么不舒服的 很自然的适应了</t>
  </si>
  <si>
    <t>帮朋友买的 帮朋友买的，反馈过来说很好。</t>
  </si>
  <si>
    <t>满意 太满意了，好看极了！</t>
  </si>
  <si>
    <t>WD My Passport Ultra 移動硬盤2TB 優點：亞馬遜黑五戰利品，超低價格；彩色紙盒包裝，全密封，全新品；外殼是兩種材質，上面是鋁合金，下面是塑料；此款移動硬盤分PC版和MAC版，只是初始格式不一樣，其他都一樣，無論購買哪個版本，都可以重新更改格式，以便適用不同系統；USB-C接口，附贈USB-A接口轉換頭；速度超級快，居然每秒230MB左右，而且速度穩定，基本能保持全程高速，可以稱得上是神盤。缺點：做工尚可，但不是特別精細，外殼上下蓋之間的縫隙稍微有點大。</t>
  </si>
  <si>
    <t>赞 包不错，很实用，是中国制造的</t>
  </si>
  <si>
    <t>合适 不错，号码很准，版型也好。</t>
  </si>
  <si>
    <t>非常好 无论包装、产品都非常好！</t>
  </si>
  <si>
    <t>挺好的 平时穿43号，这个买的43.5。长度是略有富裕。脚比较胖，感觉稍微有点挤。也许该买个44的。 很重，跑起来明显累。当负重练习了</t>
  </si>
  <si>
    <t>虎牌的保温杯不错 相信虎牌这个牌子，外观不错，杯子轻巧，保温效果也很好。</t>
  </si>
  <si>
    <t>很赞 性价比很高，值得推介。</t>
  </si>
  <si>
    <t>RIVER LIGHT 日本炒锅30cm J 1430 锅很好，热传导快，也轻</t>
  </si>
  <si>
    <t>尺码合适 172 75kg  穿m号修身 ( 平时有健身)</t>
  </si>
  <si>
    <t>物超所值 量大，实惠，好大一瓶</t>
  </si>
  <si>
    <t>料子不舒服 料子摸起来不舒服，和想象中差很多</t>
  </si>
  <si>
    <t>质量不咋滴 超级轻，连着屏幕都是塑料的，容易刮花。适合给小孩子当玩具用</t>
  </si>
  <si>
    <t>还行 太厚了！而且洗了以后内层退毛挺多的</t>
  </si>
  <si>
    <t>疑似二手货 这是一件洗过的裤子，散发出洗衣液的味道，已经是第二次了，裤子是做旧的吗？</t>
  </si>
  <si>
    <t>保修服务该何去何从？？？ 秒针不对刻度，没有发票，也没有吊牌。很担忧是否正品。保修卡上没有公章，就意味着后期保修服务没有保障</t>
  </si>
  <si>
    <t>鞋子偏小 鞋子比平时偏小两号。</t>
  </si>
  <si>
    <t>不错 一直用的此品牌，宝宝没有说不吃奶嘴的</t>
  </si>
  <si>
    <t>太长了 过长。平常买这个码子都没用这么长。裤子本身很好看。可惜我腿短</t>
  </si>
  <si>
    <t>推荐购买 比起5044底围更大，稳定效果还是比不上5044，适合一些低强度运动。胸型有点奇怪，显得有点尖。呃，不过这个玫红色上身还挺显肤色的。做做瑜伽穿还是挺不错的。夸一句海外购，下单到送达只要五天。价格低的时候入手非常合适。</t>
  </si>
  <si>
    <t>好玩 觉得腿没有那么肿了  但是真的好贵啊 秒杀买的还这么贵 会穿的久么  期待</t>
  </si>
  <si>
    <t>压耳，低音好。 低音不错，但是耳机里面的塑料支架，有点压到耳朵了，戴久了疼。降噪效果一般，这款耳机主打低音吧。这个价位值得买！</t>
  </si>
  <si>
    <t>合身 衣服穿起来很合适，小号的对于170cm和60+kg很合身，穿起来很显身材。</t>
  </si>
  <si>
    <t>小花好可爱，味道香香哒 小花好可爱，味道香香哒！</t>
  </si>
  <si>
    <t>第一次亚马逊国际上买东西。 这个颜色很喜欢。价格还是比较实惠的。</t>
  </si>
  <si>
    <t>值得购买 真的灰常喜欢，保温效果很好，每天都在使用呢。物有所值</t>
  </si>
  <si>
    <t>无感内裤 穿起来感觉不到它的存在！很舒服！</t>
  </si>
  <si>
    <t>滋润 刚用过一次，比较滋润</t>
  </si>
  <si>
    <t>华歌尔 产后腹带（长款） 感觉挺有用了，也是下了功课才来买这款，挺不错的，要坚持，一天至少八个小时吧</t>
  </si>
  <si>
    <t>好用 没有味，使用起来挺方便，很好用，只是把手处做工少有欠缺，总体来说不错</t>
  </si>
  <si>
    <t>大容量带开关 容量很大，还有单独的开关，运行的噪音和震动都很小</t>
  </si>
  <si>
    <t>送货快，口味满意 周一晚上订货，周六就收到了，没有添加剂的味道，很好</t>
  </si>
  <si>
    <t>格莫拉 非常棒的鞋子 就是价格太不稳定了</t>
  </si>
  <si>
    <t>舒服 很舒服，没有束缚感，跟没穿一样，是我想要的效果</t>
  </si>
  <si>
    <t>原装线，音质均衡，耳机复活了 和原装线一样的，包裹从日本过来，大约一周。价格和淘宝没差多少，主要买个放心。</t>
  </si>
  <si>
    <t>特别棒！ 太棒啦！手感很好！给大家个参考  身高171 体重67  选的M  大小正好！袖子长挽上去穿正好~也好看</t>
  </si>
  <si>
    <t>很好！ 非常棒！包装也很靠谱，有外箱。价格比国内便宜很多～一直在纠结买DG还是Nespresso，最终选了Nes。</t>
  </si>
  <si>
    <t>不错啊 皮质，包包比想象中的大些</t>
  </si>
  <si>
    <t>轻柔舒适 轻柔舒适，没有束缚感。自从穿了郡是，才知道内衣可以做的这么舒服。中日差价很大，亚马逊海外购真心省钱！</t>
  </si>
  <si>
    <t>OK 要买再大一号地, 68公斤 170身高</t>
  </si>
  <si>
    <t>保健食品 避光包装踏实，服用两周确实和其他鱼油效果差异明显，调解内分泌和神经健康有帮助，适合脑力工作者</t>
  </si>
  <si>
    <t>强烈推荐 很薄，很修身，料子很垂，不用熨烫。 我173CM 77kg。</t>
  </si>
  <si>
    <t>toto花洒 东西不错，看起来非常有档次，感觉买的很划算。</t>
  </si>
  <si>
    <t>舒服 除了稍微有点小，穿起来还是很舒服的。刚穿有点紧，过几天会好一些，建议比皮鞋码大1个半码。</t>
  </si>
  <si>
    <t>效果不好 没有杯垫撑不起来，弧度不好有点尖，效果不好！</t>
  </si>
  <si>
    <t>立裆短，大腿瘦，裤脚肥 立裆短，穿起来不舒服，大腿略瘦，视觉效果有点绷，裤脚肥，直筒的效果太强，在亚马逊海外购上买过几次裤子，都不合身，看来老外的版型和国内差别还是很大</t>
  </si>
  <si>
    <t>颜色老气，款式不好看 颜色老气，款式不好看</t>
  </si>
  <si>
    <t>这个已经不叫色差大了。 颜色简直就是天差地远。我感觉上当了。</t>
  </si>
  <si>
    <t>空有颜值 不好用一般 削两支都断芯呢 刀片好差呀</t>
  </si>
  <si>
    <t>这是亚马逊黑五和天猫双十一期间看得最多却又最失望的购物 11月23号黑五下单到手价674元；wangyikaola现在做双十二活动限码数才589元。（亚马逊看到评论有说500多到手的，但那个人却不是我，心里万马奔腾） 1.首先大家要有一分钱一分货的概念（因为玩不过亚马逊） 介绍里面写的好好的10061，皮内里，但是收到货后才长知识，买bid kid 5M码到货后才知道这款叫12909 2.普及知识 经典大黄靴分类： 10061（男款，鞋带孔：七孔，皮内里，抗疲劳皮鞋垫） 10361（女款，鞋带孔：六孔，皮内里，抗疲劳皮鞋垫） 12909（童装款/低配版，分big kid和little kid，成人一定要买big kid，鞋带孔：六孔，布内里，普通布鞋垫）重量：较成人款轻。 综述：亚马逊买东西，物品价格随时会变动，不同码色不同价格，介绍信息模糊，评论是国人参考的重要依据。 最后，235脚的老婆穿bid kid 5M码合适，希望对看到的此评论的人有帮助。</t>
  </si>
  <si>
    <t>比较满意 整体比较满意，尺码，厚度，颜色</t>
  </si>
  <si>
    <t>配送快，包装不错 1月8号下的单，16号收到，国内配送是顺丰，比我想象中的要快，而且包装没有之前评价的那么差，应该是改进了。滤芯还没有开始用，希望如之前买的一样好。</t>
  </si>
  <si>
    <t>没有说明书 我在其他地方买的可么多么奶瓶有说明书（各种语言的），可是在亚马逊买的里面什么都没有，味道也比原来买的大一些，不知道怎么回事……外包装倒没什么区别。</t>
  </si>
  <si>
    <t>说是日码偏小 买的正合适 买的日码M，大小至腰下，秋季薄厚正合适</t>
  </si>
  <si>
    <t>物有所值 非常轻，没发现漏水现象，杯盖基本为塑料，而且可拆卸，方便清洁。</t>
  </si>
  <si>
    <t>物有所值 性价比很高，美国直邮大概1个星期左右就到了，速度可以</t>
  </si>
  <si>
    <t>货好不贵 货好不贵。以实际行动为中美正常贸易添砖加瓦</t>
  </si>
  <si>
    <t>和牙刷一起买的 和牙刷一起买的，搭配电动牙刷，配套的，挺好的。</t>
  </si>
  <si>
    <t>不错，可推荐 鞋子是正品，大小刚好，第一双爱步鞋，挺喜欢</t>
  </si>
  <si>
    <t>很合脚 一直穿爱步的鞋，很好，和国内买的号码一样。</t>
  </si>
  <si>
    <t>不错不错 100块钱一条的裤子，抱着不好穿就认了的心态买的，结果质量超乎想象。</t>
  </si>
  <si>
    <t>大小合适 非常喜欢，陪了一个冬天了</t>
  </si>
  <si>
    <t>质量还不错 比180元3双的那种同品牌180D的更细腻一点，但总体来说，还是比不同天鹅绒。宽松不紧绷，有脚口，上身感觉很舒服。</t>
  </si>
  <si>
    <t>一天就到 狗盆到了，好不好要以后娃说了算</t>
  </si>
  <si>
    <t>价格实惠 &lt;div id="video-block-R1YNDXPVY7B0MP"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id="23" preload="auto" src="https://images-cn.ssl-images-amazon.com/images/I/914cPqyzgXS.mp4" style="position: absolute; left: 0px; top: 0px; overflow: hidden; height: 1px; width: 1px;"&gt;&lt;/video&gt;&lt;/div&gt;&lt;div id="airy-slate-preload" style="background-color: rgb(0, 0, 0); background-image: url(&amp;quot;https://images-cn.ssl-images-amazon.com/images/I/81OzS4H5A+S.png&amp;quot;);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value="https://images-cn.ssl-images-amazon.com/images/I/914cPqyzgXS.mp4" class="video-url"&gt;&lt;input type="hidden" name="" value="https://images-cn.ssl-images-amazon.com/images/I/81OzS4H5A+S.png" class="video-slate-img-url"&gt;&amp;nbsp;物流算正常，价格划算！不过要买变压头唷！</t>
  </si>
  <si>
    <t>多次回购 24的尺寸很适合三口之家做汤做焖肉。质量棒！</t>
  </si>
  <si>
    <t>目前最好用的辅食剪 小巧方便携带剪任何东西都好用 那个盖子是个败笔，必须按照方向盖否则很难拔掉</t>
  </si>
  <si>
    <t>穿上舒服 穿上很舒服，像把脚托住一样</t>
  </si>
  <si>
    <t>舒服 很舒服，号码合适。四百陆拾整到手，虽然不算太低价，但刚需的话价格可以接受吧。快递耗时6天，很快。</t>
  </si>
  <si>
    <t>Doubt the true and false I'm very pleased with the product. But the labels are different from what I bought in Hongkong. White clear handwriting is bought in Hongkong, gray handwriting vague is bought in Amazon japan. Do you see the difference?</t>
  </si>
  <si>
    <t>奶嘴 做了很多攻略，最后奶瓶奶嘴选择了贝亲，亚马逊开通的海外购，真的太快了</t>
  </si>
  <si>
    <t>大小合适，款型喜欢。 裤子大小合适，尺码标准，就是厚了点，适合秋冬季穿，满意。</t>
  </si>
  <si>
    <t>餐盘不错 放零食给宝宝吃，很稳很不错</t>
  </si>
  <si>
    <t>很舒服 很舒服</t>
  </si>
  <si>
    <t>终于购到！ 已购买！期待安装！期待飞雨</t>
  </si>
  <si>
    <t>一般 拉链不好用 样式一般 颜色一般</t>
  </si>
  <si>
    <t>保质期 果然是临保质期的 想知道海淘都是这种吗 20年八月就到期了 根本吃不完</t>
  </si>
  <si>
    <t>不喜欢里侧接缝 大小合适，做工也可以，但是里侧的接缝处实在硌腿啊</t>
  </si>
  <si>
    <t>极差的体验 定的2E结果发过来的是D，就是因为国内没有2E才来这边的！由于着急用也没法换了，要说法！要赔偿！</t>
  </si>
  <si>
    <t>差 第一条还好，第二条垃圾</t>
  </si>
  <si>
    <t>整体都是不错的 说一个缺点吧，鞋底厚实，结果就是，鞋子感觉有点重，不过穿几天也就习惯了</t>
  </si>
  <si>
    <t>包装 包装真的是像装垃圾的一样，</t>
  </si>
  <si>
    <t>不错 该是可以的，就是长度有点长</t>
  </si>
  <si>
    <t>有型便宜 不错，便宜实惠，布料偏硬</t>
  </si>
  <si>
    <t>同一个尺码大小有点差异 还行，性价比高，算是有个牌子的，没牌子就不值这个价</t>
  </si>
  <si>
    <t>质量很好 宝宝出生一直用的贝亲，以前都是从日本亚马逊购买，转运超级麻烦，现在有了海外购方便不少</t>
  </si>
  <si>
    <t>保温 保温效果好</t>
  </si>
  <si>
    <t>过大，仍很满意 衣服不是很厚，但比图示美，可惜买大了。 根据衣服上的图标显示（见图），美国的S码相当于亚洲的L码。本人平时穿M码，故应买美国的XS码。 亚马逊的提示买L码。</t>
  </si>
  <si>
    <t>很好 很好很软 也不勒着胃 但是感觉力度还不够</t>
  </si>
  <si>
    <t>性价比高，颜值也高 性价比高，颜值也高</t>
  </si>
  <si>
    <t>要是有中文说明书就更好了 我买的最贵的电熨斗了，效果没有让我失望，蒸汽很大，操作很简单，需水量完全可以达到6-7件，大大提高了效率。</t>
  </si>
  <si>
    <t>夏天用不上，还是有点厚 春秋天使用会更好，夏天空调房用不上，会很热</t>
  </si>
  <si>
    <t>好东东 用了很久了，推荐大家.</t>
  </si>
  <si>
    <t>挺好的粉 因为巧克力的便宜买的，香草的味道能好些。挺好的。</t>
  </si>
  <si>
    <t>味道不错 味道不错，价格实惠，小罐包装保持新鲜</t>
  </si>
  <si>
    <t>性价比首选 经典！适合手腕细的带，女士也可以带，三防手表用起来省心。</t>
  </si>
  <si>
    <t>我买了黑色的好配衣服好舒服，比什么安莉芳哪些舒服很多，还想再买，可惜再买了另外两个款式的罩杯太薄了，一个穿起来凸点，另外一偏大一点都不贴身 我买了黑色的好配衣服好舒服，比什么安莉芳哪些舒服很多，还想再买，可惜再买了另外两个款式的罩杯太薄了，一个穿起来凸点，另外一偏大一点都不贴身</t>
  </si>
  <si>
    <t>如果不是特体，建议都S码 和夏天买的短裤属于同一类型，短裤M可以，但长裤M一定因过长穿不了。萨尔瓦多制造，做工尚可，如果再厚一些就更OK了。</t>
  </si>
  <si>
    <t>很好穿 发货很快，很好穿。就适合上海这种阴冷的天气。</t>
  </si>
  <si>
    <t>满意 跟轻巧，保温效果很好，应该是正品</t>
  </si>
  <si>
    <t>开水特别快，样式大方美观 开水特别快，样式大方美观</t>
  </si>
  <si>
    <t>衣服评价 中国生产的，出口日本 的好于其它产地。面料厚实、质感好。</t>
  </si>
  <si>
    <t>杯子不错 很棒</t>
  </si>
  <si>
    <t>好穿，夏天也不热 这个轻便又舒服，比另外一个品牌的好穿。一分钱一分货</t>
  </si>
  <si>
    <t>值得购买 原装产品就是好！</t>
  </si>
  <si>
    <t>很好 174，71公斤穿着正好，质量很好。</t>
  </si>
  <si>
    <t>帆布包挺好的喜欢 做工蛮好的，一百多到手，划算</t>
  </si>
  <si>
    <t>注意：173买M码穿不上退不了！！！加一两码吧 小了至少两码，穿上去算吊👕了吧？退货运费衣服价格的一半，我只能把它收藏起来当传家宝了</t>
  </si>
  <si>
    <t>续航时间短，佩戴容易掉 不适合运动戴，耳机经常掉，耳机线也老是乱跑…音质是不错，蓝牙连接很快，但总觉得耗电很快，充电的时候等也总是突然会熄灭，以为充满电但很快又没电了。。</t>
  </si>
  <si>
    <t>平时穿XL码，这次拍的L码大小正好，只是三件衣服大小不一，灰色的偏大，黑色偏小 平时穿XL码，这次拍的L码大小正好，只是三件衣服大小不一，灰色的偏大，黑色偏小</t>
  </si>
  <si>
    <t>包装保护太差 包装保护太差！寄送过来就是坏的</t>
  </si>
  <si>
    <t>去问蝴蝶棒搅拌棒居然断了，有请问怎么配 没有菜谱没有中文说明书，完全不知道怎么用，可以炒菜吗？</t>
  </si>
  <si>
    <t>倒水设计差 不好，倒水的时候水会从盖子缝隙出来。</t>
  </si>
  <si>
    <t>lee系列产品尺寸差别太大了，怀疑产品是否正品 lee系列产品尺寸差别太大了，怀疑是不是正品，还有漏的坏的小孔</t>
  </si>
  <si>
    <t>鞋底硬 鞋底很硬，也薄，没有想象的那么保暖，大小正好，因为是高邦鞋，穿进去比较费劲，建议买大半号，再垫个暖和的鞋垫</t>
  </si>
  <si>
    <t>有划痕 腰带头有多处划痕，做工一般，价格比国内专柜有优势，但是也是国内生产，国外发货</t>
  </si>
  <si>
    <t>衣服有点短 衣服质量不错，但是袖子长，衣服短，肩宽合适，总体来说还可以，不过还没穿就降价50多块钱。</t>
  </si>
  <si>
    <t>162 110 S号合适 薄款的 春夏穿合适 162 110 S号合适 薄款的 春夏穿合适 质量很一般 但是亚马逊的售后处理很满意</t>
  </si>
  <si>
    <t>不错 等了10天，终于到手了，太阳能，电波，体验不赖</t>
  </si>
  <si>
    <t>正品 很好写！包装和质量都好，和其它地方买的比较了，这个正品！</t>
  </si>
  <si>
    <t>质量可以 质量可以，就是买多了</t>
  </si>
  <si>
    <t>穿着舒适合身 183cm74kg，尺码刚刚好</t>
  </si>
  <si>
    <t>大小合适，版型中规中矩。 大小合适，版型中规中矩，搭配起来还是不错的。</t>
  </si>
  <si>
    <t>亚马逊发货到陆地运输到易客满荷兰总部耽误了一周半，从易客满收货到国内顺丰速递实际只花了两天。洋大人干活不靠谱啊 表盘女生也能hold住，我第一感觉小了点，但是外观好看啊哈哈哈哈，非常棒。</t>
  </si>
  <si>
    <t>月嫂的强烈需求 盖子和瓶身的连接部分需要仔细确认是否关紧</t>
  </si>
  <si>
    <t>還好吧 質量是很好的，正品，只是包裝简漏了些，只有一個透明塑料袋裝來的</t>
  </si>
  <si>
    <t>挺好的 腰围合适，舒适度也不错，就是裤长太长了。买条裤子将近一个月的时间，也忒长了。当然，性价比还是不错的。</t>
  </si>
  <si>
    <t>非常满意的购物体验 太满意了，26.5的腰围32*30刚合适，国内的裤子一般都是32*32，买了还得裁短，这个完美了！</t>
  </si>
  <si>
    <t>纯棉的，打底衫 就是纯棉T恤，没毛病</t>
  </si>
  <si>
    <t>满意 是薄款的外套~有弹性，质地柔软~170~110斤s刚好</t>
  </si>
  <si>
    <t>秒杀到的，超值 对比了一下，几乎最低价入手。此前搜集过许多资料，起初还有点担心会不会不稳定，实际使用并没有这个问题。将电脑改换为大容量固态后，设计资料的制作和导出都有了大幅提升。</t>
  </si>
  <si>
    <t>裤子不错👍 大小合适（身高172/体重80公斤，腰围88买的34/30），外面25度时感觉穿出去不是很透气！裤型不错！上班替代工作裤感觉十分合适！</t>
  </si>
  <si>
    <t>买过最棒的内裤 172.5cm/75kgs，有健身，腰围80cm，正合适。 透气性和吸汗性极佳，包裹性很好，健身平时穿着两相宜。</t>
  </si>
  <si>
    <t>面料柔软 感觉有点薄</t>
  </si>
  <si>
    <t>玻璃奶瓶最爱 摔了两个了，贝亲的玻璃奶瓶摸起来手感很好，宝宝出生到现在一直是这个。。</t>
  </si>
  <si>
    <t>不错的购物体验 版型不错，很合脚</t>
  </si>
  <si>
    <t>不错的 不错。我183，70买的L基本合适的，稍显宽松。比我胖点就正好。料子也是我满意的</t>
  </si>
  <si>
    <t>very good very good</t>
  </si>
  <si>
    <t>亚马逊日本直邮很赞！ 版型贴身，面料很薄，适合春秋天穿着，价格划算！</t>
  </si>
  <si>
    <t>质量很好 用了半个月了，还没出现水垢。不知以后咋样</t>
  </si>
  <si>
    <t>比较轻薄 比较薄 保暖系数不高 不如买国内小品牌性价比更高</t>
  </si>
  <si>
    <t>品质不错，突然不响了…尴尬 买回不到一个月，右边不响了！研究了下貌似是k702通病。所以音质什么的都谈不上了…尴尬，Prime三年，第一次退货</t>
  </si>
  <si>
    <t>一般 薄软不是很有型，重点是偏大好多，平时各种运动品牌穿M或L，这个严重怀疑就算穿S也有富余。美版真的一言难尽</t>
  </si>
  <si>
    <t>提臀 ummm...纯买来塑形 提臀的 事实证明 还是健身塑形管用😩</t>
  </si>
  <si>
    <t>发错货 大哥，你发错货了，发了两个背包，帮我联系那个买背包的人</t>
  </si>
  <si>
    <t>发错码子了 码子全发错小一码，穿身上才发现，想必也没办法换货了。太粗心了吧。只能再买了。希望不要发错了！</t>
  </si>
  <si>
    <t>价格合适 太薄了，不过价格很合适</t>
  </si>
  <si>
    <t>还可以 比想象中还大</t>
  </si>
  <si>
    <t>腰带质量不错 用作牛仔裤腰带宽度窄了点。作为28的Lee牌牛仔裤显得长了点。</t>
  </si>
  <si>
    <t>性价比可以 裤脚的弹力收缩口面料柔软度不够，门禁有些翘。舒适度不错，总体来说性价比还可以。</t>
  </si>
  <si>
    <t>硬盘挺漂亮 东西收到了，还在试用，比2t的厚不少。国内合作快递公司不好，应该亚马逊网站上可以查询转运到国内的快递公司名称和单号</t>
  </si>
  <si>
    <t>质量非常好，物超所值。 质量非常好，物超所值。</t>
  </si>
  <si>
    <t>设计好，质量轻 很轻，密封很好，开盖还有一个小锁，设计还真不错。什么时候国货能做得这么用心就好了。</t>
  </si>
  <si>
    <t>比较合适 性价比很高，身高170，体重125，S号袖子长一点，其他合适</t>
  </si>
  <si>
    <t>专卖店好像标价3399，这里选打折后1200搞定 一直关注这款鞋，可惜没有高鹞的那款，本来在店了看上那款鞋，不过这款也满意。</t>
  </si>
  <si>
    <t>180/92A是小号的尺码 UA宽松版（LOOSE）GOLF POLO衫，本人购买的是小号180/92A正好。亚马逊的尺码表完全不对的。</t>
  </si>
  <si>
    <t>离完美就差一点点 衣服穿上很好看，显瘦，面料也很不错，美中不足的是领子边上的内衬用的尼龙材质，过敏啊，过敏啊</t>
  </si>
  <si>
    <t>合身 给后面的兄弟一个参考，身高168体重60，买的S码，内穿圆领短信 略宽松 袖子略长。</t>
  </si>
  <si>
    <t>比某宝还便宜，而且还能保真！赞！ 美亚直邮，比某宝还便宜...而且可以保真，很不错！</t>
  </si>
  <si>
    <t>尺码 178cm,90kg.W36L32 非常合体，面料也舒服。</t>
  </si>
  <si>
    <t>便宜，物流速度可以接受。 同款别的电商都在150以上，买来后媳妇跟朋友都感觉很大气，希望电池久用，那就比较值了。说一下，手表的表盘玻璃并不耐划，想买的朋友还需注意。</t>
  </si>
  <si>
    <t>商品质量堪忧 写着10年电池，这才两年多就没电了。</t>
  </si>
  <si>
    <t>刚入手，感觉挺不错 虽然没有大法黑科技更黑，但胜在重量轻，造型更加接受，感觉不出夹头，耳罩很柔软，三频比较均衡。注意新耳机自动配对第一台设备非常快，配对第二台设备时需要长按模式按键约4秒，降噪效果个人觉得不错了。大法主要是黑色没有现货，金色拍不耐脏，又怕更加重了几十克，据说降噪更好，相信也是不错的选择。有米的朋友可以双修，LD一台，自己听一台：）</t>
  </si>
  <si>
    <t>不错的商品 尺码合适，质量不错！</t>
  </si>
  <si>
    <t>买大一码 软皮，买大一码很舒服</t>
  </si>
  <si>
    <t>舒适 很轻便，舒适。鞋型也很好看。 我一般穿43码鞋，clarks鞋一般偏大半码，所以买了8.5，大小正合适</t>
  </si>
  <si>
    <t>❤ 喜欢，测试了音质很好。</t>
  </si>
  <si>
    <t>性价比高 是我玩过的千元以下最有性价比的一款，当然可能我接触的品牌没有足够多，看法有可能不那么对，但该耳机听音乐绝对配的上它的价格，只是售后可能没有行货好。亚马逊国内用顺丰速递，非常快和好，就是运输中包装盒有点折痕，送人就难看了。</t>
  </si>
  <si>
    <t>物有所值！ 声场很大，甚至可以感觉到有的音从背后传来的。音质也不错。</t>
  </si>
  <si>
    <t>好看 超级好，质量和实体店一样</t>
  </si>
  <si>
    <t>很轻很软很小巧，内层是动物毛，媳妇很喜欢！ 很轻很软很小巧，内层是动物毛，媳妇很喜欢！   是否防水还不知道，个人认为完全可以再厚实一点会更保暖。   有个疑问，包括 2 根鞋带；时尚丝带和实用鞋带！为何我只有一副鞋带？</t>
  </si>
  <si>
    <t>已稳定使用半年 方便实用，容量够大！</t>
  </si>
  <si>
    <t>没选多媒体箱子，买对了！ 之前没用过监听音箱，入手后感到买对了。 虽然没有多媒体箱子的多功能，但这些都可以后续配啊，声音的真实还原才是本。 我配了条3.5mm转双莲花母头转接线，再加两条双莲花公到公的延长线，平时用3.5mm接电脑听。又配了个蓝牙接收器，可以用手机蓝牙方便听歌。 线是秋叶原的，接收器是支持aptxll的奥格斯的，都是性价比很高的东西，没买太专业的，够用就好。 另外说一下，两只音箱的音量只开到中间那格就好，需要调音量调电脑或手机，不用动音箱。</t>
  </si>
  <si>
    <t>2020年8月过期 过期日 2020年8月。。。感觉用不完</t>
  </si>
  <si>
    <t>一般般 感觉这个ssd硬盘一般般，这个因为刚开始用，也不知道质量怎么样。之前用的英特尔的，用了5年。希望这个也能大概用这么久吧。</t>
  </si>
  <si>
    <t>不适合中国人 买了两件这个牌子衣服没有一件合适的 176 77买的M号长短还行袖子长 感觉必须老外那种虎背熊腰的才能穿出效果</t>
  </si>
  <si>
    <t>号码偏大 号码明显偏大，一直在美亚买裤子，这个32的裤子比其他34的腰都大，退货的费用贵的吓人，自己留着吧。</t>
  </si>
  <si>
    <t>森海最差劲的蓝牙耳机 刚开始煲机50小时，还没什么效果，不值这个价位！</t>
  </si>
  <si>
    <t>根本不能穿！！！ 这家的衣服请谨慎购买！！！这尺码不知道是做给什么人穿的，，，，，，我身高170，体重60kg，腰围76cm，买之前仔细看过尺码表，买了M码的，腰口合适、臀围腿围宽松，符合预期，但裤腿极短，穿上后裤脚的松紧口都勒在小腿中间腿肚子上了，穿上极难受，实在是不能穿，扔了吧有点糟蹋东西，想了想，把裤腿剪掉DIY成短裤随便穿穿算了，搞不懂日本的尺码，以后不会再买日码的衣服了</t>
  </si>
  <si>
    <t>机器很好用。 这次给发的顺丰，机器很好，刀架盒盖有点坏，不影响使用。客服很快给解决了。机器很好用。</t>
  </si>
  <si>
    <t>还行 质量可以，有点硬，165/52ml可以穿，l-ll可能更舒服。</t>
  </si>
  <si>
    <t>物流很不爽 看着不错，亚马逊物流部咋样，包装箱，商品包装均有破损，内部塑料包装盒裂开，真不知道物流怎么做的，而且送货态度差</t>
  </si>
  <si>
    <t>鞋底舒适 平时37-38码，买的38码，尺码合适，穿上后跟1指。原来穿过37码类似的款，前面很挤。喜欢这款（biom）的鞋底，软硬适中，弹性好，走路不累，鞋面薄厚也可，一年四季都能穿。两副鞋带，泰国产。感觉彩虹色的那款更好，皮面皮里，这款黑色的是磨砂皮面，织物里。</t>
  </si>
  <si>
    <t>ok 还不错 对得起价格，可以穿了</t>
  </si>
  <si>
    <t>值得买。 平常穿37.5或者38，码子也刚好合适。 舒适度高，快递也很快。滑也是真的滑。</t>
  </si>
  <si>
    <t>看起来还行吧 还没穿，之后追评，好再来。</t>
  </si>
  <si>
    <t>买完第二天就降价了 很喜欢马丁靴了！！！！买完第二天就便宜了50块钱！！！一直让我耿耿于怀！！！！难受....但是很好看是真的 哎亚马逊没有保价险难受</t>
  </si>
  <si>
    <t>很柔软，谁用谁知道。 很柔软，谁用谁知道。</t>
  </si>
  <si>
    <t>很满意 很好，很满意，全新。</t>
  </si>
  <si>
    <t>性价比相当高，外观比较流行 桌面多媒体监听很不错，外观偏流行。是在折扣时买的，性价比不错。相对于惠威t200c稍轻，效果相差不多，品控比惠威t200c好得多。</t>
  </si>
  <si>
    <t>价格便宜，可以转国内保修 亚马逊喜欢用很大的外包装纸箱装一个小小的硬盘，也许是厂家原包装盒已充分考虑到震动问题，所以也没有见到大家反馈硬盘在运输过程中被震坏。 8T含税价格不超过850元，近期没有这个价格了。 通电后没有状态指示灯，这一点稍显不便。 wd硬盘在网上可以转国内保修，如果真坏了，不知给保修否？</t>
  </si>
  <si>
    <t>衣服穿着舒服，版型好。 182.75kg.日版xl正好。日版的质量比美版强太多，穿着舒服，价格也合适。日版的衣服号码小，建议买比平时大一码，oversize比平时大两码。</t>
  </si>
  <si>
    <t>大 大了一点</t>
  </si>
  <si>
    <t>买大了 uk7红棕色，买大了，🐠flybearanddas</t>
  </si>
  <si>
    <t>很好很好的锅 本以为我的松下ih电饭煲做的米饭就足够好吃，这个砂锅我是看着比国内代购便宜好多买来收藏玩的，就爱买锅，结果用了一次太惊艳了，做的米饭和电饭煲完全不是一个档次，很棒！用起来也不麻烦，泡米十分钟中火有十分钟就能开，冒气两分钟，关火焖20分钟，也就40分钟，这期间炒菜做汤收拾正好时间够。</t>
  </si>
  <si>
    <t>Champion 男士 经典 Jersey Muscle T恤 质量不错，码子标准</t>
  </si>
  <si>
    <t>很实诚的一块男表 我喜欢，自动上链，100米防水，精钢的表带，端庄外观。</t>
  </si>
  <si>
    <t>刚好 到手 感觉质量不错 给老公买的 合适 M码173132斤 刚好</t>
  </si>
  <si>
    <t>粗棉手感，薄款 棉质的，比较薄，适合春夏穿，老公比较喜欢，摸着手感粗糙，就像摸水洗棉床单那种感觉，喜欢棉的人可以买，喜欢顺滑的那种感觉就不行了。</t>
  </si>
  <si>
    <t>BOSS 男士长袖衬衫 Plisy 很好的衣服，尺寸与中国的一样我168CM65KG,M号刚合适。</t>
  </si>
  <si>
    <t>很好 本来想海淘，可秒杀价格比海淘划算，好像是两三百的样子，果断入了。现在一直在使用的是浅口的碗和水杯。冬天的保暖性能不错。</t>
  </si>
  <si>
    <t>钢笔 小豆M尖书写流畅，握笔舒服。关于字迹粗细和笔的大小感觉全在个人的书写习惯，无法一言概之。蓝金岁月F尖依旧下笔顺滑，微带阻尼，写起来很是舒服。</t>
  </si>
  <si>
    <t>完美 大小刚好适合正装，外形极度美观</t>
  </si>
  <si>
    <t>草莓味🍓好喝到爆炸 封口简单了些，日期很新鲜，不出意外还会再买！</t>
  </si>
  <si>
    <t>还不错吧 衣服合身，质量不错。略薄，没有试着刺痒感。</t>
  </si>
  <si>
    <t>幼儿园室内鞋，略宽不适合太瘦的脚 宽大，码正 透气 一定要量实际脚长，加0.5正好！鞋子下面有几个小洞、透气网！</t>
  </si>
  <si>
    <t>掉档 掉档严重，不推荐。</t>
  </si>
  <si>
    <t>价格差距太大，不像正品 衣服很薄，商标也简陋，不像正品</t>
  </si>
  <si>
    <t>质量不错，但大小不好用 这东西，说实话，有点鸡肋，要么小一点要么大一点，这个大小根本不好装东西！！装一次吃的太大，装水果的或者其他又太小。可惜不是我收件，包装已经拆了，不然都想退货了。可能买四个的比较实用。</t>
  </si>
  <si>
    <t>品质一般 这个款，前不久AMAZON上列作优惠商品推送给我，次日下单，今天到手。总的来说，价格不高，但品质也不高。比起我之前买的NAUTICA要差一截。 产地越南。设计简单，做工一般。材质较差，棉50%、绦50%，穿到身上感觉很粗糙。除了有个LEE的牌子，感觉上比起我们本土产的裤子要差。拿到手，马上感到中国制造还是很靠谱的。定价的话，我觉得100块钱以下会比较合适。尺码偏大。我大约是31~32的腰，订的是31/30，但明显宽松多了。估计订29最多30的便可以了。 图片我都不想发了……</t>
  </si>
  <si>
    <t>产品质次价高，服务态度很差 很差，买了不到一个月，三条已经有两条出现了破洞，申请退换货也没有结果，以后不会再买这个品牌的产品了。</t>
  </si>
  <si>
    <t>脱线 感觉是假的，老是脱线，而且衣服也不白。</t>
  </si>
  <si>
    <t>同样是M的，比Hugo明显小，质量真心一般。差评 品质比hugo明显差，也小，很失望！退也不是穿也不是！本人同时买了CK和Hugo</t>
  </si>
  <si>
    <t>普通硬盘而已 拷了十几G文件，并不见多块，颜值也没有一堆吹水软文说的那么高。就一普通硬盘，好在价格也不贵。</t>
  </si>
  <si>
    <t>闻起来不错 问起来味道还不错，但喝起来有点酸，就跟药店买的那些液态氨基酸味道差不多</t>
  </si>
  <si>
    <t>不错，合适。 这双鞋大小与硬度合适，样子是自己选的。等到冬季外出穿时，再看看效果如何。</t>
  </si>
  <si>
    <t>很快收到 听乐器超好，但是人声一般</t>
  </si>
  <si>
    <t>好 到货空转了下没问题，是全新机。卡具有点短卡不了.会员省邮费太划算了</t>
  </si>
  <si>
    <t>尺寸 挺好穿的，百搭</t>
  </si>
  <si>
    <t>运输快，挺好用 好评，买回来用了一次还不错，好洗不沾油。btw，ups的运输太快了，下单后隔两天就送过来了，惊呆。。</t>
  </si>
  <si>
    <t>宝贝喜欢 味道很不错，孩子喜欢</t>
  </si>
  <si>
    <t>东西很好 是从日本发过来的正品，以后会继续关注亚马逊，塑身衣故意买小一个码，很难穿上去，但是穿上去了也有觉得不舒服，果然贵有贵的道理，不卷边，跟便宜的还是有差别</t>
  </si>
  <si>
    <t>舒服便捷购物 邮寄很快、鞋子很好、大小合适，非常舒服。</t>
  </si>
  <si>
    <t>合适的很 174，69公斤，穿M就跟定做的一样，很合适！不紧也不松</t>
  </si>
  <si>
    <t>超级好！ 非常美观，实用。</t>
  </si>
  <si>
    <t>好鞋，正品 一如既往的正品，价格很合适，ecco有活动还会再来</t>
  </si>
  <si>
    <t>保温效果不错 刚收到，杯子里面有点味道。保温效果不错。貌似比在国内买的TIGER 保温好些。</t>
  </si>
  <si>
    <t>大小合适，很好 大小合适，很好</t>
  </si>
  <si>
    <t>做钥匙链是否适合？ &lt;div id="video-block-R33QY1MS4SALC8" class="a-section a-spacing-small a-spacing-top-mini video-block"&gt;&lt;/div&gt;&lt;input type="hidden" name="" value="https://images-cn.ssl-images-amazon.com/images/I/71Jzl66kmsS.mp4" class="video-url"&gt;&lt;input type="hidden" name="" value="https://images-cn.ssl-images-amazon.com/images/I/919HS3cysmS.png" class="video-slate-img-url"&gt;&amp;nbsp;喜欢小翅膀的造型，不喜欢翅膀尖尖偶尔会被扎下。主要用作汽车钥匙链。</t>
  </si>
  <si>
    <t>质量很好，价格优惠 质量很好，价格优惠，174，67KG，M码合适，略长一点。</t>
  </si>
  <si>
    <t>性价比不错的耳机 250欧的阻抗的确不易驱动，用手机和国砖发挥不出真正实力，但感觉得到三段均衡，佩戴舒适，以后上耳放和台放再试</t>
  </si>
  <si>
    <t>盒子好像是旧的盒子 深海大品牌值得信赖的听了几个月了，声音突然有点闷送去客服维修，客服给换新的给大牌赞</t>
  </si>
  <si>
    <t>很好，质量不错 参考之前的评论，选购的尺码正好~</t>
  </si>
  <si>
    <t>关税 我的脚252左右，7.5m 自己觉得刚刚好，就是为啥当时关税按百分之30给我算的呢，以前都是百分之10呀</t>
  </si>
  <si>
    <t>味道不错 有点儿草莓冰淇淋的味道，，口感很甜，可以接受。粉很细，不知道效果怎么样，吃一段时间看看吧，5磅真的是好大一桶啊。</t>
  </si>
  <si>
    <t>品质很好 超级好看 价格实惠 品质一流</t>
  </si>
  <si>
    <t>为何又是卡西欧？ 85年上大学，曾在校园商店里买了一只类似的表。价格大约18～24元。那个年代，满大街都是这种电子表。闹铃为哦苏珊娜。没几天，洗脸时摘下，丢了。这类表简洁实用，大小适合。懒人戴，多年不用换电池。日期醒目，了然。喜欢此表，除了功能性项目，还有感情因素。此表科技含量高否？做工精良，样式经典简洁，值得学习借鉴啊。</t>
  </si>
  <si>
    <t>尺码准确，商品正品，非常喜欢，推荐购买 尺码准确，商品正品，非常喜欢，推荐购买</t>
  </si>
  <si>
    <t>不咋滴 老实说太low了，差不多200块的衬衫这个质量，不值啊，还有点瑕疵，抽线了。</t>
  </si>
  <si>
    <t>尺码令人费解！ 尺码令人费解！按标记33w计算应该是33x2.54公分/英寸，得到83.82公分的样子。可是一量（如图），这误差大了去！!不会是其他地方搞错了吧？国内我买的都是34的呀（这比我34的腰围还肥!）！看评论许多都说大，考虑到裤长好改，腰围不好改，故选小一号，结果还真没想到大了这么多！看来买衣服真要上身试（本人的许多购物经验表明，这尺码真没个严格标准，有些乱！这里就不详说了。），除非你再买一次相同的款式！质量?你问质量?毛里求斯生产的，和国内800元左右的货差不多吧?另，抱歉！和国内生产34码裤子比较的视频无法上传</t>
  </si>
  <si>
    <t>有危险 宝宝会咬掉塑料 要小心</t>
  </si>
  <si>
    <t>声音大 声音不是一般大，除去品牌价值，物品不值这个价</t>
  </si>
  <si>
    <t>材质不符 根本不是羊毛的，上当了</t>
  </si>
  <si>
    <t>这个真是品牌的衣服吗？ 这质量款式真是让人失望透顶，以后都不敢买了😒😒😒</t>
  </si>
  <si>
    <t>三件尺寸不一样 三个颜色，灰色最大，藏蓝色最小</t>
  </si>
  <si>
    <t>衣服质量还行 号码过小，尺寸不标准</t>
  </si>
  <si>
    <t>价格实惠，太长 平时穿33码的裤子，买的中码，裤头还好，太长，虽然收脚了，但真的好长啊，质量一般般吧，价格实惠。裤子有点薄。</t>
  </si>
  <si>
    <t>外观比国行更低调些 续航、声音都满意，只是蓝牙连接稳定性不好，半小时后很大机率出现声音不稳定。貌似这款耳机通病？</t>
  </si>
  <si>
    <t>面料比较舒服 看起来有点档次 三角还是没有四角的习惯，不过也还可以，换着穿。</t>
  </si>
  <si>
    <t>178cm87kg经常健身穿着这个尺码正好 178cm87kg经常健身穿着这个尺码正好，很舒服的薄棉夹克，有一定分量，袖子并没有像其他人评论的长那么多，腰身位置比较上提的缘故，但版型很合理，比较显得魁梧。总体这个价格跟国内代购比比较值的，而且保真的。</t>
  </si>
  <si>
    <t>不习惯的网购和评论方式 买来备用，和之前从其它渠道买的对比了，完全相同。第一次在亚马逊买东西，物流过程没有国内的细致，想实时看状态很难，也找不到在线客服，还是不太习惯这种体验。</t>
  </si>
  <si>
    <t>不错😊 &lt;div id="video-block-RRHUX3QW9SJ6T"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id="7" preload="auto" src="https://images-cn.ssl-images-amazon.com/images/I/71ef82GBBaS.mp4" style="position: absolute; left: 0px; top: 0px; overflow: hidden; height: 1px; width: 1px;"&gt;&lt;/video&gt;&lt;/div&gt;&lt;div id="airy-slate-preload" style="background-color: rgb(0, 0, 0); background-image: url(&amp;quot;https://images-cn.ssl-images-amazon.com/images/I/91iGHtMVCFS.png&amp;quot;);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center;"&gt;0:03&lt;/div&gt;&lt;div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 style="width: 71.1358%;"&gt;&lt;/div&gt;&lt;div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value="https://images-cn.ssl-images-amazon.com/images/I/71ef82GBBaS.mp4" class="video-url"&gt;&lt;input type="hidden" name="" value="https://images-cn.ssl-images-amazon.com/images/I/91iGHtMVCFS.png" class="video-slate-img-url"&gt;&amp;nbsp;价格美丽，手表很漂亮</t>
  </si>
  <si>
    <t>样式很好 样式很好，非常喜欢。德国原装。 目前刚收到耳机，尚未煲机。 试听的时候，低音还是比较浑厚，但是压制了中音和高音。 而音量大了，高音会变尖刺声，待煲开后再看。</t>
  </si>
  <si>
    <t>皮带不错 皮带不错，肯定是真品，明天下场用</t>
  </si>
  <si>
    <t>不错的购物 最开始用的飞利浦剃须刀，16年在淘宝上代购日本5040S，感觉真的没飞利浦好，胡须剃不干净，所以偶尔会用刮胡刀。这次购的英国刀头，不一样的感受，太干净了。 淘宝上代购日本剃须刀不知那里出问题了，颠覆了对博朗的感受，幸亏有这次网购。</t>
  </si>
  <si>
    <t>很好 略大一点，再小半码就更好，而且W宽版稍微有点肥啊，可是没有合适的号，还是很满意！超级好看！不过一下就穿出褶了这也太快了吧...比某宝便宜好多是最开心的！等了一个多星期才发货！不过还好到了这里就送货啦</t>
  </si>
  <si>
    <t>可以买 13号晚上下单，18号上午收到，这速度也是没谁了。还是我亚马逊威武。160，60，平常上装L码，看大家提示说小，所以买了m码，合适，不过买L码略松应该也是可以的。薄绒，还算暖和，外面穿个羽绒服在北京无压力。</t>
  </si>
  <si>
    <t>正品 喜欢，应该是正品吧，还挺好看</t>
  </si>
  <si>
    <t>还好 大小合适，效果还行。</t>
  </si>
  <si>
    <t>挺好 舒适度在线 没有什么杯型可言 全靠好胸型吧</t>
  </si>
  <si>
    <t>正品 囤货的，跟代购买的一样</t>
  </si>
  <si>
    <t>原装正品，价格全国最低了吧？ 耳包很软，戴着很舒服，戴眼镜不会夹着耳朵疼； 声音干净，毕竟定位是便携设备，阻抗低，其他方面也就这样了，这个价钱还是满公道的。</t>
  </si>
  <si>
    <t>这个价格真是买到就是赚到了 这个真的实BUG价买的了。。。200多好多时候日本都买不到，真的感觉赚了一个亿啊</t>
  </si>
  <si>
    <t>比上次买的线头少的多多多...... 上次买的是单的36×29的那个合适呀，这次买的36×30的那里都合适就有那么一点点长，要赞下这个做工真不错，现在是夏天，保暖度还不知道。</t>
  </si>
  <si>
    <t>心动不如行动 非常满意，除了物流速度稍显慢一些，鞋子本身很不错，刚开始第一天确实磨脚跟和有些压小拇指，但是穿了几天穿开后十分舒适，这就是我想买的鞋子，我nike阿迪运动鞋都穿44码这个鞋10us很合适，还有一些空隙，这次在亚马逊购物很棒，海外购的物品越来越多和越全，还记得去年想买双踢不烂的鞋，中亚货源少不说价格还贵的离谱，只有去美亚买，现在就方便多了，祝亚马逊越办越好。</t>
  </si>
  <si>
    <t>170cm75kg买的m号穿着有点紧，喜欢宽松的可以买大一码。 170cm75kg买的m号穿着有点紧，喜欢宽松的可以买大一码。</t>
  </si>
  <si>
    <t>恰恰好 身高170体重70正好，超级棒。</t>
  </si>
  <si>
    <t>超级弹性，超级便宜。 这个虽然也是海淘，但是感觉是亚洲版本，跟海淘美版levis的3130比腰围大一点点，裤长短1寸。神奇的地方在于弹性完全接近弹力运动裤，完全不是一般略带弹性面料的概念。那个裤腰就跟有松紧带一样夸张，所以穿着很舒适不紧绷。裤型感觉比一般的strait略大一点点。</t>
  </si>
  <si>
    <t>更正 手机出问题了，星级全五才是我要发布的！</t>
  </si>
  <si>
    <t>好用 虽然其貌不扬，但很好用</t>
  </si>
  <si>
    <t>含棉量80%，这条裤子我打满分 比耐克好，比耐克便宜，100分</t>
  </si>
  <si>
    <t>身形非常奇怪，身子短粗 身子短粗袖子长，在欧美身形中也属于绝对奇葩的那种 质量非常不好，不推荐购买</t>
  </si>
  <si>
    <t>尺码偏大 孟加拉国产，品质还行，就是尺码过大。38的腰围实际有101cm。</t>
  </si>
  <si>
    <t>不是很满意  穿着不舒适 鞋垫超级硬，光脚和穿袜子穿都会打滑，走路走多了，脚底超级痛。 出去玩的时候正好带了这双鞋，走路走到一半直接去另买了一双鞋，才觉得自己又活过来了。 因为已经穿过几天，所以就不退了，但是真的超级超级不满意。</t>
  </si>
  <si>
    <t>质量太差 算上运费到手价格.500不到.便宜是便宜但是这个鞋子质量太差了.穿第二个星期就脱胶了.</t>
  </si>
  <si>
    <t>尺码 质量还行，偏小</t>
  </si>
  <si>
    <t>有的小 172,75kg穿M码略小，主要是袖子太窄，这是给瘦星人准备的。</t>
  </si>
  <si>
    <t>东西不错 东西挺好的，价格也不贵，就是夏天戴有点热！</t>
  </si>
  <si>
    <t>鞋子很好 但是有点小了 uk7换uk8 有uk8但是大了的亲请联系我</t>
  </si>
  <si>
    <t>350ml和360ml款杯盖的开启方式不一样 购买时请注意350ml和360ml款杯盖的开启方式不一样，这个350ml的单手开启不方便，而且说明上有杯子不能倒放。</t>
  </si>
  <si>
    <t>值得購買 滿意。亞馬遜值得信賴。</t>
  </si>
  <si>
    <t>很好  物超所值 表很漂亮  走时还算准确  精钢表带是实心的  很赞</t>
  </si>
  <si>
    <t>多了点 质量还不错，比原装的奶嘴薄一些，其实更好，更柔软了。就是比较多，6个</t>
  </si>
  <si>
    <t>手感满分 值哭，撸了两套，就是花洒摇一摇有声音，希望安装顺利，祝好运</t>
  </si>
  <si>
    <t>舒适 大小正好，穿着舒适，很柔软</t>
  </si>
  <si>
    <t>内外码不一样吗 收到 看见外包装和内包装码不一样 如图</t>
  </si>
  <si>
    <t>耐穿，适脚。 10年前买过同款只是没有geotex，穿了6、7年，直到鞋底漏了，鞋面毫发无损，严重推荐。</t>
  </si>
  <si>
    <t>很好的皮带、价格也不贵 皮质细腻光滑，很不错！</t>
  </si>
  <si>
    <t>不错。 173，体重130，买S号正好。</t>
  </si>
  <si>
    <t>性价比不错 直筒，较适合中年。样式传统，做工上有一些线头，总体不错</t>
  </si>
  <si>
    <t>不错 本人男，182cm，64kg。32w34l有点大，但总比小了好。</t>
  </si>
  <si>
    <t>非常好 非常好，孩子吃饭用很方便</t>
  </si>
  <si>
    <t>第一次购买安德玛产品 很满意，至少我再也不会买新百伦的鞋子了，每次都很失望。</t>
  </si>
  <si>
    <t>非常满意的一次海外购 专柜要1390，网上只要一半的价格，下单到手一周时间，简直厉害，买了大半码，穿着也合适，很满意</t>
  </si>
  <si>
    <t>过滤效果好 家里一直用开这个牌子，只是国内版本，这次特意买进口的对比。原装的过滤确实比国内的效果好，给个赞！</t>
  </si>
  <si>
    <t>评论 外观造型漂亮，出水顺畅，书写流利，物超所值。</t>
  </si>
  <si>
    <t>到货较慢 但是贵在产品不错 海淘在天津清关整整清了一周多，前前后后可能等了3周多的样子。清关速度慢这个可能是外界因素，这个不苛责。 到货以后包装完好，产品也完好，这样海淘性价比高。已经用上了，使用感觉也不错。估计得用好一阵子，下次还会考虑使用这个途径购买。</t>
  </si>
  <si>
    <t>合适 比国内买小一码正好，鄙人178，78kg，供大家参考</t>
  </si>
  <si>
    <t>非常好 42码尺码正确，不大不小，入手300不到一点，比淘宝双十一还便宜一百多，款式很喜欢，后跟稍微有点磨脚，需要穿一阵适应！</t>
  </si>
  <si>
    <t>物美价廉 很卡哇伊的杯子，漆面很好，小口杯保温效果比较好</t>
  </si>
  <si>
    <t>很好用 一直用这个牌子，不错</t>
  </si>
  <si>
    <t>不错 挺不错的，味道感觉还行</t>
  </si>
  <si>
    <t>不是很必要的剪刀 比较鸡肋，现在发现没多少东西需要剪</t>
  </si>
  <si>
    <t>连接处有些活动 写字很顺滑，可是笔的连接处有些活动，我退换了好几回，还是这样，可能是设计问题，不理解🤔最后还是退了</t>
  </si>
  <si>
    <t>码数偏大 165.106斤，穿着肥。码数偏大，供参考。质量可以。</t>
  </si>
  <si>
    <t>收到很不满意 第一次在亚马逊上面购物，结果让人很失望！很薄很薄的一层，摸起来就像雨衣一样。看到那么多好评不知道怎么来的。</t>
  </si>
  <si>
    <t>😔 懒得退了。还以为是1000w，最后是700w！希望亚马逊能专业一点，冲着自营买的！没想到出这种低级错误！！！！</t>
  </si>
  <si>
    <t>售后差 亚马逊售后还是没法和京东比，用了几个月，蓝牙坏了，联系客服，只能自己和森海联系，或者给你个地址自己跑去修，售后点离我四五十公里。要是京东不说直接换新吧，至少上门取件，修好送过来。买的u盘什么的，京东都是直接换新，还是支持东哥算了，我要这prime会员有何用，要了我288,一言难尽</t>
  </si>
  <si>
    <t>舒服，不过盒子像是被打开过 东西很不错，很舒服。就是收到的时候，盒子像是被打开调换过一样，反正都要洗一遍，所以也没有好介意。</t>
  </si>
  <si>
    <t>7US/37.5码，太窄了穿不了，仅试穿现原价全新出！ 7US/37.5码，太窄了穿不了，仅试穿现原价全新出！</t>
  </si>
  <si>
    <t>发货太慢了 钢笔已经收到，EF还是有点粗，发货太慢了，下单四天后才发货，同时在德亚上买了吸墨器，5天就到手了。</t>
  </si>
  <si>
    <t>对森海的牌子有感情。 音质没有想像中好。煲煲应该会有提升。  PS：对亚马逊海外淘的服务不是太满意。第一次付款近10天。还不给我发货。 电话投诉说没法处理。然后让我退了款，重新拍。过了N久才发过来。</t>
  </si>
  <si>
    <t>性价比高，舒适。不建议用于跑步 性价比超高，穿着舒适。室内健身或室外散步都可以。不建议用于跑步。鞋底材质太软，无反弹。 Tan</t>
  </si>
  <si>
    <t>全球亚马逊最便宜的 对比所有国家亚马逊，日版最便宜，然后亚马逊中国免邮费。这款适合带出去。在外面长期居住</t>
  </si>
  <si>
    <t>保温效果好，再次购入 保温效果好，再次购入</t>
  </si>
  <si>
    <t>传图供参考 腰围二尺八 合94cm  几经反转 最后买入38的尺码 收货后试验正好 余头不多 腰带长112cm 宽4cm 以供参考</t>
  </si>
  <si>
    <t>物美价廉 价格划算，尺码如预期般合适，赞一个感谢各位的经验分享。我183 70穿m号正好</t>
  </si>
  <si>
    <t>物美价廉，进口牙膏，彩虹色带 儿子很喜欢这个牙膏，也方便挤出，价格也不贵！</t>
  </si>
  <si>
    <t>修身效果很好 身高1.72，体重160。M号刚刚好，而且很修身 显瘦。国内号码通常穿L。洗了两次后 起球，整件衣服看着毛躁的，质量不好。不推荐。</t>
  </si>
  <si>
    <t>好用 生产日期是今年的，很好用，比国产的苏菲之类的好用多了</t>
  </si>
  <si>
    <t>没标题 第一次买。量挺大，口味好。发货快。刚来还看不出效果。用后再具体说。</t>
  </si>
  <si>
    <t>简洁 非常简洁，比较小，适合青少年</t>
  </si>
  <si>
    <t>值不值得买？值！ 送妈妈的生日礼物。机器的包装作为外壳寄来的，虽然外壳有个凹陷所幸咖啡机完好。红色外壳很美丽，买了jacobs的胶囊，加热速度快，压出来味道很香。15杯星巴克咖啡的价格，你值得拥有。 （水箱的连接略松</t>
  </si>
  <si>
    <t>瑕不掩瑜 质量不错，裤头虽有系带，但时间长还是容易松动，这是冠军品牌的通病，应当改进</t>
  </si>
  <si>
    <t>适合夏天 不错，面料很舒服适合夏天</t>
  </si>
  <si>
    <t>软化水质，为养胃买的 这款东东，非常好，价格实惠，是我想要的，已经离不开海外购了！几乎总在买，大家可以考虑入手！</t>
  </si>
  <si>
    <t>非常满意！ 感觉自己帅fong了 不偏码，平时穿多大就买多大。 美国寄上海过来居然4天？？惊呆了速度</t>
  </si>
  <si>
    <t>质量好 方便，给小孩子自己做口算等作业方便记时</t>
  </si>
  <si>
    <t>氦气盘 10T的特价没有了，只能下手8T，氦气盘，读写速度很快，性价比一流。</t>
  </si>
  <si>
    <t>鞋子很棒 鞋子很棒，适合脚胖的人穿，不用买大一码了</t>
  </si>
  <si>
    <t>颜色很好看！ 色彩非常棒，笔芯太软，需要搭配硬质彩铅一起使用。发现粉红色系和红色系的色彩有点少。一般绘画的话72色就够用了，132色里有些颜色用不到。</t>
  </si>
  <si>
    <t>合适 175 65 m适合手感不错</t>
  </si>
  <si>
    <t>正宗德国产 用了挺好的，壶很漂亮，白色的，喜欢</t>
  </si>
  <si>
    <t>不错 操作连接很简单，不用识别英文都能懂。听着还有点立体声效。</t>
  </si>
  <si>
    <t>手表不错 手表很好  服务也好  全5分</t>
  </si>
  <si>
    <t>质地很一般，像劳动服 质地很一般，像劳动服，裤腿也不收身</t>
  </si>
  <si>
    <t>不是全棉 样子还行过得去好像标签是旧款试</t>
  </si>
  <si>
    <t>不推荐买这款 很薄，看起来就像是越洗越长的那种。果然，拿到的当天就用水冲洗了一下，没敢悬挂晾干，平铺晾干之后，还是悲剧了。。。</t>
  </si>
  <si>
    <t>不太舒服 可能是款式设计 ，不包臀，还下滑，超薄一层，没缝边，168，54kg，买s，合适但穿着不舒服。</t>
  </si>
  <si>
    <t>断线 鞋面断线，天木兰和CAT都是，因为是中国买家所以发次品？本来申请退货了，以为像京东那样上门收货，结果要自己寄。为条断线搭上个国际邮费好像又不值。无奈。42码买8.5的正合适。</t>
  </si>
  <si>
    <t>不认真 我订的是L，发来的是2XL。搞什么鬼?大了两号。亚马逊太马虎了。</t>
  </si>
  <si>
    <t>包装破裂，无密封。笔满是灰尘 钢笔是写的中国制造MADE IN China，其他的是法国。必须是差评！！！包装太差了，外边就一个开口的纸盒包装！！！都没密封！！是没密封，直接就能把笔盒拿出来。再说笔盒，已经坏了，一边都裂开了，满是灰尘。钢笔也是，笔头有残留物。</t>
  </si>
  <si>
    <t>Calvin Klein 卡尔文·克莱恩 男士 棉质经典短袖 V 领 T 恤 3件包装 大小合适，高180重162M码的正好，国内同价格棉质要比这好，孟加拉国制造。</t>
  </si>
  <si>
    <t>国内怎么售后,请教！！！ 我用了不到一年有坏扇区了。</t>
  </si>
  <si>
    <t>尺码偏大，身上很薄 手感不错，身上很薄，领子比较厚，尺码偏大，173/52穿s码偏大</t>
  </si>
  <si>
    <t>可以考虑回购哦！ 胶原蛋白改善皮肤的效果有待观察，但是喝了一星期之后，头发上的效果还是比较明显的！</t>
  </si>
  <si>
    <t>粉超细 除了蛋白质含量偏低其他还可以，香草味相对没有它牌腻</t>
  </si>
  <si>
    <t>物美价廉 搞活动买的，便宜，还有一年半的保质期，还不错</t>
  </si>
  <si>
    <t>优惠的价格 品质好，价格合适，不错</t>
  </si>
  <si>
    <t>速度快，免运费，很好！ 日亚直邮的，速度快，还免运费，好划算，就是希望海外购东西能再丰富些</t>
  </si>
  <si>
    <t>💖 三大品牌之一，质量没的说，价格优惠时出手，觉得合算</t>
  </si>
  <si>
    <t>好用 奶嘴软软的 瓶身颜色鲜艳清晰 好用</t>
  </si>
  <si>
    <t>喜欢这种款式 不错，穿着合适，喜欢这个款式</t>
  </si>
  <si>
    <t>质量好，做工不错 质量好，做工不错，身高180CM，体重85KG，买了L码略小，穿的有些紧。海外购办理退/换货麻烦，干脆又买了一件XL的</t>
  </si>
  <si>
    <t>好产品 性价比高，值得购买。</t>
  </si>
  <si>
    <t>皮质部分用久会磨损。黑色绒皮那款应该没有这个问题 入的线外层有破损，黑线裸露出来一截，即便这样，用了几年也是完全没问题。</t>
  </si>
  <si>
    <t>最好的存储卡 速度很快，质量也用了五六年了，一点问题没有。</t>
  </si>
  <si>
    <t>还不错 第二次购买，还是不错的，包装一直很好。</t>
  </si>
  <si>
    <t>很实用，味道也OK 整体看起来还是停有质感的，用起来也方便（我就是一直摁着，看变淡了就停，是这样用的不?一般一个胶囊出咖啡大概100-150ml）。接下来就是买胶囊的问题了。 可能是比较浓郁，感觉风味比一般那种连锁咖啡馆的美式要好一些。当然了，想喝好的，还得去喝手冲。工作日所需，这台小小的机器是完全能够满足拉。</t>
  </si>
  <si>
    <t>很可爱的储存盒 很好用的储存盒，大小尺寸都很方便，密封效果也很好</t>
  </si>
  <si>
    <t>值得分享 这款耳机声音通透明亮，层次丰富，很喜欢，准备下次当礼物送给亲近的人，舒服一下他们的耳朵</t>
  </si>
  <si>
    <t>物美价廉！ S家维生素在国内来说很难买到这么便宜的，130以内，主要是正品！好好好。希望活动常在。</t>
  </si>
  <si>
    <t>踢不烂名不虚传 踢不烂名不虚传，就是稍微有点大，但也好，这样冬天的时候穿着厚袜子就不会觉得小了。</t>
  </si>
  <si>
    <t>多次购买了 十分合适，大小颜色都不错</t>
  </si>
  <si>
    <t>非常棒的手表 很漂亮。有科技感但又比较低调，准备再买一块送人</t>
  </si>
  <si>
    <t>我钟爱的品牌 非常喜欢，质量好，邮寄的速度快，511是我喜欢的品牌。天暖和了，有没有薄一点的带有弹性的，我还要想买。👍👍👍</t>
  </si>
  <si>
    <t>比国内专柜便宜不少 从下单到收到一共就7天，简直神速！面料不错，比较软，另外我160/135穿这款XL正好，偏宽松，非常合身！点赞！</t>
  </si>
  <si>
    <t>外包装很烂 11月24日下单，12月18日才收到货物。外包装很烂，像是被人打开过数次，对照说明书，目前能确定里面少了两个垫片，虽然不值多少钱，但觉得别扭。如是非专业人员直接安装上，后果不堪设想。希望以后能改进一下。</t>
  </si>
  <si>
    <t>蓝牙连接不顺畅 声音还不错，就是蓝牙连接不顺畅感觉，还有就是蓝牙的连接范围比较小</t>
  </si>
  <si>
    <t>使用体验 料子一般，穿后体感不是很好</t>
  </si>
  <si>
    <t>不推荐 产地洪都拉斯 面料很薄 穿着也还算舒适 版型不错 就是做工凄惨 针脚惨不忍睹</t>
  </si>
  <si>
    <t>杯子辣鸡 &lt;div id="video-block-RTKYCCRU8K5JQ" class="a-section a-spacing-small a-spacing-top-mini video-block"&gt;&lt;div tabindex="0" class="airy airy-svg vmin-unsupported airy-skin-beacon" style="background-color: rgb(0, 0, 0); position: relative; width: 100%; height: 100%; font-size: 0px; overflow: hidden; outline: none;"&gt;&lt;div class="airy-renderer-container" style="position: relative; height: 100%; width: 100%;"&gt;&lt;video id="7" preload="auto" src="https://images-cn.ssl-images-amazon.com/images/I/81W7m7mzzqS.mp4" style="position: absolute; left: 0px; top: 0px; overflow: hidden; height: 1px; width: 1px;"&gt;&lt;/video&gt;&lt;/div&gt;&lt;div id="airy-slate-preload" style="background-color: rgb(0, 0, 0); background-image: url(&amp;quot;https://images-cn.ssl-images-amazon.com/images/I/81IcDvWnHOS.png&amp;quot;);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value="https://images-cn.ssl-images-amazon.com/images/I/81W7m7mzzqS.mp4" class="video-url"&gt;&lt;input type="hidden" name="" value="https://images-cn.ssl-images-amazon.com/images/I/81IcDvWnHOS.png" class="video-slate-img-url"&gt;&amp;nbsp;如视频，摇杯子的时候有声音，应该是保温层出了问题，让人恼火，就是坑钱的，真的服了。</t>
  </si>
  <si>
    <t>拿到手就发现瓶身掉漆！ 后悔买了，瓶身拿到手就黑了几块，开始以为是污渍，用各种办法清洗还是洗不掉，对着光仔细辨认才意识到是掉漆了！！</t>
  </si>
  <si>
    <t>表盘较大 表盘确实大，适合手腕粗的人配戴。</t>
  </si>
  <si>
    <t>尺码偏小点点，其他的还不错。 面料比较舒适，尺子稍微偏小一点的，总的来说，不错</t>
  </si>
  <si>
    <t>还不错吧 喜欢买杯子，就是单纯的喜欢，没有用，买完放在家里占地方。</t>
  </si>
  <si>
    <t>显瘦 不错 很密实 全脚的 没有很厚 但是有层绒绒 怕冷的10来℃单穿也没问题了</t>
  </si>
  <si>
    <t>太大了，适合大胖子穿 颜色纯白，内加绒，不厚，手感好，版型太大了，本人183cm，220斤体重，穿上巨肥，同时买得L的穿着正好。</t>
  </si>
  <si>
    <t>很帅，合适 ！！！ 不知道有的评论说大很多是为什么？？？ 我运动鞋40码  穿7 2E 略宽松一点点，挺合适，不会大很多啊。买的美亚Clarks 也是7码刚刚好。</t>
  </si>
  <si>
    <t>很舒服 穿起来很舒服，底很软</t>
  </si>
  <si>
    <t>总体很好 这个修身款的裤腿比一般的稍偏瘦，但还合身，上身效果很好。176cm，80kg，选32/32偏长，建议30长就足够，总体还是很不错。快递有点慢。</t>
  </si>
  <si>
    <t>第一次亚马逊购物 如题，第一次在亚马逊购物，总体感觉不错，就是快递稍慢，其他的不错 买的是亚马逊推荐的Schneider Base 黑色的F笔尖+Schneider BK402 黑色+Schneider 6601五盒套装，共计154RMB。 Base送了两个墨囊，一蓝一黑，暂时用的上墨器，自己买的鸵鸟313蓝黑墨水，感觉没有BK402流畅，有点下水不流畅，不知道是不是墨水的原因，打算先把上墨器的墨水用完，再拿送的墨囊测试效果。</t>
  </si>
  <si>
    <t>喜欢 超喜欢～适合秋冬。质量很好</t>
  </si>
  <si>
    <t>样式可爱 给宝宝囤货，还未用不知宝宝是否喜欢，但样子很可爱。</t>
  </si>
  <si>
    <t>手表应该还是值这个价的，期望不能太高。 手表应该还是值这个价的，期望不能太高。</t>
  </si>
  <si>
    <t>还好 给之后的买家提个醒，现在已经换新包装了，是一个小人在跑步的那种外包装。</t>
  </si>
  <si>
    <t>好小质量不错儿子2周多用这款小了留给小儿子用吧 好小质量不错儿子2周多用这款小了留给小儿子用吧</t>
  </si>
  <si>
    <t>中肯的个人感受 东西还不错，耳机低音效果非常好，如果音量开大一些还是能感受到有些刺耳，希望煲机一段时间会更好。但物流效率真心不高，年前1月11号下的单，1月26号收到货，可以看到已经送到很近的地方然后又去了更远的地方然后再转发快递，这物流应该算是吃力不讨好的运作吧。</t>
  </si>
  <si>
    <t>手感不错，质量蛮好 想等6.18可是又怕没货了，毕竟也比国内便宜的多，买了与北脸的组合，衣服质量都挺好的，手感很好。</t>
  </si>
  <si>
    <t>非常 好的购物体验 首先说说材质好，厚实，料足。我买的这个是S号，这个型号和我现在穿的衬衫一样合体。我身高170(不穿鞋测量），体重75KG，提醒下，我不喜欢穿修身的。</t>
  </si>
  <si>
    <t>脚长273，选9.5M正好 鞋子有点硬，脚需要适应一下，鞋头有支撑，可以起到简单防砸的功能</t>
  </si>
  <si>
    <t>很长 估计是给欧美人设计的衣服，亚洲穿比较长。 买了后拿到裁缝店改短了一些，穿着很好。</t>
  </si>
  <si>
    <t>性价比高，居家必备 最近才发现亚马逊海外购有这个刷头的超值装，每天都要使用的电动牙刷刷头，有这样的wholesale好价真是太好了！亚马逊海外购除了发货稍微慢一点之外，几乎没有缺点~</t>
  </si>
  <si>
    <t>裤子很不错 质量确实不错，布料很厚，做工扎实，户外休闲都可以，比较适合冬天穿。本人平时穿的牛仔裤的尺码是L34，W34。买这条裤子也是按照这个尺码买的，但是到手后发现裤子稍微会肥一些。其实L34，W32应该就可以了。希望可以给别人作为参考。</t>
  </si>
  <si>
    <t>很好用 亚马逊值得信赖，孩子很喜欢</t>
  </si>
  <si>
    <t>很重 货真价实的铁 很重很重 女生慎入</t>
  </si>
  <si>
    <t>舒服的clarks...... 颜色、款式、优质的做工、满意的选择......</t>
  </si>
  <si>
    <t>好 柔软舒适。</t>
  </si>
  <si>
    <t>紧身裤 穿着舒服，不知是不是我比较胖的原因，腰处要往下翻。</t>
  </si>
  <si>
    <t>漏电 这两天发现机器有点漏电，有安全隐患，外包装扔了，还能退货不</t>
  </si>
  <si>
    <t>吸盘挺好用但是后面就发霉了。。。。。底座 吸盘还可以但底座没多久就发霉了。。。。。</t>
  </si>
  <si>
    <t>一般 穿着大了 全新转 加我微信srs-song</t>
  </si>
  <si>
    <t>用一个月后有怪味 本来因为保温效果在小容量杯子里算好的，但是用一个月后开始发现每次放进去一杯水没喝完 三四个小时后就会产生药味儿 怎么刷都没用 为什么呢？能不能跟厂商反映一下 竟然还买了两个 每个孩子一个</t>
  </si>
  <si>
    <t>质量不好 油漆还没干，甲醛味很重。皮带上还有压痕。没法用。</t>
  </si>
  <si>
    <t>偏长 偏长款，刚买了就降50。。</t>
  </si>
  <si>
    <t>划算 非常划算，比某宝某东便宜不是一点点。不过感觉替换装还是没有原装好用</t>
  </si>
  <si>
    <t>比较满意，价格实惠 还可以，就是速度方面似乎有点不兼容。</t>
  </si>
  <si>
    <t>还行 价格不错。质量还行。2015年的。 裤子太长了</t>
  </si>
  <si>
    <t>还可以 还行，就是鞋子鞋面挺宽的。早知道买小一码了。</t>
  </si>
  <si>
    <t>Champion 男士T恤 一下子流行冠军这个牌子了，我也不免俗的买了两件，没有买大众款的，蓝色是我一直喜欢的颜色，大小正好，面料舒服，很轻薄，适合休闲穿，不错的。</t>
  </si>
  <si>
    <t>囤货 囤货中。长草了很久，买到家后真的爱不释手，亲妈说估计立刻穿不上，期待小宝贝能穿上美美的。就是这包装有些简单，直接一个塑料袋，而且快递箱子有被打开，二次封箱又没有封好的迹象。快递在外游荡了半个来月的时间，应该是从日本寄过来的吧？！自己安慰自己这是真货啦～</t>
  </si>
  <si>
    <t>颜色正 腰围84cm，殿围宽松，裤长102cm</t>
  </si>
  <si>
    <t>维持吧 面料一般薄</t>
  </si>
  <si>
    <t>稍微小了点。7.5的 平时耐克阿迪42的，买这个7.5的稍微有点小。没有说的那么大。鞋舍尺寸如图。</t>
  </si>
  <si>
    <t>我的腰围92、93cm，买36的，倒数第二个洞，一共5个空，很完美 我的腰围92、93cm，买36的，倒数第二个洞，一共5个空，很完美</t>
  </si>
  <si>
    <t>CK &lt;a data-hook="product-link-linked" class="a-link-normal" href="/Calvin-Klein-卡尔文·克莱恩-男士-4-件装-纯棉经典款低腰内裤蓝色-大号/dp/B00JQQTCYE/ref=cm_cr_getr_d_rvw_txt?ie=UTF8"&gt;Calvin Klein 卡尔文·克莱恩 男士 4 件装 纯棉经典款低腰内裤蓝色 大号&lt;/a&gt; 很好，很合身，价格也温柔。</t>
  </si>
  <si>
    <t>嗲 非常好冬天穿很合适。</t>
  </si>
  <si>
    <t>非常喜欢，有收腹的作用。不算勒，穿上还比较舒服。比一般的功能内衣好穿。当然不能和日常品比。 非常喜欢，有收腹的作用。不算勒，穿上还比较舒服。比一般的功能内衣好穿。当然不能和日常品比。</t>
  </si>
  <si>
    <t>质量过硬 原装进口，质量很高！出行家用都很方便！</t>
  </si>
  <si>
    <t>柔软 轻薄 产地柬埔寨，身高165 55，XS穿里面正好，比较轻薄柔软，很适合初春初冬，因为是polartec面料，没有静电！其实厚薄什么的跟迪卡侬我看也差不多，但是没有静电这点太重要了。</t>
  </si>
  <si>
    <t>很好 已经买了很多次了，是正品</t>
  </si>
  <si>
    <t>小盆友喜欢 我女儿挺爱吃的，看来口味不错</t>
  </si>
  <si>
    <t>物流6天 质量挺好</t>
  </si>
  <si>
    <t>海外购海盗船U盘 台湾制造，防摔包装，国内没敢买，来个海淘，希望质量比国产好。</t>
  </si>
  <si>
    <t>有点贵，但还是喜欢 有点贵，质量还可以，很喜欢</t>
  </si>
  <si>
    <t>舒适的鞋 和预期一致，尺码标准，穿着舒适</t>
  </si>
  <si>
    <t>性价比高 价格太合适了 用了几次有划痕 能接受 主要是价格和大小很不错</t>
  </si>
  <si>
    <t>便宜 好大一瓶善存！现在开始每天一瓶善存片，补充身体维生素和微量元素！ 比药店买要便宜好多！吃完后还会继续购买！希望身体健康！开心每一天！</t>
  </si>
  <si>
    <t>非常合身 选了小一码的 除了裤长长了五公分 其他都合适</t>
  </si>
  <si>
    <t>棒棒哒 物流很快，尺码合适！</t>
  </si>
  <si>
    <t>不错 版型挺好的，材质也不错，裤腿我买了个长了。176cm.80kg买的33W.32L。其实买33W.30L对我来说就够了😂腿短，没办法～</t>
  </si>
  <si>
    <t>从床上掉地下就不走了 质量一般，从床上掉地下就不走了，后来自己打开把电池重新装一下又可以了，我觉得对于这个牌子，产品也太脆弱了。</t>
  </si>
  <si>
    <t>43脚穿多大鞋？ 大小还可以，但鞋偏瘦，有点硬。</t>
  </si>
  <si>
    <t>到了却没胶囊喝，不怎么开心 商品包装还行，没有送胶囊，而且怎么我买完就降价了，搞什么啊</t>
  </si>
  <si>
    <t>不靠谱 我记得买的时候是一套，为什么是一件。而且价格降了这么多。太不靠谱了。</t>
  </si>
  <si>
    <t>外包装盒为何是开放的？ 拿到的外包装是开放的，没有另外的塑料袋封，随便谁都可以调换里面的物品，牙刷头包装盒上的印刷也与网上显示的不同，所以怀疑是否被调包了？</t>
  </si>
  <si>
    <t>鞋底硬，不舒服，谁买谁后悔！ 鞋底非常硬，走路很不舒服，大失所望，千万别买！</t>
  </si>
  <si>
    <t>衣服不错，样式一般，尺码标准，就是色差大点。。。实际颜色和名字一样偏蓝但是照片偏灰 衣服不错，样式大众，尺码标准。</t>
  </si>
  <si>
    <t>裤子不错 物流很烂 材质很好的有分量感 相比较国内牛仔产品要好上很多 就是物流不是很好 国内物流一级烂。</t>
  </si>
  <si>
    <t>老婆实际用下来说没真实感 可能受传统的影响比较大，这个带了老婆说不舒服，但是估计因人而异的，传统女性喜欢戴钢圈的不建议购买了</t>
  </si>
  <si>
    <t>号码偏小，很舒适 176.62穿m码有些小，穿在身上确实发热</t>
  </si>
  <si>
    <t>补充维生素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</si>
  <si>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不漏奶，密封好 同样不知道这啥有些人评价漏奶，我用了半包，没遇到过。是不是使用不对，不能装太满的</t>
  </si>
  <si>
    <t>这价格真心是太满意了 太喜欢了，这情怀杠杠的</t>
  </si>
  <si>
    <t>给宝宝的囤货 完全是看颜值买的啊。希望好用。</t>
  </si>
  <si>
    <t>非常满意 非常满意，杯子很漂亮，做工很好。</t>
  </si>
  <si>
    <t>很好不错。 非常好，完美。</t>
  </si>
  <si>
    <t>不错 以前用过，别人在法国带回来的，这次在这里买，也可以噢</t>
  </si>
  <si>
    <t>性价比较高的打底裤 性价比较高的打底裤，个人感觉适合初冬，或者是只行走在北方暖气室内的环境下，特别提醒身高在165的朋友们，包脚款的别买M号，买大一号的。不带包脚的您按身高来没问题。穿上比较包腿舒适性好，不勒，比较密实不透肉。穿上表面是哑光感的不发亮，这点儿我比较喜欢。</t>
  </si>
  <si>
    <t>CK很好 码数确实偏大一码。质量不错！</t>
  </si>
  <si>
    <t>顺滑 很合适，秒杀国内牌子，不掉档，不拉丝</t>
  </si>
  <si>
    <t>图案随机 虽说知道是图案随机，但是买了2给了2盒公主也是醉了。。。</t>
  </si>
  <si>
    <t>面料很薄，但是纯棉材质，穿着舒适 面料很薄，但是纯棉材质，穿着舒适</t>
  </si>
  <si>
    <t>经典电子表 给孩子买高中用。型小而功能全面、计时、闹钟、基本上样样齐全的经典电子表，另外皮实抗造。主要是符合低调有内涵的个性。就是价格对天朝的老百姓高了点。</t>
  </si>
  <si>
    <t>东西还不错，比较好用 东西还不错。比较好用。</t>
  </si>
  <si>
    <t>够宽 平时买不到44码的鞋，亚马逊真的很适合脚大的客户，合适喜欢</t>
  </si>
  <si>
    <t>不错 非常酷，略硬，很挺，有型，显瘦，厚袜磨合3天ok.皮质略薄褶子有小细纹，不是大厚折</t>
  </si>
  <si>
    <t>终于买了经典黑 一只特喜欢Dr Martens，14年冬天第一次在亚马逊上买了一双1460棕色，前不久穿坏了，瞅准机会马上又买了一双经典黑，终于圆梦！打折下来➕税才七百多！nike穿43，Dr Martens穿42，英码8，美码9！大家参考！</t>
  </si>
  <si>
    <t>商品不错，性价比高，与想象中一致。 商品不错，性价比高，与想象中一致。</t>
  </si>
  <si>
    <t>合适，满意 平时穿43的鞋，这尺码正好，很合适，黑白配，样式经典好看</t>
  </si>
  <si>
    <t>鞋码标准 42号，鞋码非常合适，穿着很舒服，很喜欢。</t>
  </si>
  <si>
    <t>值得尝试，你会爱上它。但我强烈建议你不要购买 堪比第一次使用电动牙刷的体验。2019年3月补充评论。非常不建议海淘此款。国内不保修。私人店铺不能修。因为是一体式机身。拆开就是破坏。如果是国行坏了就直接换新。如果是海外版本就扔掉吧……</t>
  </si>
  <si>
    <t>赞 颜色很清爽，音质很好，带着舒适，无线很方便</t>
  </si>
  <si>
    <t>好表天美时 好。非常好。真的很好。</t>
  </si>
  <si>
    <t>为什么电池没电？ 到手的时候是不转的，拿去换了电池，还没换就被打开来换电池了！！！为什么会没电？是放了很久马？</t>
  </si>
  <si>
    <t>三件装有的偏紧身有的偏宽松？ 三件装大小倒都合适 但有的偏宽松有的偏紧身</t>
  </si>
  <si>
    <t>不推荐 夏天穿着太厚，皮肤触感不舒适，不推荐</t>
  </si>
  <si>
    <t>有塑料的味道，香港货舱发出来的。 有塑料味道，不建议购买。亚马逊自营也有坑。</t>
  </si>
  <si>
    <t>不是套装是上衣…… 太坑了，没看评论，以为是套装，跟很多人一样被坑了</t>
  </si>
  <si>
    <t>有异味 穿了几次就开始有异味了，有点像汗味，有点像化学品的味道，尝试了几种方法还没洗掉。</t>
  </si>
  <si>
    <t>质量太差，文件丢失，噪音大，嗡嗡响。 用了几次，2t的音乐文件和收集的经典高清电影全没了，恨死了。垃圾wd。</t>
  </si>
  <si>
    <t>偏小一些 修身的，比正常穿的要大一码才合适</t>
  </si>
  <si>
    <t>这款适合稍微有点壮的人穿 还不错，就是线头比较多。</t>
  </si>
  <si>
    <t>鞋底有些硬 一分价钱一分货，很满意，会继续支持</t>
  </si>
  <si>
    <t>可能我力道不够 泥做的并不好。。后来我拿博朗料理棒了。。</t>
  </si>
  <si>
    <t>非常好 非常好，物起所值</t>
  </si>
  <si>
    <t>中规中矩 没有惊喜，也没有失望，声音中规中矩，可能听惯了书架箱，现在还不是很习惯耳机的风格。</t>
  </si>
  <si>
    <t>绝对物超所值 很好用，方便，主机轻，好</t>
  </si>
  <si>
    <t>还可以 感觉还可以，还没用多久有待观察</t>
  </si>
  <si>
    <t>码数参考 非常好，平时运动鞋穿36，看了很久评论，4码刚刚好，穿薄袜子不会太松，穿厚袜子不会太紧。如果需要加鞋垫和厚袜子建议再买大半码</t>
  </si>
  <si>
    <t>还不错 虽然有点薄。不过北京比日本冷不少呢。</t>
  </si>
  <si>
    <t>非常喜欢 鞋子一如既往的好，尺码标准，到手价754，</t>
  </si>
  <si>
    <t>身材娇小慎拍 衣服颜色款式真的挺喜欢的  可是我173cm67kg买的是s号啊  袖子还是长了许多</t>
  </si>
  <si>
    <t>值得购买 很好的质量 外观也是和理想的一样</t>
  </si>
  <si>
    <t>棒球⚾️帽 宝贝很棒 我喜欢你 找了好久的在亚马孙找到啦 开心😃 点赞👍</t>
  </si>
  <si>
    <t>犬印塑腰 很好，很满意，是正品，后续效果追加</t>
  </si>
  <si>
    <t>品质上乘 颜色很特别的豆沙绿，做工精致，无可挑剔。</t>
  </si>
  <si>
    <t>品牌好 长期吃善存，老小各一瓶，值得信赖</t>
  </si>
  <si>
    <t>价格降了 这个虽然有很多种色，但感觉小孩并不需要这么复杂的，很多色彩都相似了，而且有一股味道很重</t>
  </si>
  <si>
    <t>性价比很高 质量很好，很喜欢</t>
  </si>
  <si>
    <t>应该买s号的 材质很好很舒服就是偏大</t>
  </si>
  <si>
    <t>买了两瓶，挺划算。 看见这么大箱子吓一跳，两个大瓶确实大，能吃很长时间了。</t>
  </si>
  <si>
    <t>用了一只，跟原装的没区别 用了一只，跟原装的没区别，的确是很好的替换品，原装的刷头坏了，换上了一个新的替换装刷头，很好。</t>
  </si>
  <si>
    <t>Perfect Nice</t>
  </si>
  <si>
    <t>还是不错，值得一入。 一百多一条的皮带还是不错啦，真皮与否也搞不懂，稍微有些褪色，配深色休闲裤或牛仔裤挺好。本人174，138，系从皮带尖端正数的第二个洞合适，稍显短，所以下次打算试试36。</t>
  </si>
  <si>
    <t>非常不错 表不错，两个星期到货，一切完好，包装略简陋，说明书厚厚一本全是英文加各种外文，中文又再一次被忽略了。根据之前的买家评论调整了时间日期等，没问题，挺好。亚马逊的送货速度必须赞一个，比预计提前了六天。</t>
  </si>
  <si>
    <t>很好看 很合适，鞋底也软，不硬脚。</t>
  </si>
  <si>
    <t>比较失望 裤子很大了，170  180斤的人买M都大了，但是也能穿，买S更合身。而且裤子很薄很肥，像练武术穿的那种裤子。但是退货什么太麻烦就算了。勉强穿着吧</t>
  </si>
  <si>
    <t>一般 不太喜欢，材质很一般，比国内同样品牌差很多</t>
  </si>
  <si>
    <t>薄的就像一张纸 很难说这是不是真的，薄而且手感很硬，就跟纸一样</t>
  </si>
  <si>
    <t>什么玩意 S码居然有国内XL那么大，这都什么码数，布料也很普通，差评</t>
  </si>
  <si>
    <t>退货吧 穿了不两天，皮子裂口了</t>
  </si>
  <si>
    <t>挺有效的 买了之后才看到评论说很多人收到的是别人用过的 我的还好 是全新的 这款比较便宜 但是效果都是一样的 我用了几次之后腋毛的毛孔颜色变浅了 毛发的生长速度都变慢了 正好现在是冬天 用个三个月吧我感觉就能摆脱重毛发了</t>
  </si>
  <si>
    <t>袖子有一点点长 可以接受 颜色很正 也是袖子会很长的 本人身高157 体重85左右 xs大小正好适合</t>
  </si>
  <si>
    <t>不是很精致 感觉一般般，比想象中大，不是很精细。</t>
  </si>
  <si>
    <t>不错 奶嘴不错，就是不知道为什么没有两个一组的了，六个一包储存不是很方便。</t>
  </si>
  <si>
    <t>没称心 卖的是白笔尖到手的是黑的。整个一狂拽炫酷吊炸天，我被搞得心浮气躁了。这么个有内涵的东西搞这么浮躁，太叫人难受了</t>
  </si>
  <si>
    <t>舒适很柔软 穿着很舒适很喜欢，内衬绒毛很柔软，比在某猫买便宜多了，不到一百。又买了两条还在路上。</t>
  </si>
  <si>
    <t>养身 吃了一个月，效果还是不错的</t>
  </si>
  <si>
    <t>童年时光钙镁锌 日期还新鲜，包装也很好，发货也快。</t>
  </si>
  <si>
    <t>不错 做工和样式都没得说，目前男生随身通勤用，也不掉逼格，款式特别</t>
  </si>
  <si>
    <t>很满意 鞋很新，质量很好，很轻便，非常满意</t>
  </si>
  <si>
    <t>拉面碗 很适合给小朋友煮面条。</t>
  </si>
  <si>
    <t>罩杯偏小 穿着挺舒服，不过就是有些小罩杯，说是适合A_E，不过大胸麻麻还是慎买吧，生完宝宝过一段时间瘦下来了，穿着就还好了</t>
  </si>
  <si>
    <t>这个系列有些复杂 买的这款是金笔，不错，这个系列里有金的有不是金的，要注意分别</t>
  </si>
  <si>
    <t>不错，很好。 不错，价格便宜，穿着轻便。</t>
  </si>
  <si>
    <t>OK哒 说实话，每天用的频率不多，打豆浆真的不好喝啊，呜呜呜</t>
  </si>
  <si>
    <t>一般般 挺好的，虽然速度不快，但是稳定</t>
  </si>
  <si>
    <t>女生可以借鉴 我170 125斤S码很合适，就是穿着显得很壮</t>
  </si>
  <si>
    <t>不错 做工不错，就是比预想的薄点</t>
  </si>
  <si>
    <t>产品超棒 已经为两位朋友推荐并购买，产品非常棒！</t>
  </si>
  <si>
    <t>很好 应该是正品，只是试了一下，感觉不错！</t>
  </si>
  <si>
    <t>囤货中 宝贝收到了！很好看！还没用囤货中！</t>
  </si>
  <si>
    <t>提早到货，东西不错 提早到货的，东西看着就正品，现在还没给宝宝用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</si>
  <si>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Its a great deal 我个人认为在配个差不多的解码和线，空间良好摆位合适音量足够的状态下，这个箱子解析水平是1000元大耳的水准。三品均衡无染，极高频似乎有一点点不明显的失真，低频下潜很好，声场立体，结像非常精准。活动价一对一千八，真的很值</t>
  </si>
  <si>
    <t>不错 味道很好，可惜买少了</t>
  </si>
  <si>
    <t>尺码 综合大家的评论，这个码数正好，这是第一次在亚马逊上购物，很满意</t>
  </si>
  <si>
    <t>很好很舒服 穿起来很舒适。ecco的鞋就适合亚马逊上买。便宜好多啊！</t>
  </si>
  <si>
    <t>挺好的，满意 很严，一点味都没有。不错，给孩子装溶豆带走不怕洒</t>
  </si>
  <si>
    <t>商标没洗一搓就掉 衣服刚回来、手一搓商标就掉了。布料只能说还行，你说一个知名品牌会让衣服的商标还没洗一搓就掉了吗？有点失望而已。</t>
  </si>
  <si>
    <t>不是太满意 和国内专柜货 有差别 已退了吧</t>
  </si>
  <si>
    <t>172/65，S码合身 衣服质量不错，就是有一颗纽扣生锈了，清除后表面有一点锈迹。另外水洗后一只袖口略有小破损。值友们看看是不是也这样，总体还是满意的。</t>
  </si>
  <si>
    <t>裤筒太大，完全不适合 裤筒太大，完全不适合</t>
  </si>
  <si>
    <t>不好写 还以为国外的笔好写，一试还真的不怎么样，根本没有描述的那个笔芯直径，下水也不畅，算下来一点都不便宜。差评！</t>
  </si>
  <si>
    <t>机器翻译效果差 很无语，一直往上跑，同样尺寸华歌尔就不会，翻译不对等，网页没有显示是哺乳胸衣，订单上才显示出来。</t>
  </si>
  <si>
    <t>还行 特地买了个入门的无损播放器，但是说实话对比水果6s的提升不大，好点的播放器没听过，也用电脑听过，耳机属于很好推的那种。没有特别擅长的类型吧，算比较均衡。价格因为是日亚买的，所以相比国内便宜好多。总体满意。</t>
  </si>
  <si>
    <t>好商品 商品质量 1.颜色比商品介绍页面暗一些，牛油皮皮质，易于护理，不适用于雨天穿着。 2.重量较轻，鞋底有弹性。 3.大底防滑，正好适于送老人家穿着。 4.生产日期为2017年，产地为泰国。 配送： 海外配送易客满较慢，国内段配送顺风棒棒滴！</t>
  </si>
  <si>
    <t>还行吧。一般般。 衣服有些毛毛。没吊牌。总体还可以。以后买这种还是全棉好。感觉这个会起球。话说我这衣服帽子上是生产中粘上翔了？还是别人用来擦翔了？</t>
  </si>
  <si>
    <t>质量很好 很可爱，质量很好</t>
  </si>
  <si>
    <t>为什么没有产地 搞活动买的，价格确实比较便宜，尺码合适，皮质和做工都不错，唯一就是左脚鞋子有明显擦伤，而且外包装没有破损。在亚马逊买了好几次产品了，没没有1件商品有产地，这么大的平台还是自营商品居然没有1件商品标注产地。</t>
  </si>
  <si>
    <t>鞋子的款式非常好看，简单 很喜欢，本来白色就是我喜欢的颜色，这个款式在香港各大专柜都找不到，想到亚马逊一定有，没想到鞋子到了试穿后真的舒服，走路感觉要跳起来！很赞！</t>
  </si>
  <si>
    <t>建议比平常的号码大一号。 比想象的要小一些，无奈退了又买了一次。建议比平常的号码大一号。</t>
  </si>
  <si>
    <t>不错 独立包装比较方便,可以给孩子带一个放学再用,六岁小脸女孩带也有一点小</t>
  </si>
  <si>
    <t>不错，超市对比，目前没看到过同款。国外就是国外的货 不错，老公很喜欢，所以一定好评</t>
  </si>
  <si>
    <t>孩子 很满意，图个踏实放心，有待于试用。</t>
  </si>
  <si>
    <t>不知道质量怎么样 面料手感好</t>
  </si>
  <si>
    <t>P家忠粉！ P家忠粉，买过所有鸟鼠像等一线品牌，抛开做工和其他品牌效应而言，P家的版型是最适合我的，特别完美修身，一点不像其他品牌户外服装那么傻大傻大的，163,53公斤，感觉穿XS完美，S也行，XS好像更好更修身，这次S也收货了，感谢亚马逊的好价，谢谢！</t>
  </si>
  <si>
    <t>超喜欢 从亚马逊买的第二双斯凯奇了，国内迪卡农40的脚，亚马逊斯凯奇一直38.5 国内专柜没有半码 所以买不到合适的。之前是经典的黑白熊猫鞋，对膝盖保护很好，缓震。这双有记忆清凉鞋垫，所以感觉比熊猫鞋更增高。就是颜色有色差，实物偏褐色灰色，不是图片的偏粉色。不过很耐看，光腿显腿长。超爱亚马逊海淘的斯凯奇，物美价廉</t>
  </si>
  <si>
    <t>价格优惠，质地还不错 此价格在国内买不到这品质的，印度产的。</t>
  </si>
  <si>
    <t>很超值 手表很不错。自带光波电波。很方便。</t>
  </si>
  <si>
    <t>帽子好看 帽子好看，跟图片一样，很正的粉红，青春活力派</t>
  </si>
  <si>
    <t>好东东 质量好。不需考虑退换。</t>
  </si>
  <si>
    <t>挺好的 这款是在产后一个月之后用的，月子里不能用。整体上穿着挺好的，舒服，不用绑束腹带和骨盆带了。</t>
  </si>
  <si>
    <t>性价比高，宝宝喜欢 6个月的出牙期宝宝非常喜欢，抱着啃个不停，各种角度轮番变换。气味比香蕉那款小，清水洗后用开水泡了一下，晾了一天就基本没有味道了。</t>
  </si>
  <si>
    <t>很好 非常好 黑白灰喜欢 尺寸也很合适</t>
  </si>
  <si>
    <t>买过四台... 第一台2017年04月05日，804.96，这个版的插头需要转接头，有点麻烦。 二三台2017年11月27日，625.27，这个版开始就不用转接头，很方便直接插。 第四台2018年01月10日 ，624.89，同上，历史价从来没有抓到过。  友情提示，万一放胶囊的胶囊托丢垃圾桶了，可以去马家搜胶囊托买一个，亚马逊和德龙雀巢官方售后都没有这个配件的。</t>
  </si>
  <si>
    <t>很好 非常。。。。很酷。。。保温很好</t>
  </si>
  <si>
    <t>好货 花洒头比较小，但是出水还是很给力....完美</t>
  </si>
  <si>
    <t>好 非常好</t>
  </si>
  <si>
    <t>好好好 比自己单买划算的多,自营的就是好</t>
  </si>
  <si>
    <t>非常好，性价比高 喜欢这种味道，一开声我就知道买对了。对比之下，我的k3003根本不想听了。</t>
  </si>
  <si>
    <t>不适合运输 打开瓶盖里面没封口，瓶盖都是虚盖的，洒了一半。</t>
  </si>
  <si>
    <t>线头多 不怎么样！孟加拉生产的，线头多，线头多！很一般…</t>
  </si>
  <si>
    <t>奶奶型的内衣，舒适为主。 版型有点奇怪，奶奶款。</t>
  </si>
  <si>
    <t>不舒服 面料是真差，穿着不舒服，不建议购买</t>
  </si>
  <si>
    <t>不建议买 一分价钱一分货。这个是便宜，但质量不好，是那种比较粗的棉线。</t>
  </si>
  <si>
    <t>失败的购物 非常不满意……买来才几个月用了几次就坏了！转头异响然后就转不动了，美亚直邮国内不保修，要自费整机寄到国内的维修点去维修，维修加换配件要花好几百，想不通怎么会质量这么差……</t>
  </si>
  <si>
    <t>可以 有点过甜了，不过还是比较好喝的。一定要用摇杯。</t>
  </si>
  <si>
    <t>偏大 尺码偏大，相对于其他几款，这款价格最高，质量最好，只是相对。</t>
  </si>
  <si>
    <t>基本满意 175/72，裤子合身，布料偏硬偏薄，两侧裤袋布料不是棉的，夏天穿汗多会感到不舒服，穿着不显修身。</t>
  </si>
  <si>
    <t>穿起来非常舒服，大小符合预期 面料是有弹性的，穿起来非常舒服。价格不知道算不算贵。对了 如果有36L的就更好了</t>
  </si>
  <si>
    <t>稍大 稍大了些，不过质量很好</t>
  </si>
  <si>
    <t>好看，不太舒服 好看是确实好看，不过走路太费劲了。脚跟也磨，脚脖子也磨，穿个厚袜子可以抵挡一些，没那么痛，但还是有点难受。这个底有点硬，好像没有生胶底那个软。</t>
  </si>
  <si>
    <t>合身 合身，还是喜欢这种尺码，有腰身腿长的，网上买不容易出错，布料款式跟501差不多</t>
  </si>
  <si>
    <t>好 君不见，黄河之水天上来，奔流到海不复回。 君不见，高堂明镜悲白发，朝如青丝暮成雪。 人生得意须尽欢，莫使金樽空对月。 天生我材必有用，千金散尽还复来。 烹羊宰牛且为乐，会须一饮三百杯。 岑夫子，丹丘生，将进酒，杯莫停。 与君歌一曲，请君为我倾耳听。 钟鼓馔玉不足贵，但愿长醉不复醒。 陈王昔时宴平乐，斗酒十千恣欢谑。 主人何为言少钱，径须沽取对君酌。 五花马，千金裘，呼儿将出换美酒，与尔同销万古愁。</t>
  </si>
  <si>
    <t>物有所值 物有所值，使用比较方便。</t>
  </si>
  <si>
    <t>很好 很好，价格便宜性价比高</t>
  </si>
  <si>
    <t>性价比超高 因为看了评论 所以买小一号 果然大小合适 感谢网友的评论 质量可以 毕竟价钱便宜 没什么太多要求</t>
  </si>
  <si>
    <t>家用这款足够了？ 家用足够了，配件够多。亚马逊服务不错，不bb直接打五折。</t>
  </si>
  <si>
    <t>亚马逊日本直邮非常赞！ 一直都用象印的保温杯，以前都是在代购商处购买。现在通过亚马逊海外购日本直邮，价格要划算很多，而且非常放心，家人都非常喜欢！</t>
  </si>
  <si>
    <t>划算 不错，划算。背奶必备？</t>
  </si>
  <si>
    <t>好用 轻巧，非常不粘锅～喜欢</t>
  </si>
  <si>
    <t>喜欢，超值 绝对的超值啊，到手450不到。一件风衣带个薄的滑面薄绒内胆。做工很棒。尺码就是欧码一贯的有点偏大。166cm/62kg，穿M码袖子稍稍有点大，其他部位合身，尤其是内胆单穿超级合身。款式也很好，虽说收腰，但是下摆挺长还是开口的，稍微有点肚子也能穿，不挑身材。 补充一下，最近去欧洲带着这件外套，赶上地中海地区的雨季，又检验了一下防雨性能，好用</t>
  </si>
  <si>
    <t>还不错 178cm/73kg，m号合适，只是价格变动太快，刚买完就降价。面料比较薄，适合春夏遮挡风雨，感觉有点带静电。</t>
  </si>
  <si>
    <t>好啊好 微弹，大小照尺码表买合适，裤型也很好</t>
  </si>
  <si>
    <t>有效果 储水量确实小，不过有效果</t>
  </si>
  <si>
    <t>裤腿长 质量啥的都不错，就是裤腿长些。尺寸把不住啊。 明明按照尺寸量的，感觉应该选小一号的。</t>
  </si>
  <si>
    <t>还可以 太阳能充电还是很实用的。但是老是坐办公室的话，建议正常电池的更合适。深圳一直无法收波，不过正常使用也不强求。</t>
  </si>
  <si>
    <t>不错 性价比高</t>
  </si>
  <si>
    <t>很不错，就是买完降价了 挺不错的，包装完整，应该是新的，没有验证真假，第一次海外淘很满意，还会经常买，就是买完就降价了有点不开心</t>
  </si>
  <si>
    <t>nice jean with a fair price，but the size is a some small like title</t>
  </si>
  <si>
    <t>好用 非常好 虽然锅盖有瑕疵 九百多大家参考价格浮动</t>
  </si>
  <si>
    <t>充电 说明书写的真的好垃圾…… 不能自动回充电座充电，略鸡肋。 充电时一直红灯闪烁，隔几秒就响音乐是怎么回事？</t>
  </si>
  <si>
    <t>不错 很合适，70苦瓜，184c m</t>
  </si>
  <si>
    <t>包装破损，不知商品是不是正品 打开快递箱，两个瓶盖的顶部都破碎了，让人感觉不好，箱里也有防止碰撞的填充物，怎么瓶盖还都破碎，不知道商品质量可不可靠</t>
  </si>
  <si>
    <t>感觉一般 越南产的材质一般 颜色比图片显示的略淡一点 我1.73国内通常买175/96A的 M号穿稍紧了点</t>
  </si>
  <si>
    <t>中国人尺寸 按照亚马逊的尺码对照，用皮尺测量得出想要的尺码，收到的货品足足大了两码左右。中国人建议购买比亲自测量尺寸小两个尺码的裤子。面料很舒服，由于退回成本较高，不退了。购买海淘服装鞋履类国人还需谨慎。</t>
  </si>
  <si>
    <t>鞋子开胶 从买来穿的不到五次，鞋子开胶一圈，厉害了！</t>
  </si>
  <si>
    <t>和图片不一制 和图片不一样，内衬不是皮的，是网眼布的！</t>
  </si>
  <si>
    <t>最差的一次购物 这是我在海外购买的最差的东西了，虽然价格不贵，但质量太差了，首先衣服太长了，我一米八穿L的都能当裙子穿了，最主要是面料太差了，穿上很痒，做工也差，买的两件同尺寸的，一个领口大，一个领口小，第一次洗就开始有点起球了</t>
  </si>
  <si>
    <t>比图片更浅蓝色 拉链设计舒服。便宜好穿的衣服 163，54kg，码子正合适，s就小了</t>
  </si>
  <si>
    <t>物超所值 总的来说还是不错的，物流挺快的，但是快递员不负责任，把表留在商店里，表链两边是实的中间是不锈钢空心，希望以后中间也可以是实心的。总体来说很不错。</t>
  </si>
  <si>
    <t>袖口 袖口太紧，会勒出红手印</t>
  </si>
  <si>
    <t>赤脚鞋 鞋子很舒服，不过鞋号偏大，要光脚穿的，基本上量一下光脚多大照着买就行</t>
  </si>
  <si>
    <t>还不错 衣服合身，很不错，就是定型的袖子容易开线</t>
  </si>
  <si>
    <t>好物 这款保健品的效果不错的！</t>
  </si>
  <si>
    <t>好用 推荐 显档次 prime会员价格超级给力！才一周就到北京了。我戴牙套，喝完带果肉的果汁（有果肉塞在牙套钢丝里）就赶紧试了一下，类似脉冲的出水方式，没想到清洁效果不错！如果张开嘴的确是会飞溅，闭着嘴就没事。</t>
  </si>
  <si>
    <t>需要一定推力 很喜欢990 PRO，需要一定推力。</t>
  </si>
  <si>
    <t>派克卓尔 颜色没有图片上那么惊艳，不过也还可以。出水汹涌，无飞白现象。整体还是很满意</t>
  </si>
  <si>
    <t>这个必须要说下 太喜欢了.方便,现在基本是两周一次直推侧面头发.唯独不是很好的是不能剪斜坡面</t>
  </si>
  <si>
    <t>尺码刚好，亚洲角宽，建议d,2e 既然都打算买NB了，只有990最值得入手。乔布斯穿了一辈子的NB990。 现在才知道，出奇的舒服。 26cm的。8us刚好。无论d,m,2e都可以。</t>
  </si>
  <si>
    <t>孩子爱吃 孩子3岁，爱吃，但是一天一粒能吃很久，买了4瓶，18年1月过期，看来太多啦😄～</t>
  </si>
  <si>
    <t>精致，实用的帮手。 小巧精致！易固定，加工完毕后易清洁。以后可以自己加工面条了，方便又放心！</t>
  </si>
  <si>
    <t>值得买的桌面音箱 身材小巧，桌面音响声音超出书架式音响。低音有力，解析力高，音色高贵。</t>
  </si>
  <si>
    <t>总体很满意 本人173cm,55kg,29*30的相当合身，只是颜色比图片上略深。总之喜欢~</t>
  </si>
  <si>
    <t>很不错！ 不错，就是没有黑色的了</t>
  </si>
  <si>
    <t>比较高 比较基础款，没啥特别，比较薄，挺好的</t>
  </si>
  <si>
    <t>性价比可以 对比国内便宜不少，快递外包装谈不上简陋，是压根就没有外包装，原包装盒子有破损，不过机器没问题，需要转换头，电压可以直接适配，送的配件较为丰富，不过切丝的切盘孔有点小，切的丝过于细了。</t>
  </si>
  <si>
    <t>适合小孩子佩戴 防水，耐脏，适合小孩子配搭，大品牌，质量有保障</t>
  </si>
  <si>
    <t>轻透 太美了，带脚后跟的，薄如蝉翼，非常轻透。</t>
  </si>
  <si>
    <t>黑五败入 比成人款轻一些，真是我想要的效果。36半的脚穿4.5m正合适，如果想垫鞋垫，可以选5m，脚背扎线处略压脚，但奇怪的是穿一会就没有这种感觉了。总体来说物超所值</t>
  </si>
  <si>
    <t>面料舒服 尺码买大了……面料倒是舒服，准备送人</t>
  </si>
  <si>
    <t>效果还不错 保温效果的确不错，晚上10点左右放入，早上9点多吃刚刚好，米都能泡开，效果介于粥和汤饭之间，主要是没办法像粥难么粘稠，总体来说效果能满意。</t>
  </si>
  <si>
    <t>有点压耳朵 低音可以</t>
  </si>
  <si>
    <t>性价比还行，机器不错。 读写稳定，100M/s，外观中规中矩，比上一代厚将近一倍。驱动一直没装上，反正不影响用。</t>
  </si>
  <si>
    <t>满意的鞋 划算 27cm脚鞋子9 2e大小刚好，脚感舒适，有一点点宽，看来瘦脚买m就好啦 很满意的海外购</t>
  </si>
  <si>
    <t>美款衣服确实要比国内大一码 我1米78,80公斤，穿M码真好，就是这个衣服是短款，不遮屁股，版型就是这样设计的。厚薄适中，有弹性，适合春秋天</t>
  </si>
  <si>
    <t>太大 实物与图片不符，太大太大。不适合亚洲人</t>
  </si>
  <si>
    <t>target垃圾品好意思卖？ 这种品牌是美帝超市里廉价品牌，champion以及hanns两大美帝穷人福音，还是不要祸害天朝子民了</t>
  </si>
  <si>
    <t>第一次购物 包装也太随意了吧。其它还好。</t>
  </si>
  <si>
    <t>很大 168，98斤，买的M码，很大，裤腰很肥，肥出2个拳头宽吧，感觉像男款，裤腰松紧带可以调节，也能穿，就是很宽松！裤子也是很薄的一层棉布！</t>
  </si>
  <si>
    <t>实物与模特相差太大，不推荐！ 长短合适但肩部腋下过于肥大，不知道料子的质地，手感不舒服！</t>
  </si>
  <si>
    <t>希捷4t 在2017年10月就出现问题了，中国不保，要等机会让朋友带美国去换了，以后不贪小便宜了，还是国内特价买吧。</t>
  </si>
  <si>
    <t>二次销售 总觉得我的是二次销售过的，外包装贴纸剩三个，其中一个快没有粘性了，不开心。</t>
  </si>
  <si>
    <t>一般 我只能说东西表面还是很容磨损</t>
  </si>
  <si>
    <t>切记，一定要量好自己的尺寸再买！ 本人身高177，体重75公斤。胸围和袖长按照亚马逊给的推荐买了M号的，刚好合适。果然南美生产的衣服就没有亚洲生产的衣服质量好......</t>
  </si>
  <si>
    <t>不适合一岁前的宝宝 估计要等他大点再用了，现在老喜欢把盘子扯下来</t>
  </si>
  <si>
    <t>很不错 质量不错，稍微有些厚。178，73kg买的M，刚刚够穿，建议买大一码</t>
  </si>
  <si>
    <t>很好 很不错的一款 质量很好 发货也很快</t>
  </si>
  <si>
    <t>很不错 不错，贴身舒服，日本造的就是好一些</t>
  </si>
  <si>
    <t>鞋子还不错 鞋型比普通的运动鞋略宽一些，底有点沉，但脚感还不错。产地是印尼，没有看到什么显眼的瑕疵，质量应该还可以。穿到脚上看着没有特别宽，自我感觉很美。虽然是针织的但是不太透气，透气性比nmd差。</t>
  </si>
  <si>
    <t>希捷 挺好的 很满意的一次购物</t>
  </si>
  <si>
    <t>尺码和大家说的一致 平时运动鞋是穿40的。脚的长度是240，按脚长是能买39的，但是脚有点肉，如果买39就很挤了。大家都说鞋偏小一点点，所以买了7(W)也就是40。脚感非常合适。</t>
  </si>
  <si>
    <t>匹配，容易被咬破 吸管咬破好几个，所以买了很多次了~比较好用</t>
  </si>
  <si>
    <t>没味道 给宝宝囤货的 宝宝还小。现在还用不了。囤货的</t>
  </si>
  <si>
    <t>很合适，送货很快 美版的裤子偏肥，但正是我喜欢的，质量还可以，171, 74kg，选32/29正好，供参考。 从下单到到手总共5天，太快了！</t>
  </si>
  <si>
    <t>第一感觉良好 泰国产，17元的通关运费，下完单就涨了几元。送货很快，13日下单，在20日已经收到。 没有中文说明书，需要的可以在这个链接下载 [...] 暂时只调好了时区BJS，先给好评，过段时间再根据使用情况修改。</t>
  </si>
  <si>
    <t>性价比高 东西还不错，平时搭配休闲装很合适</t>
  </si>
  <si>
    <t>不错 希望能管用！</t>
  </si>
  <si>
    <t>满意 偏商务，176CM,80KG</t>
  </si>
  <si>
    <t>便宜！ 买三顶的钱在专柜都不够买一顶……就是基础款，还给老爸看中顺走一顶。夏天到了遮阳不错。</t>
  </si>
  <si>
    <t>很好的内裤，贴身，舒适，要不是有个东西在那里，我都会觉得没穿一样 很好的内裤，贴身，舒适，要不是有个东西在那里，我都会觉得没穿一样！推荐</t>
  </si>
  <si>
    <t>好看 舒适 好看 舒适 无钢圈里穿过性价比最高的</t>
  </si>
  <si>
    <t>很舒服 有收腹的感觉，蕾丝很舒服。</t>
  </si>
  <si>
    <t>good perfect ，good  quality ， perfect experience</t>
  </si>
  <si>
    <t>物有所值 很强劲，绞肉太牛了 就是刷起来稍微麻烦</t>
  </si>
  <si>
    <t>到货速度快，方便快捷！ 到货速度很快，确实好用，非常喜欢！</t>
  </si>
  <si>
    <t>买大了 衣服还不错，只是买大了，小一码更合身些，身高168重128。</t>
  </si>
  <si>
    <t>DHA挺好 宝宝一直吃童年时光DHA胶囊，口感好，宝宝爱吃。这次买的日期较新，打开后也没受潮粘连的情况，挺好。就是发货时间长一点，要多提前两周备货</t>
  </si>
  <si>
    <t>满意的一次购物体验 质量细节都挺好，一股纯棉的气息。</t>
  </si>
  <si>
    <t>太大啦 送人算啦，太大啦，我1.73米，体重70公斤</t>
  </si>
  <si>
    <t>噪音很大 很大很大很大很大</t>
  </si>
  <si>
    <t>好大啊… 好大一瓶啊！，。太大了，像个桶…味道有点儿甜…可能不如巧克力的好喝，但是怕巧克力的喝胖了…</t>
  </si>
  <si>
    <t>不合适 尺码大了，不合适</t>
  </si>
  <si>
    <t>质量差，退货退款 只是一个好看而已，耳机回来不到20天就坏掉了，根本就充不起电，一直是这个兰色灯，怎么都不变颜色！这半个月还不是天天都在用，真是伤心，现在耳机变成一根绳，以为亚马逊没有差的，假的商品，可是结果太伤心。一颗星都不想给。</t>
  </si>
  <si>
    <t>本来挺看好这款耳机的，结果... 本来这款耳机用着还行，直到前天突然无法开机了，想到找售后，然后登上亚马逊网站一看评论心就凉了，原来都这样，算了，自认倒霉吧，好得我还用了8个月呢</t>
  </si>
  <si>
    <t>适合我，不见得适合你 还好，因人而异</t>
  </si>
  <si>
    <t>适合内搭 还好 应该是内衣 不太适合外穿</t>
  </si>
  <si>
    <t>还可以 还可以 就是很薄 摸起来挺舒服 只是感觉不是很耐用啊 送男朋友的 他挺喜欢的 包装盒不错 很厚实 就是觉得Ck的钱包也挺一般的 不能装太多钱不然会合不上 5月6下单 18号收到 比想象中快</t>
  </si>
  <si>
    <t>音量大时听某些音乐，在高频段，左耳有明显的破音，右耳稍轻微 追加1: 对室内人声的主动降噪效果约为0，失望；包裹型的耳罩提供的被动降噪功劳更大。 追加2: 有风时，会产生新的风噪，在某些风向上尤其明显；另外，确实很热，今日有点升温，不到半个小时就能感觉到流汗了。 追加3: 听古典音乐，club音效模式下左耳单元有严重的破音，在听流行音乐时很少出现，可能与高频表现有关。</t>
  </si>
  <si>
    <t>我买大了 买大了一码，自己穿不合适。</t>
  </si>
  <si>
    <t>总体还算满意 因选择的尺码只有这个颜色，收到后穿起来不算挤脚，2E码也不算太宽松</t>
  </si>
  <si>
    <t>很好 给老公买的，几个颜色都买过来，很好。</t>
  </si>
  <si>
    <t>非常不错，全五分 先说送货：下单两周货迟迟收不到，出差前两天给快递小哥打电话，告诉因要出差穿，帮忙留心，谁想到出差的前一天快递小哥打电话说鞋子到了，怕我看不到短信，特意打电话告知，暖心啊！给快递小哥无数的赞！再说货品：鞋子穿上显得很秀气，大小合适，皮质细腻，而且无异味！还会继续关注该品牌！话说我已经在亚马孙上买了各种鞋子4双了，都满意啊！有了prime，海外随意购啊！</t>
  </si>
  <si>
    <t>内裤 很好，价格实惠，质量也很不错，好评！</t>
  </si>
  <si>
    <t>好用好洗 透明的刻度对于家里长辈看着很费劲，其他还好，好洗，原配两滴流速奶嘴，六个月后要自己换三滴及以上的，但是新生儿就得买小号的瓶子，那个瓶子才是一滴流速的</t>
  </si>
  <si>
    <t>单独包装 还没开始使用 每个口罩都是单独包装 日抛型的价格还可以 满意</t>
  </si>
  <si>
    <t>很棒 攻能多，好用</t>
  </si>
  <si>
    <t>买贵了 500拿下，买贵了</t>
  </si>
  <si>
    <t>舒服 这个穿上超级舒服，没有束缚感！便宜！质量非常好，</t>
  </si>
  <si>
    <t>做工精致，造型可爱 做工精致，造型可爱。</t>
  </si>
  <si>
    <t>值得购买 质量好，送货快，很满意。</t>
  </si>
  <si>
    <t>不錯 帽子質量很好，價格便宜。帽子前部有內襯，很舒適，且有型，只是尺寸稍偏小</t>
  </si>
  <si>
    <t>好看 送给妈妈的新年礼物，喜庆，好看。</t>
  </si>
  <si>
    <t>保温 很好，一到就加了热水试试，48小时都还是热的’</t>
  </si>
  <si>
    <t>不错 上一个就是飞利浦的，用了6年了。充电线老化爆皮了，剃须刀还是很好的。这次有买了一个飞利浦，目前用着挺好，希望不要让我失望</t>
  </si>
  <si>
    <t>效果还行，便宜 很喜欢很划算，感觉比海淘还划算了，天猫还送一个月的prime会员，开心，管用的</t>
  </si>
  <si>
    <t>挺快 容量不错，速度也不错</t>
  </si>
  <si>
    <t>比预想的小 还没用过，看起来很精致，喜欢。</t>
  </si>
  <si>
    <t>比日本实体店买的价格还合适 比日本实体店买的价格还合适，质量也不错，这个牌子家人一直穿L，这个也正合适，178、150+斤。要是有肚子建议买XL，仅供参考</t>
  </si>
  <si>
    <t>并没有问题 这个偏大。但质量很好，穿着爬山都不累</t>
  </si>
  <si>
    <t>鞋很正 鞋码是标准的，英亚终于有爱步了，最满意的一次亚马逊购物。</t>
  </si>
  <si>
    <t>整体满意 尺寸合适，质量尚可，专门放手机的兜很方便，解决了一般卫衣放手机容易掉落的问题，不错的设计。</t>
  </si>
  <si>
    <t>喷头很容易弹出，无法使用 还是挺好用的，就是没用几天，那个喷头就卡不住了，一按开关，喷头就弹出来，是要怎样？</t>
  </si>
  <si>
    <t>气味 新的就有一点奶的气味  用了半个月还是那种气味</t>
  </si>
  <si>
    <t>生长纹多，感觉不是很值 鞋面生长纹太多  本国转外销的瑕疵品，自己护理下穿吧，感觉不是很满意</t>
  </si>
  <si>
    <t>质量不好！ 质量也太垃圾了！洗了一次标就掉了。</t>
  </si>
  <si>
    <t>搞不懂是不是这里问题 190多的太差了，出水流很大，难道是因为前级3M的PP棉进入到他里面去了？煮出来的水冷却后像很多棉花沉在底部（不是水垢）。去年用160多的非常好。不懂能不能退货或者找谁咨询是不是质量问题。以后都不敢买了</t>
  </si>
  <si>
    <t>有点偏大 同样32的lee牛仔裤刚好有点紧，这款32就偏大了，退货太贵将就穿吧。布料有点黏毛</t>
  </si>
  <si>
    <t>性价比不高，但是价格是实体店1/3,聊以自慰吧！ 鞋最前面高出来一点，老垫垫的，设计问题，三个魔术贴总感觉调不到满意的程度！还有，这类底子的鞋子一般偏硬，不是很舒服，想买软底的，看图片以为软软的，个人选择原因导致不满意！</t>
  </si>
  <si>
    <t>还可以 172的身高，73的体重，买了32 32的，长了好多，截掉了五厘米，穿上腰围合适，裤腿宽松，</t>
  </si>
  <si>
    <t>很好 第一次海淘这个品牌的衣服，担心尺码怎么选，身高1.67米65KG，S码刚好。这个价能买到这个品牌的衣服我个人感觉值得，希望能提供到借鉴。</t>
  </si>
  <si>
    <t>一般 包装实在不敢恭维，到手后，包装稀巴烂，奶瓶该行吧，没有味道，宝宝从出生到现在没用过奶瓶，第一次用还不习惯，不会用的节奏，希望多用几次会用</t>
  </si>
  <si>
    <t>卡其色m码 170.80kg穿m长短大小合适，颜色不是真正的卡其色有点偏绿，面料手感不错，适合喜欢宽松的</t>
  </si>
  <si>
    <t>很好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</si>
  <si>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不错的 对关节损伤有帮助</t>
  </si>
  <si>
    <t>超级棒 这次居然没有原箱送到非常惊喜，只是要不要这么壕，用了这么大的箱子！机器非常好用，每天一杯，还要很辛苦的忍住喝第二杯的欲望……客服态度非常非常棒！</t>
  </si>
  <si>
    <t>perfect 做工很好，很厚实，款式很好，175cm70kg，S号刚好，领口处略紧；蓝色有色差，比照片上颜色深，但觉得刚刚好</t>
  </si>
  <si>
    <t>老款式，守旧的人会很喜欢 号码偏大，袖子有点儿长，款式比较老，适合守旧的人穿。</t>
  </si>
  <si>
    <t>性价比极高 拆了，中奖10t 氦气，手残，壳子坏了，这个价x宝只能买到8t拆机</t>
  </si>
  <si>
    <t>还没使用 配的是1号奶嘴</t>
  </si>
  <si>
    <t>很好看 这件衣服很好看很舒适……</t>
  </si>
  <si>
    <t>对缓解关节痛很有用 比在美国时在亚马逊下单的价格贵了差不多九元，再加上关税三十多，总的来说还是不错的，发货也挺快，三天就收到了。这个需要长期吃，对缓解关节痛很有帮助。</t>
  </si>
  <si>
    <t>买错了的话，商品退货麻烦，海外购蒸心不能用 当时下单，没看清，后来点了退货，又不能退货了，今天收到货后，才发现买错了。退货的通路太麻烦了，海外购蒸心不能用</t>
  </si>
  <si>
    <t>Clarks女软皮低帮运动鞋 舒适轻快，款式很潮。</t>
  </si>
  <si>
    <t>尺寸合适 非常好，尺码也很符合，感觉尺寸设计的弹性挺大的，可以调整。</t>
  </si>
  <si>
    <t>物美价廉 鞋子一如既往的舒适，价格非常友好，非常满意！</t>
  </si>
  <si>
    <t>仅供参考 本人173，65kg，胸围90，日亚L码稍显宽松，正是我想要的，对比美亚的冠军S码感觉略大一点。</t>
  </si>
  <si>
    <t>可信任 正品，质量好，可信任</t>
  </si>
  <si>
    <t>好用！！ 超好用的打出来的蛋白霜特别细腻！使用的时候声音也很轻跟淘宝二三十块的打蛋器相比，喜欢烘焙的话这个钱绝对花的值~</t>
  </si>
  <si>
    <t>好东西 首先大小和护照差不多。而且4T，速度也比较快。我现在把所有资料照片都存进去了，只占了一小部分存储空间。以后可以疯狂拍照了。我的以前买的1T的大个子硬盘可以淘汰了。</t>
  </si>
  <si>
    <t>非常好,应该是氦气 装小妹妹的</t>
  </si>
  <si>
    <t>好 号码和店里的一样</t>
  </si>
  <si>
    <t>做工精致，物超所值！ 做工很精致，亚马逊海外购的速度真是很快，11号下单，原来提示20日送到，结果14日就送上门了。价格比京东天猫上都便宜，加税303元，本就是高性价比的耳机，这个价就更值了。至于声音表现，我不太懂，可能不是国内消费主流喜欢的，第一耳不是那么惊艳，很克制、收敛、柔和、波澜不惊。</t>
  </si>
  <si>
    <t>比较硬，宝宝不喜欢 看推荐买的，实物收到应该是正品但是比其它奶嘴都硬，宝贝不用。</t>
  </si>
  <si>
    <t>符合价格的商品 裤子的面料属实不太好，并且对于navy来说颜色也有点太蓝了。商品也确实符合如此便宜的价格，一分价钱一分货吧，不能报太大希望。</t>
  </si>
  <si>
    <t>q 领口有点大，显胖</t>
  </si>
  <si>
    <t>买回来不到3个月变质发霉！ 效果先不谈，但买回来开封，吃了不够3个月开始发霉！！每个药丸上有灰色斑点，吃了肚痛拉肚子。网上一搜发现不是个例。奇怪的是明明有阴凉密闭保存，也不是特别潮湿的环境。  向亚马逊客服投诉，结果是不退不换，准备向12315投诉！  作为prime会员，得到不公对待，第一次评论！</t>
  </si>
  <si>
    <t>质量太差 穿了半个月鞋就裂了，近600的鞋就这质量？之前的添柏岚穿3年了还没问题，我怀疑是假货，不是假货也是残次品！太差了！</t>
  </si>
  <si>
    <t>假货！海外购也不让退货！ 这款是海外购买的，竟然不能退货，包装简陋，十有八九买到假货了！！！不会再买，太可怕了！</t>
  </si>
  <si>
    <t>不错 做工挺好，就是不知道能不能坚持了</t>
  </si>
  <si>
    <t>领子小 衣服质量可以，纯棉，印尼产，就尼马这领子小得吓人，怎么说呢，有种被命运扼住喉咙的感觉，胖子慎买。。。</t>
  </si>
  <si>
    <t>面料、配件都不错 跟图片上一样的，衣服做工及面料都不错，五金纽扣上“LEE”的标识，袖子稍长。面料不硬，适合春秋天穿着。因是海外购，所以等的日期稍长些，不过也就20天左右。值得的。身高160，体重120，M号的正合适，仅供参考。</t>
  </si>
  <si>
    <t>新款～ 收到的是新款。可是包装实在不敢恭维！就一个纸盒子，收到的时候都快散架了！发货时就不能在外面再加个纸盒子吗？美国人干活真不行，这要在中国早就失业了！</t>
  </si>
  <si>
    <t>评价 本人身高1.74m，体重约56kg。正好合适。质量感觉一般，薄厚适合春季。日本代购7天收到。海关清关比较快，但是ecms快递速度不是特别快。</t>
  </si>
  <si>
    <t>非常不错，大小合适，质地柔软。 大小合适，质地柔软。</t>
  </si>
  <si>
    <t>我的亚马逊第一单，惊喜！ 在国内网购了十几年，而在亚马逊，这是头一单。很惊喜！必须点赞！27号下单，没想到赶在2016年的最后一天就从美国寄到了！产品性价比超高。正在拷贝数据，每秒150M左右。</t>
  </si>
  <si>
    <t>不粘，就是有点重 锅很好，价格比代购便宜很多，就是有点重。估计是我需要锻炼。</t>
  </si>
  <si>
    <t>不错的商品 鞋子很舒服，主要赶上活动，很划算！</t>
  </si>
  <si>
    <t>很好用的奶瓶 喜欢 比其它平台便宜很多是正品</t>
  </si>
  <si>
    <t>蓝孩子的选择 s相当于亚洲码m，但是略长</t>
  </si>
  <si>
    <t>很便宜 舒服 穿着挺舒服的，可是作为会员购买的时候不免运费，过了几天可以prime了，多出来80多的运费，但是价格很便宜</t>
  </si>
  <si>
    <t>买双硬盘就是为了速度快一点 现在的硬盘也是越来越不够用了，比较了很久，发现12T的双硬盘性价比还是可以的。 运输花了很长时间，不过最近的确也没办法。 到手后接电脑的雷电3接口，速度特别慢，不知道是什么原因了，以后再研究。然后接在usb3.0接口上，从硬盘考到移动硬盘可以达到300M/S，速度还是比较满意了。 里面硬盘是2块WD的红盘，应该是默认组了RAID0模式的。暂时应该够用了。</t>
  </si>
  <si>
    <t>还行 价格很实惠 质量也还行</t>
  </si>
  <si>
    <t>不错的衣服 不错，好看，舒服，面料也可以</t>
  </si>
  <si>
    <t>尺码标准 36英寸（93cm）的腰，买36码的裤子，刚刚好，不大不小。</t>
  </si>
  <si>
    <t>大小正好 170cm，74kg，正好。</t>
  </si>
  <si>
    <t>经典款，不多说 经典款，百搭，便宜，耐操。全5星</t>
  </si>
  <si>
    <t>背后开关键 背后的开关键似乎没有什么用，按下没有任何反应，是不是个装饰？</t>
  </si>
  <si>
    <t>六杯是肯定没有的 咖啡液大约星巴克四个shot的量吧，十分漂亮</t>
  </si>
  <si>
    <t>这个裤子是有弹性的 标题写的是修身款，到货才知道面料是有弹性的，所以码数选择可以在一两码之间变动，宽松一点可以选平时牛仔裤穿的尺码或大一码，紧身可以选小一码。wrangler这个牛仔裤版型还不错。</t>
  </si>
  <si>
    <t>不错 牙刷的使用感还是很好的，听说充电器可以给X充电，手机还有百分之八十电量的时候充了一晚上发现X没电到自动关机了，充电器把我手机的电都吸完了？？？</t>
  </si>
  <si>
    <t>Quality T-shirt Quality T-shirt</t>
  </si>
  <si>
    <t>五星好评 刚刚回家，试了一下鞋子，大小合适。第一次买ecco，不知道是不是正品，选择相信亚马逊。五星是给亚马逊服务的，邮件电话联系亚马逊，会得到百分百的重视并答复，冲这个必须五星！！</t>
  </si>
  <si>
    <t>5.11 一直在穿，禁磨，耐操</t>
  </si>
  <si>
    <t>很不错的内衣 大小正好，轻薄透气。很喜欢，又买了一件。</t>
  </si>
  <si>
    <t>好 非常好，打折力度大</t>
  </si>
  <si>
    <t>麻烦把尺码号码搞准确了 号码及其不准确，不敢在亚马逊上买衣服了，其他类别的商品还可以。亚马逊购买商品之前就没有客服服务可以沟通，请改进!</t>
  </si>
  <si>
    <t>三星给这么烂的物流包装 东西还可以，就是物流包装也太环保了吧？不仅物流袋子被人戳了个洞，连里面的包装盒都烂掉了……这真是第一次碰到这么low的包装，完全有被人调包的可能～里面的替换芯是英国产的，只有壶里的那个是德国产的</t>
  </si>
  <si>
    <t>续航时间很长，音质也不错 买完第二天就降价了，立刻申请退货结果还是送过来了。亚马逊的用户体验真心不好，好在耳机的质量不错，续航时间很长</t>
  </si>
  <si>
    <t>鞋子是假的 垃圾鞋子，硬的很，哪里来的踩屎感?就跟才铁板一样，海外购不到五天居然收到货了，这也太假了吧</t>
  </si>
  <si>
    <t>失望的购物 太肥大了，与描述的的不一样，退换货还要125元运费，服务质量极差。不要说京东了，连淘宝1🌟商家都比不了，亚马逊早晚关门</t>
  </si>
  <si>
    <t>满满的廉价感 打开包装的那刻就被‘地摊货’似的线弄的得心情奇差无比，想想以前的CX200,Sennheiser已死，音色奇差，感觉像裹在被子里的音响，能受的了吗……。难道什么东西开始在中国产了就彻底毁了吗，产地是：中国，我却是海淘的美国货，还交了关税……</t>
  </si>
  <si>
    <t>买长了 这款皮带腰带头是线缝的，买长了不好剪，只能打洞。质量看起来还不错，印度生产，神牛穿上身</t>
  </si>
  <si>
    <t>一般 质量不错有些偏小了。</t>
  </si>
  <si>
    <t>尺码偏大 186,80kg，买的XL都大了</t>
  </si>
  <si>
    <t>颜色 颜色很好看，比图片上的好看的多</t>
  </si>
  <si>
    <t>有效 对产前大腿疼、耻骨疼的缓解作用非常明显</t>
  </si>
  <si>
    <t>好评 cross这款我怎么觉得有时候刷不干净啊，最好用的还是经典的那款</t>
  </si>
  <si>
    <t>全自动，省心、省时！ 非常满意，全自动的咖啡机，带有自动清洗功能。从此在家就可以喝到各种咖啡了！☕️</t>
  </si>
  <si>
    <t>放心的宝宝餐具 外层塑料使宝宝拿着不烫手，内层不锈钢接触实物、水比较放心。性价比高的一款，实用、方便！</t>
  </si>
  <si>
    <t>合适 这个套装是纯棉材质的，价格比较划算。</t>
  </si>
  <si>
    <t>非常满意 人民币2799元入的，手表很漂亮，但山东济宁自动收波与强制收波均不成功，我香港代购一块收波无问题。 调整中国区后，20天后收波成功。</t>
  </si>
  <si>
    <t>尺寸刚好 物流比预期早了几天，国内42码，尺寸刚好</t>
  </si>
  <si>
    <t>不错 很好很实用，出门带着也方便</t>
  </si>
  <si>
    <t>好小的杯子 这个杯子很小很小，很轻，我还没想好到底什么时候用</t>
  </si>
  <si>
    <t>颜色很好 绿色的颜色很好看，质量也不错</t>
  </si>
  <si>
    <t>好 大小合适  做工一般  推荐</t>
  </si>
  <si>
    <t>东西不错 东西该不错，价格也挺好</t>
  </si>
  <si>
    <t>正品 孟加拉产，做工还可以。比运动鞋大两个码，正品</t>
  </si>
  <si>
    <t>值得信赖的品牌喜欢 买了好多次，因为自己吃，父母吃效果不错，所以一直买这个品牌的骨维力。</t>
  </si>
  <si>
    <t>再关税好贵，价格再优惠的就好了 正品日货还有日本发票，希望坚持下去有效果</t>
  </si>
  <si>
    <t>尺码偏大 日版的衣服听说偏小半特地买大了一号，结果大了，按正常码买就好啦</t>
  </si>
  <si>
    <t>跟在美亚买的一样，尺码合适，质感真心好。 包装的很好，大晚上还送过来也是辛苦，没有其他买家说的包装被拆开的情况。160 45kg买的S合适，穿着不紧很舒服。东西是正品，和我之前在美亚买的是一样的，质量很好。</t>
  </si>
  <si>
    <t>容量大 不错，容量大，速度也不错。比国内便宜不少。亚马逊的服务一如既往的好。</t>
  </si>
  <si>
    <t>0.4L保温杯 价格有点贵，保温效果很好</t>
  </si>
  <si>
    <t>质量好 质量相当好的勺子，抛光相当漂亮，相当完美的勺子，我相当喜欢，我给个赞！</t>
  </si>
  <si>
    <t>口味好且很容易冲泡 口味真是不错 - 可以直接加上白水当饮料了。个人经验是早上锻练前后喝， 好过晚上喝。</t>
  </si>
  <si>
    <t>不错 款式是偏肥的类型，不过面料真的很舒适，推荐。</t>
  </si>
  <si>
    <t>退货很麻烦，还要自己打印发票和退货标签 拆开后发现领口有血迹，果断退货！</t>
  </si>
  <si>
    <t>尺寸不合适 之前买过一套XL的，这次重复购买，结果大很多。 无奈再买一套L的。</t>
  </si>
  <si>
    <t>多媒体听过来的有点不适应 799买的非全新，还有低的702，下单后2天价格回升到1K，看不明白亚马逊这价格走势，也不想了反正音箱拿到手，确定是行货，各项表现都很好，低频跟多数人说的一样太浑浊不实在轰耳朵。 20150524追加，低频表现很头疼，退了</t>
  </si>
  <si>
    <t>太大 买时价格便宜，但是真大，完全没法穿</t>
  </si>
  <si>
    <t>电池硬伤 包装很好，日本邮来的，收到物品试用下，居然没电。。。第一次遇到新的电子产品居然是没电的。用了两天，电是硬伤，放一天没用，晚上带上想听下，居然没电了。。。关机也耗电？？？  再次吐糟续航，晚上充满电，隔天再用，绝对无法开机，太垃圾了</t>
  </si>
  <si>
    <t>一分钱一分货 鞋子2只皮质不一样，颜色有色差，做工2只也不一样，一只明显粗燥些，不知道是否正品，比国内专柜品质差很多。</t>
  </si>
  <si>
    <t>还可以 鞋子穿起来有些滑，鞋底不厚，舒适感一般，总体感觉还可以。</t>
  </si>
  <si>
    <t>T恤比国内版宽大 第一次买美版T恤，确实比预计的宽大，本人173cm 、66-67kg，衣服的肩宽和胸围都大了些。平时国内版的adidasT恤穿M(175/96)，nikeT恤穿M合身、L宽松，供朋友们参考。</t>
  </si>
  <si>
    <t>送货速度挺快，但包装有点简陋 经济实惠价廉物美，是正品</t>
  </si>
  <si>
    <t>轻 轻是真的轻，跟没穿一样，但是前端做了凸起，外面不好穿紧身的。。</t>
  </si>
  <si>
    <t>腿根部很肥 裤腿型很好，显腿直。但是大腿根部偏大很多，适合臀部大，大腿根粗的人吧……</t>
  </si>
  <si>
    <t>值得推荐的羽绒服 拿到手就感觉手感好的不行，衣服很轻，面料与国内羽绒服确实不太一样，细腻有弹性。尺寸适中，185/80，L码很合适，没有臃肿感。</t>
  </si>
  <si>
    <t>一些参考 先说自己：瘦脚，脚背正常，平底单鞋其乐4.5码；再说说鞋：质量没有问题，鞋型很好，显得脚很瘦，在穿脱方便的确稍有些不顺畅，但是之前也穿过类似鞋型，所以并不觉得这是个问题，没有出现磨脚现象，这款我买的5码，宽度合适，鞋前稍有些空（大了一点儿）！给喜欢的参考一下！</t>
  </si>
  <si>
    <t>good 好看，实用，价格呢也便宜</t>
  </si>
  <si>
    <t>很好 衣服很好，厚实包装仔细。</t>
  </si>
  <si>
    <t>还不错 孕期囤货，还没开始使用，包装很好，物流也很快。</t>
  </si>
  <si>
    <t>很不错 买给女儿的 very nice</t>
  </si>
  <si>
    <t>物美价优，小厚 棉柔系列，没有荧光剂，用起来很放心，虽然小厚，秋冬用也还好了，价格合适。</t>
  </si>
  <si>
    <t>质量 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</si>
  <si>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其实是内胆可以跟同牌子的冲锋衣对套，很柔软舒服 其实是内胆可以跟同牌子的冲锋衣对套，很柔软舒服</t>
  </si>
  <si>
    <t>东西不错 用了一次，和面效果还不错。不过插座得自己换一下，不然没有接地线做漏电保护。</t>
  </si>
  <si>
    <t>很棒 帮人买的，欧版的号码还是大了点，包装无破损，鞋子也无折痕，穿着舒服，看着也还挺好看的，还蛮帅气的</t>
  </si>
  <si>
    <t>不错哦 很轻，穿里面舒服，173/62穿S码适合</t>
  </si>
  <si>
    <t>好 颜色漂亮，女儿喜欢</t>
  </si>
  <si>
    <t>无 室外2-12度，不浯脚。但号大，鞋小。</t>
  </si>
  <si>
    <t>博朗刀头 很好用，剃须刀又变成新的了，点赞！！</t>
  </si>
  <si>
    <t>版型很好看啊 大小挺合适的，中国码36的买4.5M US Big Kid刚刚好，也很舒服，就是不知道夏天穿会不会太热ha，墨绿的不太好搭校服，其他一切的很好。</t>
  </si>
  <si>
    <t>不错 NB10.5合适，puma10.5前掌略紧，多穿会好，第二次买了。</t>
  </si>
  <si>
    <t>实物颜色较深。 实物颜色深灰色，鞋面带点磨砂的效果。</t>
  </si>
  <si>
    <t>挺值得！买了俩！ 300多买了俩还不错挺划算的！</t>
  </si>
  <si>
    <t>舒服合适 很好很合适，锻炼穿非常适合！</t>
  </si>
  <si>
    <t>实物非常好看 很好看，性价比超高的，运输也很快，一周就收到了，乐价比非常高了</t>
  </si>
  <si>
    <t>穿的很舒服 鞋子很轻，穿的很舒服</t>
  </si>
  <si>
    <t>适合波小的人 吊带不警力，不适合波大的，不挺</t>
  </si>
  <si>
    <t>包装太差 包装太简陋，未有任何额外包装就直接一个纸箱。，有一边都被压了，不圆了。锅的把手也松动的，螺丝又已经拧紧了。</t>
  </si>
  <si>
    <t>质量一般 帽子挺好看的，就是没戴多久可能出汗就晒红了</t>
  </si>
  <si>
    <t>蓝牙搜索不到！ 各种尝试都蓝牙都搜索不到，也找不到客服询问地方，头大。</t>
  </si>
  <si>
    <t>没有人觉得照明灯啥都没照到么？ 照明功能明显缺陷，在黑暗的地方根本看不到时间。</t>
  </si>
  <si>
    <t>看中这款复古表很久了！ ＋简单易用，复古造型，尤其喜欢弹簧表链。  －表面不是玻璃的，容易划伤。</t>
  </si>
  <si>
    <t>还可以…… 用着还可以。就是少有点小了，两人够用。没有锅盖……</t>
  </si>
  <si>
    <t>颜值高，质量略有瑕疵 颜值高，但还是有味道，烧了4，5次水才敢喝。</t>
  </si>
  <si>
    <t>偏大 质量不错的，性价比高~就是美码偏大，国内穿m，美版得买s的</t>
  </si>
  <si>
    <t>还可以 质量不错，性价比高</t>
  </si>
  <si>
    <t>很好用 真的很好，很棒，是正品</t>
  </si>
  <si>
    <t>发货迅速货物满意 发货迅速亚马逊快递服务好，裤子颜色稍微深了一点，不过大小非常合适，本人176高195斤重腿短哈哈，38W30的正好</t>
  </si>
  <si>
    <t>厨房神器! 好看好用！后悔没早点买，会省很多事。只是美国的机器确实在细节有点不到位，比如有制造部件的时候残留的金属碎屑等，一定要用心清理</t>
  </si>
  <si>
    <t>很好 试过了，打米粉，糖粉很给力。</t>
  </si>
  <si>
    <t>大 样子不错，但是37脚穿大</t>
  </si>
  <si>
    <t>不错 物美价廉，瘦长型都是，192/68kg，穿着合适</t>
  </si>
  <si>
    <t>还挺舒服 173，170LBS，经常健力，所以完全能驾驭美版。推荐</t>
  </si>
  <si>
    <t>挺满意，除了网显物流行程看不明白 个头蛮大，快递比网站显示的略快，但是网站显示的送货行程是残缺的，不大理解原因。拷贝速度快的时候40几，慢的时候20几，别的容量2.7多点，别的没啥不满意。当影视资源库的，慢慢用，再来评。</t>
  </si>
  <si>
    <t>物超所值！！！1 F尖的，书写顺畅，在普通A4纸上也不刮纸。之前用过78G，感觉笔尖太细，书写时有些滞涩。这款没有这样的问题，又能和周围一大堆的凌美区分开，真得很不错。</t>
  </si>
  <si>
    <t>大了 质量不错，就是太大了，老公170cm，70kg，买的M号，大惨了，裤子买成110元，回寄运费需要120元，只有送给胖子老爹穿了，总结下来，买欧版的一定要比平常国内自己穿的小一码</t>
  </si>
  <si>
    <t>红表 本命年，带着玩</t>
  </si>
  <si>
    <t>不错，值了 价格没话说，做工都好。</t>
  </si>
  <si>
    <t>好 买过很多次了，尺寸合适，价格也是</t>
  </si>
  <si>
    <t>日本的產品都放心： &lt;div id="video-block-R2KJLXIAS4UA27" class="a-section a-spacing-small a-spacing-top-mini video-block"&gt;&lt;/div&gt;&lt;input type="hidden" name="" value="https://images-cn.ssl-images-amazon.com/images/I/91j82nCr5QS.mp4" class="video-url"&gt;&lt;input type="hidden" name="" value="https://images-cn.ssl-images-amazon.com/images/I/71ufSZZdkhS.png" class="video-slate-img-url"&gt;&amp;nbsp;發貨快 安裝稍微費點心思 我一女汉子 開心😃</t>
  </si>
  <si>
    <t>好 鞋底很软，舒服是很舒服，碰到石子就有点咯脚了</t>
  </si>
  <si>
    <t>很好 非常重的机器，颜色很鲜艳。有它帮助，和面省事多了。但是和面钩没有镀层，不能进洗碗机洗。</t>
  </si>
  <si>
    <t>好 这款包质量非常好，大小也合适。</t>
  </si>
  <si>
    <t>满意！ 非常喜欢！皮质优良！款式大方显瘦！不磨脚！</t>
  </si>
  <si>
    <t>完美购物 非常喜欢，价格合适，有点点小，主要是没有xxl</t>
  </si>
  <si>
    <t>使用体会 买的第三个。因为得了牙周炎，所以买个放在单位，饭后冲牙用。可使用充电电池，1900mAh的松下电池，充满一次可使用一个多月（每天冲牙两次）。</t>
  </si>
  <si>
    <t>推荐购买 用了两个啦，感觉和日本买的没差，只是比日本国贵。</t>
  </si>
  <si>
    <t>好笔 日本的包装不错，笔也不错，当礼物送人最好</t>
  </si>
  <si>
    <t>一次海外购 首先，海外购物流那些都差不多。 但是呢，货到了之后，很失望！鞋子是多米尼亚产的。很多划痕还有几个穿孔！ 退货太麻烦了，后来申请赔偿。讲真，我对亚马逊的处理速度还有政策还是差强人意的，只是对产品不满！</t>
  </si>
  <si>
    <t>草莓的口感差差差！ 草莓的真不好喝，九月28号付款的到十月15号才到货，太慢太慢太慢！！！失望！！！</t>
  </si>
  <si>
    <t>裤腿太肥穿上一点型都没有 作为腿粗臀大的我来说，裤腿真的太太太肥了。如果只是为了运动，完全不考虑好看的话才能买。不推荐</t>
  </si>
  <si>
    <t>质量很差，用了一个月坏了 质量很差，用了一个月坏了，还要自己出运费邮过去修。客服说他们不负责海外购商品的保修，让自己找商家。以后再也不买海外购的东西了。</t>
  </si>
  <si>
    <t>水箱漏水 用了不到半年水箱开始漏水，底部开关接口处根本关不紧，每次用完之后桌子上都一滩水。无法保修也无法更换水箱，只能凑合用。</t>
  </si>
  <si>
    <t>奶嘴软 宝宝一下就接受了 很好用 好用 奶嘴软 宝宝一下就接受了</t>
  </si>
  <si>
    <t>总体看上去还不错。 有位很好的朋友要离开，买了支笔送他的;笔外观看着很精致，塑料感较强，薄纸盒包装感觉显得不够好;自己没去用，希望好用，他也喜欢;总体还不错！</t>
  </si>
  <si>
    <t>尺码偏大 嘤嘤嘤，买大啦，男票180，140上身壮买了L，应该买M的</t>
  </si>
  <si>
    <t>穿着感受 不太适合脚背偏高的，鞋子颜色比照片上的深一点</t>
  </si>
  <si>
    <t>大小 袖子长度合适，肩宽宽了一点点，身长短了，像是高腰的那种！ 本人180身高，体重75kg，属于肌肉型，供大家参考</t>
  </si>
  <si>
    <t>还可以 还可以吧，料子有些薄</t>
  </si>
  <si>
    <t>非常好 颜色鲜艳，质量好。孩子喜欢。</t>
  </si>
  <si>
    <t>东西收到了，很轻很小！！！不知道国外的是不是没有防伪贴？？？有没有叼大的解释一下！！！ 如上！！！！！！！！！！！！！！！！！</t>
  </si>
  <si>
    <t>一直用此品牌的剪刀 给宝宝用，实用安全！</t>
  </si>
  <si>
    <t>运转流畅，安装需要稍微动一下手 分量很重，送的配件也特别多，不过除了进水口和出水口的管子都没用上，自己另外买了两个排废水用的管子。组装过程很顺利，一开始出来的水有点黄，排了一段时间水之后就正常了，应该是机器里面有泥沙的缘故。安装注意事项：一共有4个口需要接管子，6分的进水口和出水口，以及一个2.5公分的排废水的出口，和一个稍小一点的排水口，最后这个排水口只在一开始机器运行的时候出过水，平时没有出过，不清楚正不正常。机器运行之前需要用附赠的测量水质的工具测量一下ppm，运转起来以后需要根据测量的结果调整一下参数，不然有可能机器出来的水太软了，滑得有点有点过分。第一次这么认真的评价，也是因为这个机器太好用了，而且比国内的其他款式便宜太多，感谢亚马逊！</t>
  </si>
  <si>
    <t>鞋子确实是偏大的 整体来讲还不错，鞋码偏大，一般我都是穿44号旅游鞋，43号皮鞋，而这双鞋是42.5的，居然还稍微大一点，倒是合适。刚收到货时因为系着鞋带的缘故，没穿鞋进去，一度以为是买小了，后来把鞋带解开一试，稍微大一点，正合适 。</t>
  </si>
  <si>
    <t>第二次买！！！很不错👍 平时穿38码买的7.5非常合适！已经是第二次买了，很显脚瘦，百搭的小白鞋～不过价格会忽高忽低，喜欢的可以多留意，直接入手</t>
  </si>
  <si>
    <t>舒适轻便 鞋码合适，舒适轻便，鞋型偏瘦。</t>
  </si>
  <si>
    <t>很好很合适 产地泰国，平时买41.5的，ecco买41正好，想买双goretex的，看着这双价格不错，ecco脚感还行，就下手了</t>
  </si>
  <si>
    <t>买买买 走时精准，颜值很高，很满意。</t>
  </si>
  <si>
    <t>可以的 物超所值</t>
  </si>
  <si>
    <t>音质不错，旋转钮较紧 音质还不错，按钮比较紧</t>
  </si>
  <si>
    <t>名不虚传 JBL音响质量很好，名不虚传，快递也很仔细负责。</t>
  </si>
  <si>
    <t>偏贵，水压影响大 价格便宜点就好了</t>
  </si>
  <si>
    <t>管不管用是真的没看出来，我是用后评论的！ 还算舒适吧，主要买犬印的不怕出现副作用，盆骨带用了几次，收腹带感觉没太大作用</t>
  </si>
  <si>
    <t>偏大，漂亮 号码偏大，平时阿迪穿44的，这双买的42.5,穿上正合适。现在亚马逊的快递很快，4，5天就收到了，给力。</t>
  </si>
  <si>
    <t>愉快的购物体验 脚感介于正装皮鞋和运动鞋之间，可以按照日常单皮鞋号码买。刚穿有些紧固感，还担心尺码小了，穿几次之后就舒服多了，因为是新鞋子的缘故。颜色很喜欢，改善了“老头乐”“包子鞋”的感觉。透气性很好，确实有韧性！</t>
  </si>
  <si>
    <t>小方块到手 很棒，卡西欧买了这么多，最终还是要入手经典方块。</t>
  </si>
  <si>
    <t>493真香 表盘有点歪，其他不错，搜波站在外面差不多2分钟成功吧，经典····</t>
  </si>
  <si>
    <t>skiphop 挺不错的，勺子宝宝拿着大小合适，勺口偏大，宝宝一岁多用起来有点大！</t>
  </si>
  <si>
    <t>可爱的爱儿碗 碗比较小很可爱！以后给宝宝装点零食什么已经很方便，密封性不错，就是盖子扣上去稍微有点麻烦！</t>
  </si>
  <si>
    <t>是厚款 里面是加棉的厚款，在图片和描述中看不出来。 式样很不错，大小也合适，就是不适合现在穿了，留着下半年再穿吧</t>
  </si>
  <si>
    <t>舒适 一直在穿的舒适袜子👍</t>
  </si>
  <si>
    <t>有效期太短 牙膏本身量很大，使用也很方便无需挤压，商品本身质量应该没问题。但是我是17年12月份收到的货，有效期到18年12月，才1年左右，生产日期则是15年，1年内是不可能把6支全部用完的，问了客服，说没过期就正常，不知道如果是今天收货，有效期明天过期是不是也算正常。希望亚马逊对于这种商品做好有效期的标示以防止对于消费者误导，在美亚上买了好几次东西都不满意，差评！</t>
  </si>
  <si>
    <t>褪色，掉色 掉色……居然掉色……呵呵哒</t>
  </si>
  <si>
    <t>slim fit 低腰 低腰款的 slim fit 贴身的  180 88kg腿有点瘦</t>
  </si>
  <si>
    <t>鞋子有些污渍，没有预想的好，不过也还可以接受吧 刚刚收到货，鞋码稍微有些大，转眼一看MADE IN CHINA，并且左脚鞋带顶部处有些油污还是胶渍不好说，污渍附近做工也不太工整，也不知真假，貌似和自己直接在美亚买的货不太一样，希望后面穿着没啥问题吧</t>
  </si>
  <si>
    <t>太大了 s号的应该要身高173左右的才合适</t>
  </si>
  <si>
    <t>闪退，无法使用 闪退，无法使用</t>
  </si>
  <si>
    <t>衣服标注尺寸和实际尺寸偏差太大。 尺码标注和衣服实际尺寸相差太多。导致购买衣服尺寸偏大。而退货费用太高，给差差差评。</t>
  </si>
  <si>
    <t>满意 物流还是挺快的，大概一周到了。 表好看，混合织物针孔表带，塑料外壳。 表盘算小的，适合瘦一点的人。 轻中度使用一年零四个月之后，表带断了。</t>
  </si>
  <si>
    <t>出问题了。。。为什么？ 不到一年就出问题了。。幸亏不到一年就出问题了，还在保修期，问题是谁告诉我在哪里保修？</t>
  </si>
  <si>
    <t>还好 一分价钱一分货</t>
  </si>
  <si>
    <t>价格变动大 价格变动有些快，黑五3820下单，到周一就35xx，就像别人说的，声音很销魂</t>
  </si>
  <si>
    <t>开始有味道，之后就好了 包装很好，开始味道很大，清洁后放了两天味道没有了，孩子一般喜欢，不过吃的时候角度问题偶尔会扎到眼睛</t>
  </si>
  <si>
    <t>亚马逊海外购买东西更便宜！ 第一次买绿色的T桖，还不错，很好看。价格美丽，降到92块，立马下手。尺码标准，身高173，体重83公斤，L码非常合身。</t>
  </si>
  <si>
    <t>下雨天穿也很好👌！ 全皮、很好不偏码！正常码和平时一样尺码购买就好了。</t>
  </si>
  <si>
    <t>合适 女生160，51公斤，买了一件男款XS，合适的很，面料舒服，是我想要的。</t>
  </si>
  <si>
    <t>价廉物美 保质期到2021年5月，量大便宜</t>
  </si>
  <si>
    <t>质量好。码偏大 最好买s码，当时没有就按国码买的，大，但是可以松紧，还好吧</t>
  </si>
  <si>
    <t>尺码至少偏大一个号 尺码挺大的，至少大了一个号</t>
  </si>
  <si>
    <t>尺码合适，款式喜欢 &lt;div id="video-block-R1ZXSN9XG0RFVU" class="a-section a-spacing-small a-spacing-top-mini video-block"&gt;&lt;/div&gt;&lt;input type="hidden" name="" value="https://images-cn.ssl-images-amazon.com/images/I/81srCMrwGFS.mp4" class="video-url"&gt;&lt;input type="hidden" name="" value="https://images-cn.ssl-images-amazon.com/images/I/71w4SDWNRUS.png" class="video-slate-img-url"&gt;&amp;nbsp;36偏35的脚。选3码刚刚好。非常喜欢啊。比预想的要快～好看好看～</t>
  </si>
  <si>
    <t>性价比太高了点 大小完美合适</t>
  </si>
  <si>
    <t>合适 给老公买，身高181，体重85公斤，肚子大，穿L码的，正合适</t>
  </si>
  <si>
    <t>安装时扳手下垫块布 非常漂亮，做工精致，细节体验非常好，只是自己安装时，用的活扳手把螺母拧花了（里面是纯铜的）。 按摩模式简直刺激哈哈</t>
  </si>
  <si>
    <t>好 我这么瘦的人穿小号也问题不大 袖子长度还好啊 本来就要挽上一圈 刚好</t>
  </si>
  <si>
    <t>喜欢 超喜欢，用它时心情愉快，提高生活质量的好物。 但是用了一些日子后，发现灌好热水瓶后，壶底剩下的那一点水，有一股怪味。有点怀疑水壶的材质，没有介绍里的那么好。</t>
  </si>
  <si>
    <t>方便 加税90多，挺方便的，但是国内大夫不推荐，不知道为啥。</t>
  </si>
  <si>
    <t>实惠好用 这次快递很快，一直在用宝宝很喜欢呢</t>
  </si>
  <si>
    <t>满意 我162,84斤，买0 long合适。非常后悔之前有0 short的时候没有买，那时价格比现在还便宜几十块。发现0 short没有了才赶紧买了0 long，结果还要自己花钱去改短，因为几乎要卷两圈。质量很好，没有色差，穿着舒适！lee 的裤子在美亚买这是第二条了，都穿0码，合身，而且质量好，非常满意。</t>
  </si>
  <si>
    <t>挺好的 保暖性好，显瘦，深蓝色显白，到手470，一米六三，60kg，s号正合适</t>
  </si>
  <si>
    <t>还会回购 给宝宝吃的 希望是正品，</t>
  </si>
  <si>
    <t>满意 挺好的体验，成功做出面包。</t>
  </si>
  <si>
    <t>长了点 之前买Lee牌的，34X32，感觉腰围稍大了点，长短正好。身高180，体重70公斤。想换个牌子试一试，都是美国的品牌，就选了33X32的尺码，到货发现腰围正好，裤长却长了一节，后续有人购买要注意啦。裤子质量还好吧，这款适合春秋天穿着。</t>
  </si>
  <si>
    <t>正品虎牌保温杯 正品虎牌保温杯，快开，颜色很好看！</t>
  </si>
  <si>
    <t>very good 质量挺好的，腰带稍微窄了点。</t>
  </si>
  <si>
    <t>等了十天，比预计送达还早六天 盒子完好，笔也完整，起初真是担心，还没用，应该没有问题</t>
  </si>
  <si>
    <t>太长了 裤子太长了 长了起码10公分以上</t>
  </si>
  <si>
    <t>音质一般 原以为音质会不错，没想到一般，跟手机外放的音质差不多。</t>
  </si>
  <si>
    <t>鞋子打湿后会磨脚的 开始觉得很不错，没想到鞋子湿水后，穿着时间太长内侧线头连接处就会磨脚，还擦破了皮，不好</t>
  </si>
  <si>
    <t>辣鸡软件 辣鸡东西，不能用，辣鸡软件，就是国内的东西，走个物流，退货不管，就是骗子，赶紧卸载吧</t>
  </si>
  <si>
    <t>没穿 没办法穿，布料太硬了。</t>
  </si>
  <si>
    <t>推薦指數四顆星 襪子很厚 適合冬天</t>
  </si>
  <si>
    <t>挺好的 内衣不错，不过不喜欢太过多的花纹</t>
  </si>
  <si>
    <t>品质好，合身 身高176，体重60，S号长短合适，袖子很肥，品质一流，刚买完就降了五十块钱，看来以后需要观望观望再出手</t>
  </si>
  <si>
    <t>鞋底很不耐磨 鞋底不耐磨，穿了一天鞋后跟外侧就磨了好多，</t>
  </si>
  <si>
    <t>质量不错 性价比高，尺码适合。</t>
  </si>
  <si>
    <t>不错的研磨碗 研磨碗研的很细，用起来也省力气</t>
  </si>
  <si>
    <t>好 高性价比，质量好，不愧是大品牌</t>
  </si>
  <si>
    <t>衣服很好。 很好 身高171mm 体重63公斤 衣服刚好合适S码。</t>
  </si>
  <si>
    <t>价格很合适，鞋子也不错，我觉得没必要纠结包装吧，我平时38.5，这个因为只有38码所以买了，可以穿 价格很合适，鞋子也不错，我觉得没必要纠结包装吧，我平时38.5，这个因为只有38码所以买了，可以穿</t>
  </si>
  <si>
    <t>质量好样子美尺码偏大 买的39EU，鞋盒子上就是6，但是这个款型偏大的，实际适合40，40.5，买的时候注意尺码。样式，皮质，真的没得说了，很好的质量。</t>
  </si>
  <si>
    <t>好 之前不明白为什么会有这种4个或者更多的组合 用上才知道 娃不会老老实实拿在手里 拿着拿着就扔了😭</t>
  </si>
  <si>
    <t>y字奶嘴3-6月 这个盒子里有两个奶嘴，从日本寄回来快件被压扁了，但奶嘴没有变形，是y字形奶嘴</t>
  </si>
  <si>
    <t>很舒适 大小很合适 比运动鞋小一码买 买买买 哈哈哈</t>
  </si>
  <si>
    <t>挺好的 挺好，无痕款，百搭又方便……</t>
  </si>
  <si>
    <t>顺畅 写起来很顺畅，隔天不用也没有一开始断墨的迹象，非常令人满意的产品</t>
  </si>
  <si>
    <t>无感舒适 穿着很舒适 完全同意无感 尤其背部</t>
  </si>
  <si>
    <t>很好！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</si>
  <si>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非常满意 很舒服，质量很好，新用户免运费，很值</t>
  </si>
  <si>
    <t>不错 买大 了，但是质量不错，穿得宽松也挺好看的。</t>
  </si>
  <si>
    <t>好👌 内裤用料光滑柔软，质地很好，和EA内裤是同样质地</t>
  </si>
  <si>
    <t>裤子不错 裤子质地不错，相信这个牌子，可以抵御一定的寒冷，不过北方大冷的时候，还是不行啊，总体满意</t>
  </si>
  <si>
    <t>孩子爱吃，家长放心 之前买过，这次正好赶上活动。孩子爱吃。</t>
  </si>
  <si>
    <t>第一手产品体验 包装略有压扁，产品好像不是二手，因为耳机边框上有灰？。。。还没用到半小时，声音感觉没什么区别和手机自带耳机。。。可能是没有对比吧。。</t>
  </si>
  <si>
    <t>perfect 非常舒服，难得的时髦款式</t>
  </si>
  <si>
    <t>鞋子号码咨询 我国内穿皮鞋40的，运动鞋41的。请问我穿多少号码的合适？</t>
  </si>
  <si>
    <t>好鞋 真的好，穿上后，脚就像有根了，特别扎实</t>
  </si>
  <si>
    <t>封口一般 封口边上怎么都封不住，能溢出</t>
  </si>
  <si>
    <t>起球 版型材料都很不错，181，83kgM码合适，有点儿起球，镇店之宝买的，价格美丽</t>
  </si>
  <si>
    <t>女生买，合适。 女生，一米六，135斤，穿着合适，中长款的。</t>
  </si>
  <si>
    <t>描述不一致 怎么是磨砂皮的</t>
  </si>
  <si>
    <t>挂纸！！二手货！！ 首先肯定是二手货，买来鼻尖上就有使用过的蓝色水渍，这也就忍了，最不满意的就然挂纸，真郁闷啊，第一次买这么贵的笔，年前买的 送公司了，今天来上班才试用了下，也不能退货了，哎。。。自认倒霉了</t>
  </si>
  <si>
    <t>味道 海鲜味的草莓味 开始喝的感觉有点怪</t>
  </si>
  <si>
    <t>尺码偏大半码，脚感还行 42码，稍大一点，总体满意，左边没有穿就有皱褶。</t>
  </si>
  <si>
    <t>很厚 很厚，感觉布料一般。</t>
  </si>
  <si>
    <t>码数偏大 无色差，轻薄。176，74公斤，小码刚好。</t>
  </si>
  <si>
    <t>会缩水 会缩水，会缩水，会缩水，重要的事情说三遍！胖一点的人就不要买了。衣服质量还是没问题的，就是号码的问题，我买的L号觉得缩水后适合170-175cm，体重在60-70kg之间穿</t>
  </si>
  <si>
    <t>物美价廉 真心好看……防水耐用</t>
  </si>
  <si>
    <t>好 薄绒，适合春秋天，尺码偏大。</t>
  </si>
  <si>
    <t>产品体验不错 第一个感觉就是轻，装上水手感不错，保温可以，7个小时还是热的，细节处理的不错。</t>
  </si>
  <si>
    <t>方便、实用 很好，很实用。可以装辅食、汤水，零食。</t>
  </si>
  <si>
    <t>偏大，质量好！ &lt;div id="video-block-R150A6X6QRXGKL" class="a-section a-spacing-small a-spacing-top-mini video-block"&gt;&lt;/div&gt;&lt;input type="hidden" name="" value="https://images-cn.ssl-images-amazon.com/images/I/918G6rMQs3S.mp4" class="video-url"&gt;&lt;input type="hidden" name="" value="https://images-cn.ssl-images-amazon.com/images/I/A1gHSHiUuwS.png" class="video-slate-img-url"&gt;&amp;nbsp;买了绿色的s码与灰色的m码，感觉s码就是中国的m码，偏大！但质量杠杠的，很柔软舒服，修身。</t>
  </si>
  <si>
    <t>海外购好实惠 Prime会员下的第一单。比代购还便宜，关键是能保证正品，特别放心。鞋子质量很好，经典的百搭款式。很喜欢！希望海外购的产品可以越来越丰富</t>
  </si>
  <si>
    <t>好穿 很舒适，穿着无感。直接变品牌粉丝了</t>
  </si>
  <si>
    <t>还不错 东西还不错，质量可以。</t>
  </si>
  <si>
    <t>好 穿着舒适因此给妈妈也买一件，很满意</t>
  </si>
  <si>
    <t>质量和手感都不错 布料厚实，手感挺好，本人173cm/80kg，这个码数稍微有点宽松，是典型的工作服！</t>
  </si>
  <si>
    <t>值了 z划算买的，太值了，比2.1的低音炮强太多了，</t>
  </si>
  <si>
    <t>实得购买 质量很好，很轻，不错大小正好，下次再来</t>
  </si>
  <si>
    <t>合身 舒适 有弹力 个人比较喜欢 马上又下单了另一个颜色。</t>
  </si>
  <si>
    <t>耳机 很好，音质不错，低音厚度满满</t>
  </si>
  <si>
    <t>made in tailand【现在的WD比以前强不少了~】 【以前买的WD book 系列噪音大，现在新品没有噪音，而且还能转保，WD越来越牛了！】以前买WD时候不多，买希捷时候多，现在WD的优势比希捷强 ~目前使用没出现什么问题。</t>
  </si>
  <si>
    <t>大小合适，款式好看 款式好看</t>
  </si>
  <si>
    <t>舒服 很好的面料很舒服！值得购买</t>
  </si>
  <si>
    <t>质量好，舒服，这次选的号码太合适了 选的码好合适，质量也好，贴身舒适</t>
  </si>
  <si>
    <t>很好 很好，很合适，很舒服</t>
  </si>
  <si>
    <t>v-moda 第一个入手的耳机，还在煲机中，音质还行，可以制定饰片好评</t>
  </si>
  <si>
    <t>舒服 码数偏大一点吧，我平时都穿40码的鞋子。估计欧码要偏大一些，穿起来鞋带绑紧一点刚刚好。穿起来走路还是很舒服的，比在国买便宜太多了，而且肯定是正品。到手才500多一点，国内动不动2000上下，简直要命。</t>
  </si>
  <si>
    <t>实惠 价格便宜，穿着很舒服</t>
  </si>
  <si>
    <t>logo掉色 料子厚实，但胸前logo洗了一次就掉色了，怀疑人生，怀疑品牌</t>
  </si>
  <si>
    <t>偏小 质量没问题，177cm,75kg 小了1号半的感觉。</t>
  </si>
  <si>
    <t>瑕疵 左上角按键陷进去了，有瑕疵，跟专柜佩戴的质感略有差异，感觉不那么贴合手腕。</t>
  </si>
  <si>
    <t>第一次差评 全都漏了</t>
  </si>
  <si>
    <t>最差的东西不会再买亚马逊了 东西差的没边了像淘宝20元的东西想退要125元真是和抢钱没有区别</t>
  </si>
  <si>
    <t>底座不平 漂洋过海，包装就破了，很有的份量，但是底座是不平的，总有一边翘起！！</t>
  </si>
  <si>
    <t>有点色差 收到东西了，有点色差，没有图片上深，身高168，S号，还有点长，别的都挺好</t>
  </si>
  <si>
    <t>噪音大, 性价比一般 不如同期的10t性价比高，而且噪音确实大，但如果没有对比这个价格也算不错，第一次体验物流是真的快</t>
  </si>
  <si>
    <t>婴儿的小勺子 这个勺子是比较小号的。也许我们比较着急吧，希望用大勺，喂得快一些</t>
  </si>
  <si>
    <t>粗矿，结实 平常都是买36的，这次买的35，腰围很合适，裤腿稍肥，产地墨西哥，做工粗矿线头不少，结实就好。身高173cm，体重80kg。英亚的到货速度比美亚快好几天，同时买的短裤穿了洗了晾干了这个才到。</t>
  </si>
  <si>
    <t>略大不过喜欢 感觉鞋码偏大 穿一般棉袜还是空落落 穿了Nike精英袜 包裹感好很多 没有比37更小的选择了 留下吧😊</t>
  </si>
  <si>
    <t>精致 很好看的一套小碗，精致极了！</t>
  </si>
  <si>
    <t>赞！ 比老婆在某宝买的好上一万倍。</t>
  </si>
  <si>
    <t>合适，满意 尺寸合适，整体满意。</t>
  </si>
  <si>
    <t>质量很好，蓬松度高 超喜欢这件外套，国外尺码偏大一码，小号刚刚好。杭州冬天，里面穿一件就够了，我的波司登羽绒服里面穿两件还冷，哈哈。还是户外运动的羽绒服专业啊！</t>
  </si>
  <si>
    <t>质量很好！ 质量很好！合身且穿着舒服。</t>
  </si>
  <si>
    <t>好货 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</si>
  <si>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不错 质量好，价格小贵，画出画效果杠杠的，要省着点用，能配上削笔刀就好了</t>
  </si>
  <si>
    <t>看上去不错 物流速度不错，比预期要快。价格便宜；如果后续没有质量问题需要保修的话，性价比高。目前使用中，一切正常。</t>
  </si>
  <si>
    <t>非常方便 海外购真的是很方便，可以买到第一手的电子产品。非常喜欢，全新未拆封的，长途跋涉也完好无损！白色很漂亮…</t>
  </si>
  <si>
    <t>挺好 第一次买200以上的耳机……听着觉得对得起它的价格</t>
  </si>
  <si>
    <t>171/69，M码合适，舒服正牌 穿着特别舒服，171/69，M码数合适，质量保证，越南产，看来中国劳动力成本越来越贵了。</t>
  </si>
  <si>
    <t>没注意是一次性墨水 买的时候以为是可以上墨水的那种笔胆，拿到才发现是一次性的，有点失望。。。</t>
  </si>
  <si>
    <t>补充多维必备 SWISSE大品牌，这款复合维生素片以前也买过小罐的吃，这次索性买一大罐，慢慢吃。</t>
  </si>
  <si>
    <t>爱丝 很好质量和尺码都很正，性价比很高</t>
  </si>
  <si>
    <t>会继续使用的，还不错 非常不错，会继续使用</t>
  </si>
  <si>
    <t>非常好 酒红色很漂亮，保温能力杠杠的，开水放了一夜，还是热的，正好直接喝。表扬亚马逊的速度，16号下单，20号送到。看了小票，的确日本直邮。</t>
  </si>
  <si>
    <t>还可以 产品不错，不过收到货时，包装袋没问题，但是箱子坏了。</t>
  </si>
  <si>
    <t>保暖 按正常尺码买的，合适，非常暖</t>
  </si>
  <si>
    <t>面料比较厚 面料比较厚但是手感很好，穿起来很舒服，尺码正常。</t>
  </si>
  <si>
    <t>干货 什么值得买，这个就值</t>
  </si>
  <si>
    <t>上身不错，价格实惠 身高180cm 体重75KG，买的32 32，腰围稍稍大一个手指的宽度吧，冬天里面套裤子正好，要是夏天的话最好买31,32.看了前面的评论 果然邮寄过来的时候裤子都是褶皱，需要洗一下再穿，334买的 合适！</t>
  </si>
  <si>
    <t>Under Armour 安德玛 男士 UA Performance Polo衫 -... 衣服比正常穿衣码大2个码，夏天穿比较厚</t>
  </si>
  <si>
    <t>实物与照片颜色搭配严重不符，两支装笔袋放不下两支百利金钢笔！。 1.实际商品与照片的颜色搭配严重不符，图片上百利金标志带处是绿色的，其它部分为黑色；实物的标志带处为黑色，笔袋侧面为绿色！2.实物尺寸偏窄，两支装的笔袋放不下两支百利金钢笔！由于本人时间问题，未来得及退换货。</t>
  </si>
  <si>
    <t>不舒适 穿在脚上不怎么舒服，很硌脚，非常硬！</t>
  </si>
  <si>
    <t>尺码偏大 胸前没有logo，穿着肥大</t>
  </si>
  <si>
    <t>袖子一大一小 衣服袖子一个大一个小，难道是次品？</t>
  </si>
  <si>
    <t>谨慎购买 缺陷太多 可以看看其他人的评论 不建议买 可能是国外的次品货 刚到就充不进去电 关不上机 也打不开机 需要重复好多次才可以 所以购买的人谨慎这一款</t>
  </si>
  <si>
    <t>号称10年电池，1年零1个月就挂了 号称10年电池，1年零1个月就挂了 2015年9月10多号到货，今天孩子带着上学考试，，用着用着就显示模糊，灯也不亮了，不知道是电池原因还是其它问题，100多的东西也没有拿去修的必要。 必须要吐槽的是，找遍亚马逊网站，居然找不到该手表的保修时间。</t>
  </si>
  <si>
    <t>皮子稍硬 尺码和其他clarks鞋一致，但楦型稍微瘦一些，皮子稍硬，不知道会不会像踢不烂一样穿一段时间会好些。生胶底虽软但不耐磨，原来一双反绒沙漠靴前后穿了两个月鞋底就磨的特厉害</t>
  </si>
  <si>
    <t>希望对您有帮助 臀部稍大，腰围有些大。</t>
  </si>
  <si>
    <t>偏大半码 希望对大家有帮助 太大了 建议大家买小半码，我买的7.5 其实7够了。给大家一个建议</t>
  </si>
  <si>
    <t>质量一般 袖子上都是线头 料子有点硬 之前从买这个牌子的训练系列 这个怎么质量差好远</t>
  </si>
  <si>
    <t>尺码 质量很好.168.120这个尺码合适</t>
  </si>
  <si>
    <t>研磨碗很好 NUK的研磨碗还是很不错的，磨得很细腻到位。</t>
  </si>
  <si>
    <t>和国内比很性价比 商品大小合适，活动时买的，很具有性价比。媳妇儿身高155，体重小100。</t>
  </si>
  <si>
    <t>舒服 很好，舒服，推荐购买。</t>
  </si>
  <si>
    <t>质量不错，做工也不错 就是长了点，毕竟不是国人的</t>
  </si>
  <si>
    <t>推荐产品 亚马逊推荐所以买了试试，还没开始用，看上去还行</t>
  </si>
  <si>
    <t>很满意的购物 今天收到，刚好当女神节礼物了。 很喜欢，尺码、颜色都很正，穿着很舒服。 我是prime会员，平时也喜爱买ECCO，价格实惠。</t>
  </si>
  <si>
    <t>好看大气好用 用了10天来评论。没有中文说明书，开始用有点费劲，试了几次大概明白用法了。开机会清洗喷嘴，扔掉清洗了的水，按照自己想喝的选择，机器非常聪明，不用了会自动清洗，平时最好下边放个杯子接清洗的废水。咖啡渣满了有提示清理，水不够了有提示加水，总之操作简单，好用！</t>
  </si>
  <si>
    <t>舒服 没想到这么舒服，质地柔软。之前买L的偏大，所以这次买的M，略带弹性，正合适。</t>
  </si>
  <si>
    <t>还不错 看了还没用，看起来不错。</t>
  </si>
  <si>
    <t>是否有木柄替换装？ 11年买了个33厘米的，日亚转运，现在直邮方便多了，现在也没有33的规格了。买个30的新房子用。买回来最好还是拿油渣制一下。整体上，锅比不锈钢的轻很多，操作轻便，也没有涂层，不用担心涂层剥落，06年700多买过一个苏泊尔带涂层的，用了4,5年，涂层都落到菜里了。11年买的那个33的，锅体本身还不错，不过木柄的旋转卡槽用到第6年的时候由于长期受热，已经不能正常卡位，查了日亚淘宝，也没找到替换物，需要注意点将就着用。</t>
  </si>
  <si>
    <t>终于入手了 为了克莱帽子攒了挺久的钱，终于是买了，大概十几天到</t>
  </si>
  <si>
    <t>好看 有弹性，穿着舒服，显年轻。身高171，选m</t>
  </si>
  <si>
    <t>合适 还是挺合适的，不错！</t>
  </si>
  <si>
    <t>续航给力，音质满意，佩戴尚可 可能因为本人耳朵比较大吧，佩戴不疼，但确实填充得满满的，相比之下，其实我更喜欢全入耳的，但在这个价位上，综合考虑音质和续航，目前没有更优的选择；磁吸又避免在摘掉耳机时担心丢失的情况，可以了。</t>
  </si>
  <si>
    <t>穿感舒服 大小合适 我177 80kg  这个码子很合适 一点也不挤人 裁剪很到位 这要鄙视下国内的</t>
  </si>
  <si>
    <t>大品牌值得 果然是大品牌非常不错。</t>
  </si>
  <si>
    <t>小巧玲珑 不错很喜欢，价格很便宜。</t>
  </si>
  <si>
    <t>偏大，束脚无弹性 168,53KG，xs号刚好，穿着比较舒服，但是束脚全无收束的感觉，没有一点弹性</t>
  </si>
  <si>
    <t>谢谢了 东东非常好！</t>
  </si>
  <si>
    <t>挺好的 啥都好 做了各种肉丸子 但是价钱不稳定 300买的 今天看看价钱便宜了50块</t>
  </si>
  <si>
    <t>质量很好非常值得购买 货真价实，彩铅里算不错得了</t>
  </si>
  <si>
    <t>完美 本人167cm，55KG，82～70～92，买了L码，吊牌显示170/86A，腰部无弹性，略显宽松，但有抽绳可以调节大小，腿部也很合适。</t>
  </si>
  <si>
    <t>没质感，中学生戴还可以~ 比想象中让人失望，很没质感，很轻，像塑料的 给高三的弟弟买的，拿到手觉得送人很没面子~还好弟弟觉得没关系，能用就好！</t>
  </si>
  <si>
    <t>包轻，大小合适，掉毛 实物没有图片看起来这么正，颜色有点暗，那个皮质的标掉毛，粘的周围都是，包挺轻的，材料有点硬</t>
  </si>
  <si>
    <t>没有量杯 没有摇摇杯,没有量杯,使用后还是肌肉酸痛两三天 才买了10天左右就降价了两百多</t>
  </si>
  <si>
    <t>音量大小不够，不象308的功率 感觉音不够大，还没我汽车原配上的大</t>
  </si>
  <si>
    <t>假的 皮带褪色，染黑了两条裤子。这说是正品？我想假的都不至于染色吧。so sad!</t>
  </si>
  <si>
    <t>坑人 亚马逊也太坑人了，卖的东西死贵不说，是不是真货？买的16码给我发来14码的，穿不了要退，还要收我120，辣鸡</t>
  </si>
  <si>
    <t>好东西 这个色彩分的太细腻了，绝对属于彩铅里的高大上</t>
  </si>
  <si>
    <t>质量很好，但是 任何情况下，单手操作不了，这点不如巴塔的。</t>
  </si>
  <si>
    <t>做工还可以 本人33腰围，2尺7-8，应该买36，但是买的38，只能自己加一个眼孔。</t>
  </si>
  <si>
    <t>性价比高 好像特价185左右购入的，税大概在三四十块吧，但是也比国内299的报价便宜。 不过呢，这款耳机音质感觉一般，声音没那么透，低音也不够沉，通勤路上随便听听还可以。蓝牙范围ok，接收信号也挺强的。希望能多用段时间咯</t>
  </si>
  <si>
    <t>手表是不错的，就是显示屏有点小 表盘大小ok，但是显示屏小了点。</t>
  </si>
  <si>
    <t>u盘还可以，不错，因为自己清关信息写的慢了，导致太晚到手 u盘还可以，不错，因为自己清关信息写的慢了，导致太晚到手</t>
  </si>
  <si>
    <t>质量和设计都不错 款式好看，做工也不错，价格便宜，好评。</t>
  </si>
  <si>
    <t>包裹性很好的鞋子 很不错的鞋子，包裹性很好，鞋型也喜欢。</t>
  </si>
  <si>
    <t>读写速度满意 亚马逊海外购，价格便宜，大品牌做工好，读写速度超快，满意。</t>
  </si>
  <si>
    <t>东西很好  很值得买，精致 东西很好 很值得买 很精致  至于瑕疵问题 可能真的看人品了</t>
  </si>
  <si>
    <t>没有束缚感 很舒服没有束缚感，就是后背肉多的人，下面的边会卷起来。</t>
  </si>
  <si>
    <t>书写顺滑流畅，值得选购 书写顺滑流畅，值得选购</t>
  </si>
  <si>
    <t>非常好。 非常好，三岁以上宝宝可以用，刷的干净，以后只用配牙刷头了。</t>
  </si>
  <si>
    <t>好 挺喜欢的。</t>
  </si>
  <si>
    <t>看好尺码再下手 身高180，体重185斤 双❌足够 估计单❌也差不多 我买的3❌，那个大啊 布料很舒服 马来西亚产的 做工还行</t>
  </si>
  <si>
    <t>好 非常舒服非常非常舒服！</t>
  </si>
  <si>
    <t>质量好，价格便宜 做工中规中矩，布料厚实而且柔软。第一次褪色比较严重，估计多洗几次就好了</t>
  </si>
  <si>
    <t>非常好 非常好，舒服，质量好</t>
  </si>
  <si>
    <t>噪音有点大 速度不错 适合做冷备份 不过噪音和振动挺大的 而且没开关 不用的时候必须把线拔了</t>
  </si>
  <si>
    <t>好用，便宜，精准。 很好，现在每天戴。精准。</t>
  </si>
  <si>
    <t>小孩喜欢 小孩喜欢，自己用来刷了一下感觉没有大人的牙膏好用，光是甜味，大人刷的时候起泡不多，给小孩还行</t>
  </si>
  <si>
    <t>物有所值 做工精细，看上去很漂亮，期待使用感受更好，和实体店的比较了，做工一样，价格便宜太多了</t>
  </si>
  <si>
    <t>很满意 身高171，体重140，平常有健身属于稍微健硕的身影，选择W32L30,刚刚好，这件裤子还有点弹性，很合身，给需要选择的你们给个参考。不过口袋略显粗糙，其他好评，有时间会上图的。</t>
  </si>
  <si>
    <t>给买M号的建议 身高175cm，体重71kg，M号上身很合适，面料舒服。</t>
  </si>
  <si>
    <t>价格实惠 身高1.73M、重67Kg，S有点偏小</t>
  </si>
  <si>
    <t>质量不错 大小合适，也很暖和</t>
  </si>
  <si>
    <t>瑕疵严重 鞋子有明显瑕疵：一只鞋舌头是歪的，鞋子上有几处明显的刮痕，两只鞋有一只是荔枝纹有一只是没有荔枝纹的那种～ 这出品挺无语的～速度倒是出乎意料的快～实在是喜欢款式 留下来</t>
  </si>
  <si>
    <t>皮带质量挺好 皮带外观与实物一致，目前看皮子的质量挺好。我是2.7尺的腰围，买36码合适。只用了半年，就发现皮带穿孔的地方有破损，开来根本就不是真皮做的，下次不会购买此产品了。</t>
  </si>
  <si>
    <t>入手需谨慎 首先我身高185，体重65kg，买了L号，觉得稍微大点就算是正好吧。191块入手，10天到货。质量真心不好，海地制造，材料很粗糙，衣服上的网眼也比较大，穿在身上有点磨砂感，感觉甚至不如在某宝上19.9买的T恤，为了追逐潮牌入手，这次是买了个标志了，应该是正品，国货高仿绝对比这质量好。</t>
  </si>
  <si>
    <t>非常不耐用 只使用了7个月就坏了</t>
  </si>
  <si>
    <t>辣鸡,也没有客服 在mac上用不了,真是扯淡</t>
  </si>
  <si>
    <t>尺寸不对 尺寸过小，鞋子倒是挺舒服的就是穿了顶脚，现在已经闲置了</t>
  </si>
  <si>
    <t>值得购买的一款鞋子 如图，材质款式都很好。穿上包裹性好、舒服，唯一差点就是做工还不够。有点溢胶和缝隙，</t>
  </si>
  <si>
    <t>弹性大 有s号买s就够了，弹性够大，有号还会再买</t>
  </si>
  <si>
    <t>鞋子不错，物有所值 上脚很舒服，稍厚所以不建议夏天穿。8码对应中国42码，码数准</t>
  </si>
  <si>
    <t>材质柔软 大小合适，材质柔软。</t>
  </si>
  <si>
    <t>龙头很好 包装有点简陋，龙头很漂亮，非常重，德国产的，就是下水很轻，有些是塑料的，总体还是超值的，天猫卖2000多</t>
  </si>
  <si>
    <t>囤货 囤货中，还没用，大家推荐的牌子</t>
  </si>
  <si>
    <t>一如既往的合适 买回来当男鞋穿的，尺码合适，ecco的鞋本身很宽，走路不累。</t>
  </si>
  <si>
    <t>奶瓶很好 很好的，没有味道，就是宝宝不认那个奶嘴</t>
  </si>
  <si>
    <t>精緻實用 寶貝很實用，而且設計精巧，不會滴漏。很讚哎。</t>
  </si>
  <si>
    <t>靓 颜色靓，舒服</t>
  </si>
  <si>
    <t>内裤质量很好 内裤很好看，质量很好，很舒服</t>
  </si>
  <si>
    <t>很好 很好 值得拥有 速度平均60+ 但是很结实</t>
  </si>
  <si>
    <t>音质超棒 音质超棒，但是线太太太丑了，这设计只适合在家听。</t>
  </si>
  <si>
    <t>均衡，够用。 1 一个多星期就收到货了，包装很结实收到货很完美。  2 买了二根2米的屏蔽卡侬线接解码前级，自己有国标的电源线接上就开声，声音开大贴耳也听不出丝毫低噪。  3 音质比较白开水，声音开起来低频感觉到房子在跟着振动，整体比较均衡。  4 音箱要拉开些，我这边听音环境不是很好，脚架还没上，做为电脑音箱摆位调整是要花些精力，但主体的音箱一次到位吧，其它的慢慢再追加。</t>
  </si>
  <si>
    <t>可么多么 买了两个，一大一小，用着挺不错的。</t>
  </si>
  <si>
    <t>产地英国 英亚包装是简陋了点，但是速度快...东西还么有用，是英国产...</t>
  </si>
  <si>
    <t>物有所值 轻，保温效果好</t>
  </si>
  <si>
    <t>太好看了 大小合适，很舒服，喜欢。海外购的商品基本上都很满意，并且放心。</t>
  </si>
  <si>
    <t>希望商家下次能多给点案例出来供我们参考。 本人175，80kg之前穿这个M码刚好，但是这个内衣这个码数过小，价格也不贵，退起来手续麻烦，就送人穿了，希望商家下次能多给点案例出来供我们参考。</t>
  </si>
  <si>
    <t>效果可以，使用麻烦 使用效果不错……就是要购买变压器和转换插头</t>
  </si>
  <si>
    <t>森海的耳机就是欠煲，甭管低端高端 刚拿到手声音不好，高频有毛刺低频下潜不够，现在听了一段时间好多了，想起了以前在某宝买的mx375刚拿到手声音也很相似，结果我当假的退了。。</t>
  </si>
  <si>
    <t>好好 尺寸正好，质量没的说！</t>
  </si>
  <si>
    <t>满意 完全符合要求，非常满意。</t>
  </si>
  <si>
    <t>囤货 囤货买的，随便选了一个</t>
  </si>
  <si>
    <t>味道好，比国内品牌好喝多了 味道很好闻。吃腻了香草味，这个味道很好喝。很好溶解，不起泡，比起国内的汤牌，好喝太多了。送货也快，比预计送达日期要早10天。</t>
  </si>
  <si>
    <t>家庭装，超实惠 八个头，正好和老婆用一年，用了几年电动牙刷了，舒服又方便，希望英亚的价格继续优惠，赞</t>
  </si>
  <si>
    <t>M合适 170，65KG，本来想买小码的，最后买了M，合适</t>
  </si>
  <si>
    <t>建议腿粗的人不要买 本人大腿较粗，变紧身裤了。瘦的人穿很有型。</t>
  </si>
  <si>
    <t>比较一般 质感不佳 材质像塑料的 不建议</t>
  </si>
  <si>
    <t>不值 不舒服，裤脚老往上缩，保暖也一般。</t>
  </si>
  <si>
    <t>相当差的体验 这裤子质量太差了，穿一次整个面料都起球。。。从来没买到过这种品质的裤子，当睡裤都觉得太差！！！其次裤子码数偏大，一定要挑战的朋友们别买大了！！！！</t>
  </si>
  <si>
    <t>表带裂开 表带已开裂，还配不上，小日本！</t>
  </si>
  <si>
    <t>效果还不错 身高170，体重106，穿L码的正好</t>
  </si>
  <si>
    <t>盖子容易掰下来 挺好的，有个不足是盖子很容易掰下来，小孩很喜欢去掰盖子。</t>
  </si>
  <si>
    <t>还不错 布料厚实，美国农场风格，174/77，M合适</t>
  </si>
  <si>
    <t>不适合头大的人戴 还可以吧，不适合头大的人戴着。</t>
  </si>
  <si>
    <t>CK 衣服是纯棉的，180的个字应该买L，结果买成了XL，大了，不过当睡衣还不错，舒服</t>
  </si>
  <si>
    <t>舒适 鞋很好，穿着舒适。</t>
  </si>
  <si>
    <t>身高173cm，体重60kg 身高173cm，体重60kg，small合适，面料很舒服</t>
  </si>
  <si>
    <t>首次海淘感觉良好 日立新盘，一星期到手，测试正常。噪音问题不大，读写时有点声音，除非夜深人静不明显，我对本次购物满意。</t>
  </si>
  <si>
    <t>用过再来评论，看着还不错 用过再来评论，看着还不错</t>
  </si>
  <si>
    <t>很好啊 小了，样子不错，两尺五腰32小</t>
  </si>
  <si>
    <t>成功的一次购买 舒服 合适 和照片描述一致</t>
  </si>
  <si>
    <t>容量大，重量适中 亚马逊海外购做活动的时候买的，USB3.0的速度，需要外接电源，比较适合作为桌面备份使用</t>
  </si>
  <si>
    <t>尺寸 1.81米，78公斤，99cm，m号正好，仅供大家参考</t>
  </si>
  <si>
    <t>完美 帮朋友卖的，很满意。</t>
  </si>
  <si>
    <t>无味 很好的产品，洗完没有味</t>
  </si>
  <si>
    <t>很酷的手表 相信亚马逊提供的是正货，不是某宝臭大街的假货。 这么优惠的价格买到西铁城这款光动能男表，当然值得。 尽管表带很厚配色也搭，还是自己在某宝买了黑色的金属表带，感觉更好。</t>
  </si>
  <si>
    <t>物有所值 很好，包装也很稳妥。非常轻，尺寸非常小，放在小包里很方便</t>
  </si>
  <si>
    <t>宜于行走 鞋子轻便，适于行走，并且不闷。</t>
  </si>
  <si>
    <t>发热 喜欢，发热，质量上佳</t>
  </si>
  <si>
    <t>不错 样子很好看</t>
  </si>
  <si>
    <t>质感不错 挺不错的，软硬适中，质感不错</t>
  </si>
  <si>
    <t>皮质很硬，里面有垫层 中国制造，皮质很硬，有真皮字样，但不知道是不是，后续再看。 里面有层垫层，提升了舒适感。 国内裤子穿31-32码，买85的正合适。</t>
  </si>
  <si>
    <t>值得买 好用 吸的快并且均匀 充电用也很方便 唯一缺点就是主机太大了 不方便携带</t>
  </si>
  <si>
    <t>儿童水杯 不错哈，比国内便宜。以前用膳魔师的漏水，这次换象印的</t>
  </si>
  <si>
    <t>拆包装发现下水器上只有一个垫圈，是装在下部的。为何上部没有橡胶垫圈，这样装不会漏水吗？ 拆包装发现下水器上只有一个垫圈，是装在下部的。为何上部没有橡胶垫圈，这样装不会漏水吗？</t>
  </si>
  <si>
    <t>国外的码偏大了 国外的码数偏大了，买鞋要注意</t>
  </si>
  <si>
    <t>很不错的产品 宝宝一直用着，比玻璃的好用太多</t>
  </si>
  <si>
    <t>超大 超级大，平时34，穿M码就可以了，买大了两个码</t>
  </si>
  <si>
    <t>设计不合理 材料可以。但是外形设计不合理，当牙刷用吧，不好握。当牙胶吧，不好咬，旁边的把手又扁又宽，不好咬也不好握。不如火柴猴</t>
  </si>
  <si>
    <t>太大了 身高165，体重110，t恤太大了！</t>
  </si>
  <si>
    <t>收到的就是坏的 插上电源没有任何反应，无法开机，不知道是机器有问题还是电源有问题</t>
  </si>
  <si>
    <t>感觉买到假货 比在美国亚马逊的，感觉是假的，冲出来的水感觉完全没过滤的感觉。非常后悔。</t>
  </si>
  <si>
    <t>质量太差 垃圾吧衣服  一次就坏了</t>
  </si>
  <si>
    <t>评论 还没用，先囤着。期待有效果吧</t>
  </si>
  <si>
    <t>测了保温性能再评！ 还没用，是泰国产的，等用了后再做评测！</t>
  </si>
  <si>
    <t>效果挺好 挺不错，等用完看下要不要再买</t>
  </si>
  <si>
    <t>亚马逊中国的衣服材质最好用中文标注 170cm80kg，衣服胸围125，腰围122，M号合适，里面一件衬衫一件毛衫，智能推荐大号，不靠谱。衣服比较厚实，这两天零度左右也没问题。做工一般，线头有点多；价格非常优惠，中国生产的，千里迢迢运去美国再运回来而且含税还比国内便宜好多。</t>
  </si>
  <si>
    <t>衣服比较轻薄，总体一般 衣服比较轻薄，适合夏天，总体一般。</t>
  </si>
  <si>
    <t>鞋子很好 穿了10天，走起路来超级轻盈，面料很好，不像普通的透气鞋那么单薄，纯黑色的跑鞋，买来和工作服衬衫西裤搭起来脚感不错，平常穿40码的运动鞋，7D(M)US穿起来脚感比较紧，但可以接受，很愉快的一次海外购！</t>
  </si>
  <si>
    <t>就按海外的正常码买，不要买大一码的。 全棉，可以买小一码，因为洗2次就大了！ 价格在这里，不要期望过高的打底衫！ 看评论买的L，新的合身，洗2次就变大了，材质太一般吧！ 183，70穿M码就可以了！</t>
  </si>
  <si>
    <t>算下来还是比国内便宜好多 算下来还是比国内便宜不少</t>
  </si>
  <si>
    <t>老婆：你为啥买了8个？！ 8个起售，但是统共三十多块钱，良心价</t>
  </si>
  <si>
    <t>极好的东西，质量好 极好的东西，质量好，非常漂亮</t>
  </si>
  <si>
    <t>合适 这件衣服买的很值 厚度大小都很合适 质量也可以</t>
  </si>
  <si>
    <t>酷酷的杯子 买了好多杯子，最喜欢这只。好看！保温效果也好。内里好像是有涂层的。早上给小孩带一壶温水。直接喝。一天一壶够了</t>
  </si>
  <si>
    <t>需要再另外准备英标三角阀4只 龙头偏大，台盆小的慎重。 需要另购英标三角阀4只才可以安装</t>
  </si>
  <si>
    <t>一米劳 &lt;div id="video-block-RFXYMKF242YWF" class="a-section a-spacing-small a-spacing-top-mini video-block"&gt;&lt;/div&gt;&lt;input type="hidden" name="" value="https://images-cn.ssl-images-amazon.com/images/I/B1V-rIa0yRS.mp4" class="video-url"&gt;&lt;input type="hidden" name="" value="https://images-cn.ssl-images-amazon.com/images/I/91ChDEs0qgS.png" class="video-slate-img-url"&gt;&amp;nbsp;这块一米劳的表用的是天马度NH35机芯，等于日本精工NH35机芯，有停秒的功能，只是我运气不佳，我这块24小时误差20-30秒，不像别人误差就几秒。性价比挺高的，四百多入手，做工挺好，款式非常类似水鬼，一米外看着挺唬人，透低的设计在潜水表里挺少见的，40mm的直径适合各种粗细的手腕，不大也不小，风格白搭。</t>
  </si>
  <si>
    <t>挺好 虽然没有买到双层的，但这个穿着舒适，挺好的。春秋穿。</t>
  </si>
  <si>
    <t>卡西欧 德国发过来的，质量很好，价格也便宜许多</t>
  </si>
  <si>
    <t>商品很好 还不错  不过刚上来不太会操作</t>
  </si>
  <si>
    <t>样子不错，使用体验也好 购买后就带着去尼泊尔爬山， 使用下来体验不错。就是买贵了</t>
  </si>
  <si>
    <t>收货评价 包装盒破损蛮严重的 送人的，有点尴尬。 墨水很不错。love it</t>
  </si>
  <si>
    <t>哈里迷 挺有质感的，个儿挺大的，挂哪里都好看！</t>
  </si>
  <si>
    <t>质量很好，手感舒适。 很好的质量，设计、裁剪也不错。</t>
  </si>
  <si>
    <t>铅芯很软，叠色也特别好。 画人像最好的选择，铅芯很软，叠色也特别好。性价比很高的彩铅</t>
  </si>
  <si>
    <t>不错的扫地机器人 挺好的，很勤劳，每天准时打扫，清洁也算简单。就是还不知道怎么才能看到地图</t>
  </si>
  <si>
    <t>超值 买的s码，166/66kg</t>
  </si>
  <si>
    <t>方便，好用的冲牙器。 便携款比较方便，如果家里建议购买家庭版的，冲洗一次不用加水，便携的需要多次装水，不过还是很喜欢的，一直想给家人再买，一直等不到之前的好价。</t>
  </si>
  <si>
    <t>推荐 给老妈买的，她很喜欢</t>
  </si>
  <si>
    <t>棒球帽 帽子质量很好，做工也挺好，有点浅，尺寸稍小，深一点戴着更有型。</t>
  </si>
  <si>
    <t>太大了 尺寸太大了</t>
  </si>
  <si>
    <t>动静挺大的，吸尘一会就自己停 不知为什么使用过程中漏水。</t>
  </si>
  <si>
    <t>本人172CM 95KG  XL衣服有点偏大偏长 平常不管工装衬衣还是运动装  穿XL正好  本人172CM 95KG  XL衣服有点衣身偏肥  衣袖偏长  肩宽刚好  衣长刚好  海外购又不能换货 只能退货 退货还损失税费运费  划不来 不退了</t>
  </si>
  <si>
    <t>冠军t恤女款 说是黑的，其实不是，是灰的，有色差，和图片描述不一致</t>
  </si>
  <si>
    <t>亚马逊购物需谨慎 前不久在亚马逊首次购买一款“LEE” “Lee 男士 PANTS 双黑 40W x 34L男裤”，由于不了解尺码标准，对方给出的尺码选择和国内标准差别太大，收到货物后发现又长又肥，尺寸与介绍严重不符，电话咨询退换，才知道只退不换，而且运费需要120多元，相当于商品价值的50%，实在让人无法接受。</t>
  </si>
  <si>
    <t>尺码大太多了 衣服价格确实很实惠，不过尺码太夸张了，起码和国内差两个码以上。就是如果正常穿国内大码，那么就得买他们的小码</t>
  </si>
  <si>
    <t>一般般。骗人的 偏大。布料跟照片不一样。不值!价格随时变?我买时350,现318?亏大了!</t>
  </si>
  <si>
    <t>不错 刚拿到手的时候对外观有点失望，但还是你可以接受的。到现在也用了1年多，感觉还不错，走得也挺准，没什么大问题。表带很轻，好像都没带一样。只是最近表带坏掉了，不方便携带就掉了。</t>
  </si>
  <si>
    <t>最少都要买小一号，166mm,92斤。买的小号已经到脚踝了！应该买加小号。小楼梯的时候会拖地上。衣服静电太可怕了！ 最少都要买小一号，166mm,92斤。买的小号已经到脚踝了！应该买加小号。小楼梯的时候会拖地上。衣服静电太可怕了！</t>
  </si>
  <si>
    <t>佩戴舒适，音质尚可 等了十天左右，终于耳机到手，试听了一下，感觉比较适合听纯音乐，特别是单独的器乐演奏表现很好，流行中规中矩没什么特别亮眼的表现，而摇滚等重低音的表现就有些差强人意。本人耳朵比较小最怕耳机佩戴不舒服，不过这款耳机佩戴十分舒适，待久了也没有不舒服的地方。</t>
  </si>
  <si>
    <t>稍微有点小 质量还不错，穿起来也挺舒服的，就是稍微有点小，大一码就非常合适了，但是4件才两百多很值。</t>
  </si>
  <si>
    <t>和国内买的W34L32比起来，确实偏大 和国内买的W34L32比起来，确实偏大，应该买小一号 不过价钱也是算比较优惠的了</t>
  </si>
  <si>
    <t>杯子很满意 保温杯很保温，一般开水能保温一到两天温水最少也可以保温一天！轻巧方便单手可操作！杯子很轻出门携带很好，容量也可以！</t>
  </si>
  <si>
    <t>超爱 颜色十分完美，保温效果可以，总之十分喜欢</t>
  </si>
  <si>
    <t>不知道如何折叠成包 天气热，还没穿。</t>
  </si>
  <si>
    <t>挺合适的。 第二次买这个型号的。挺合适的。</t>
  </si>
  <si>
    <t>很不错 皮质很好，没有异味，家人很喜欢。</t>
  </si>
  <si>
    <t>不错 很不错，前面还有个可以弹jj出来的设计，肯尼亚产。</t>
  </si>
  <si>
    <t>实惠 看着蛮好的，主要实惠啊</t>
  </si>
  <si>
    <t>原来是中国制造 壶很漂亮，容量大，装水有三个容量刻度选择。货到后试用了一下，烧水很快，满意。物流及时，包装好，就是价格贵了。</t>
  </si>
  <si>
    <t>偏监听三频均匀，听钢琴曲的话算入门。 音质素质不错，包耳式隔音较好，耳罩偏小了一点压耳，耳机直接包装盒发货没有多余保护，极其简单。 白牙白开水，是均匀型的没有特别突出的。听民谣是原味的可能是没有音染拉进；纯钢琴曲中频清晰，低频有但反馈不明显；摇滚能清晰分辨乐器而不混，总之信息量十足；电音由于太强烈没听，听民谣 摇滚的木吉他拨弦 研磨悦耳，电吉他和贝斯还原度好叮 叮。以上均为听了一个多月的感受，非玄学人士仅供参考。</t>
  </si>
  <si>
    <t>不错很好 鞋号码大。建议买小办码。鞋子不错很好。</t>
  </si>
  <si>
    <t>非常好很值得购买 非常好很值得购买非常好很值得购买</t>
  </si>
  <si>
    <t>符合我的期待 符合我的期待。有音乐味。但是与它的兄弟音色差别不大。</t>
  </si>
  <si>
    <t>必须推荐 无限回购，用过后再也不换其他的了。</t>
  </si>
  <si>
    <t>跑鞋好性能 很好！下次还想买！</t>
  </si>
  <si>
    <t>偏长 布料稍微硬点</t>
  </si>
  <si>
    <t>很合身 说这条裤子薄的人，你们是平时都不运动的吧，完全不薄，春秋两季的装备，我174cm.110斤，穿s号都非常非常非常的大！！！！这的确是欧美人的尺寸，建议不是胖的不行的人都穿小号。</t>
  </si>
  <si>
    <t>裤袜 很保暖 四川的冬天应该穿一双就够了……看起来不太厚但很暖和，而且穿起来很舒适，身高172 体重110买的L 很合身。</t>
  </si>
  <si>
    <t>合适 穿了两次，感觉舒服。后面的布料弹性太大，容易松</t>
  </si>
  <si>
    <t>Shoes are satisfied Shoes feel light on your feet</t>
  </si>
  <si>
    <t>很喜欢很值 尺码很标准，我平时39，因为脚宽脚背高，买了39.5，很合适哦，皮子很软。没想到脚宽也可以穿，比较激动，哈哈。价格太好，大码福利多多。备着留秋天穿。</t>
  </si>
  <si>
    <t>日常使用价格合适就要囤货啦 日常使用价格合适就要囤货啦</t>
  </si>
  <si>
    <t>质量不行起毛起电 洗了一次，起毛起电厉害，太不值了</t>
  </si>
  <si>
    <t>还可以 尺码偏大，178cm，60公斤，买的m号，略长，偏宽松，我估计买s号合适，就当宽松款穿也凑合，海淘退换货太麻烦。 不过感觉这个棉料的质量一般般。</t>
  </si>
  <si>
    <t>样子很好看，做工一般般 优点：下单五六天就收到，速度非常快 缺点：包裹外面压坏，手表做工一般，开灯会发现内部有一些灰尘（如图），在网上查了一下，卡西欧GA-100,GA-110这些低端型号是中国非无尘车间组装，很多都有进灰，心理平衡了。而且想想英亚退货及其麻烦，就留下了。总体来说，prime到手价505元还是不错的，外观比图片好看，非常潮。</t>
  </si>
  <si>
    <t>质量一般 商品介绍太简单，根本分辨不出材质，买到手才知道比之前买的两个装的质量差很多。不过这款三条和那款两条的价格差不多，也难怪。这款可能是CK内裤最低档的一款，对品质有要求的谨慎购买</t>
  </si>
  <si>
    <t>音箱失真大 买了两只音箱，一只会有明显的失真。</t>
  </si>
  <si>
    <t>质量太差 用了才两个月，就不出水了，好垃圾，还不能修</t>
  </si>
  <si>
    <t>还行 咨询后，还是买小了，还好客服不错.......</t>
  </si>
  <si>
    <t>衣服穿着很合身 衣服很好，洗衣机洗也没问题，就是欧版的袖子过长</t>
  </si>
  <si>
    <t>质地一般 越南产,偏厚.180CM，92KG 穿L号挺合适</t>
  </si>
  <si>
    <t>本人176 80公斤，买的W33L32，腰围有余量，长度偏长，因为是锥型，裤脚正合适，再小一号估计小腿绷着了，海淘买衣服就得需要别人的推荐，供大家参考，裤子有点弹性，材质确实没有店里的好 本人176 80公斤，买的W33L32，腰围有余量，长度偏长，因为是锥型，裤脚正合适，再小一号估计小腿绷着了，海淘买衣服就得需要别人的推荐，供大家参考，裤子有点弹性，材质确实没有店里的好，尤其是裤兜内衬，摸着像塑料布，呵呵呵</t>
  </si>
  <si>
    <t>值得购买 很喜欢，拿在手里有质感，很不错</t>
  </si>
  <si>
    <t>好用 还想再买一个。力推！</t>
  </si>
  <si>
    <t>不错，就是难装 好用，除了国内安装口径不合费老劲之外，别的都很好</t>
  </si>
  <si>
    <t>做工挺好的 很薄很有弹性，在南方可以冬季刚好</t>
  </si>
  <si>
    <t>好质量 薄款冲锋衣。就是颜色和饿了吗制服一样，会被认错。</t>
  </si>
  <si>
    <t>很棒很满意哦 鞋子尺码很满意～软皮的穿着感也比较舒适～光脚正好 穿厚袜子稍稍有点紧 但是穿穿估计会变大一些哒 很酷 把鞋带系紧的话还是挺显腿细哒 物流也很快！预估是9/12到实际8/31就到了！ 我36的脚 买的uk3 给大家参考哦～</t>
  </si>
  <si>
    <t>Lee Uniforms 男式修身直筒 5 袋裤 质量很不错，到货速度也比想象的快，腰围合适，裤长长了些再改吧。</t>
  </si>
  <si>
    <t>完美 颜色厚度棉质完美舒适度好</t>
  </si>
  <si>
    <t>没有味道 看到有人说有味道，我的没有啊。用了一些也没有漏的。感觉质量很不错</t>
  </si>
  <si>
    <t>容量小点 唯一缺点就是容量小，买的时候没注意，以为是原来那种容量</t>
  </si>
  <si>
    <t>不错 质量很好，很舒服又百搭</t>
  </si>
  <si>
    <t>实惠 还不错，有待进一步使用再体验。NFC怎么使用呢？</t>
  </si>
  <si>
    <t>赞物流 这个价位还行。听诊器效果存在。线真的防缠绕呢！要特别赞一下物流。预计是28号到的货，结果10号就到了。哈哈，感觉很幸福呢！</t>
  </si>
  <si>
    <t>特别喜欢 这款👖裤子适合冬季偏大一个码，先买2号太大，让给同事了，再买一条小的</t>
  </si>
  <si>
    <t>…… 手臂位置比较窄，我这种瘦子都觉得哈哈哈，还是hediergen</t>
  </si>
  <si>
    <t>品质好 物流快 亚马逊大法好 直接德国直邮 比预计22号快了一整周 价格比国内划算太多 品质也有保证 运输过程外包装完好。期待安装好后的效果。在实体店看过后再买的 应该没问题。</t>
  </si>
  <si>
    <t>大小很合适！ 第一次在海淘买东西。买的时候还担心号码不合适！今天收到号码很合适！鞋子很轻，皮质柔软！而且比订单显示的时间早到一天！  还有，因为本人脚比较小，所以买的是女款的！非常合适！</t>
  </si>
  <si>
    <t>完美，推荐！ 非常好用，笔很漂亮，低调，精致，法国风格！</t>
  </si>
  <si>
    <t>表盘右下角没有小圆点，那个小圆点是什么 表盘右下角没有小圆点，那个小圆点是什么</t>
  </si>
  <si>
    <t>好 好</t>
  </si>
  <si>
    <t>颜值高 刚装上，还没使用，但是感觉颜值很高，反正合我胃口，卫生间空间小用这个特别适合。物流也很快，本来预计是十月九日到货，结果才下单没几天，国庆前就送到了。</t>
  </si>
  <si>
    <t>明显质量有问题，不如之前 之前买过一次，是盒装，这次买的是塑料袋装，并且有严重的香精味，不知道是真是假。和我之前买的同款比，质量感觉差了很多，一个包装里同尺寸大小竟然还不一样，还要联系客服。上次买的盒子有点破损就算了，真的是对海外购有点失望。 亚马逊需要提高。</t>
  </si>
  <si>
    <t>地摊货 一分价钱一分货，款式太瘦长</t>
  </si>
  <si>
    <t>生锈，腐蚀 趁着黑五，本来想讨个便宜。海外购，比原计划提前了一整周送到，比国内外地买还快，拿到以后就是这么个情况，皮带头腐蚀，生锈，点击退货，还需要打印一堆资料，打印完还要补充信息，干脆不退了，不到100元的东西，不够浪费时间的。下定决心，以后不再从亚马逊上买东西。取消所谓的PRIME资格。</t>
  </si>
  <si>
    <t>包装非常不好！ &lt;div id="video-block-R1AG2GZLOFYSZE" class="a-section a-spacing-small a-spacing-top-mini video-block"&gt;&lt;div tabindex="0" class="airy airy-svg vmin-supported airy-skin-beacon" style="background-color: rgb(0, 0, 0); position: relative; width: 100%; height: 100%; font-size: 0px; overflow: hidden; outline: none;"&gt;&lt;div class="airy-renderer-container" style="position: relative; height: 100%; width: 100%;"&gt;&lt;video id="15" preload="auto" src="https://images-cn.ssl-images-amazon.com/images/I/91J-SFaUd0S.mp4" style="position: absolute; left: 0px; top: 0px; overflow: hidden; height: 1px; width: 1px;"&gt;&lt;/video&gt;&lt;/div&gt;&lt;div id="airy-slate-preload" style="background-color: rgb(0, 0, 0); background-image: url(&amp;quot;https://images-cn.ssl-images-amazon.com/images/I/91ksDQ9L1zS.png&amp;quot;); background-size: contain; background-position: center center; background-repeat: no-repeat; position: absolute; top: 0px; left: 0px; visibility: visible; width: 100%; height: 100%;"&gt;&lt;/div&gt;&lt;iframe scrolling="no" frameborder="0" src="about:blank" style="display: none;"&gt;&lt;/iframe&gt;&lt;div tabindex="-1" class="airy-controls-container" style="opacity: 0; visibility: hidden;"&gt;&lt;div tabindex="-1" class="airy-screen-size-toggle airy-fullscreen"&gt;&lt;/div&gt;&lt;div tabindex="-1" class="airy-container-bottom"&gt;&lt;div tabindex="-1" class="airy-track-bar-spacer-left" style="width: 11px;"&gt;&lt;/div&gt;&lt;div tabindex="-1" class="airy-play-toggle airy-play" style="width: 12px; margin-right: 12px;"&gt;&lt;/div&gt;&lt;div tabindex="-1" class="airy-audio-elements" style="float: right; width: 34px;"&gt;&lt;div tabindex="-1" class="airy-audio-toggle airy-on"&gt;&lt;/div&gt;&lt;div tabindex="-1" class="airy-audio-container" style="opacity: 0; visibility: hidden;"&gt;&lt;div tabindex="-1" class="airy-audio-track-bar" style="height: 80%;"&gt;&lt;div tabindex="-1" class="airy-audio-scrubber-bar" style="height: 85%;"&gt;&lt;/div&gt;&lt;div tabindex="-1" class="airy-audio-scrubber" style="height: 12px; bottom: 85%;"&gt;&lt;/div&gt;&lt;/div&gt;&lt;/div&gt;&lt;/div&gt;&lt;div tabindex="-1" class="airy-duration-label" style="float: right; width: 26px; margin-right: 4px; text-align: center;"&gt;0:00&lt;/div&gt;&lt;div tabindex="-1" class="airy-track-bar-spacer-right" style="float: right; width: 11px;"&gt;&lt;/div&gt;&lt;div tabindex="-1" class="airy-track-bar-container" style="margin-left: 35px; margin-right: 75px;"&gt;&lt;div tabindex="-1" class="airy-track-bar airy-vertical-centering-table"&gt;&lt;div tabindex="-1" class="airy-vertical-centering-table-cell"&gt;&lt;div tabindex="-1" class="airy-track-bar-elements"&gt;&lt;div tabindex="-1" class="airy-progress-bar"&gt;&lt;/div&gt;&lt;div tabindex="-1" class="airy-scrubber-bar"&gt;&lt;/div&gt;&lt;div tabindex="-1" class="airy-scrubber"&gt;&lt;div tabindex="-1" class="airy-scrubber-icon"&gt;&lt;/div&gt;&lt;div tabindex="-1" class="airy-adjusted-aui-tooltip" style="opacity: 0; visibility: hidden;"&gt;&lt;div tabindex="-1" class="airy-adjusted-aui-tooltip-inner"&gt;&lt;div tabindex="-1" class="airy-current-time-label"&gt;0:00&lt;/div&gt;&lt;/div&gt;&lt;div tabindex="-1" class="airy-adjusted-aui-arrow-border"&gt;&lt;div tabindex="-1" class="airy-adjusted-aui-arrow"&gt;&lt;/div&gt;&lt;/div&gt;&lt;/div&gt;&lt;/div&gt;&lt;/div&gt;&lt;/div&gt;&lt;/div&gt;&lt;/div&gt;&lt;/div&gt;&lt;/div&gt;&lt;div tabindex="-1" class="airy-age-gate airy-stage airy-vertical-centering-table airy-dialog" style="opacity: 0; visibility: hidden;"&gt;&lt;div tabindex="-1" class="airy-age-gate-vertical-centering-table-cell airy-vertical-centering-table-cell"&gt;&lt;div tabindex="-1" class="airy-vertical-centering-wrapper airy-age-gate-elements-wrapper"&gt;&lt;div tabindex="-1" class="airy-age-gate-elements airy-dialog-elements"&gt;&lt;div tabindex="-1" class="airy-age-gate-prompt"&gt;This video is not intended for all audiences. What date were you born?&lt;/div&gt;&lt;div tabindex="-1" class="airy-age-gate-inputs airy-dialog-inner-elements"&gt;&lt;select tabindex="-1" class="airy-age-gate-month"&gt;&lt;option value="1"&gt;January&lt;/option&gt;&lt;option value="2"&gt;February&lt;/option&gt;&lt;option value="3"&gt;March&lt;/option&gt;&lt;option value="4"&gt;April&lt;/option&gt;&lt;option value="5"&gt;May&lt;/option&gt;&lt;option value="6"&gt;June&lt;/option&gt;&lt;option value="7"&gt;July&lt;/option&gt;&lt;option value="8"&gt;August&lt;/option&gt;&lt;option value="9"&gt;September&lt;/option&gt;&lt;option value="10"&gt;October&lt;/option&gt;&lt;option value="11"&gt;November&lt;/option&gt;&lt;option value="12"&gt;December&lt;/option&gt;&lt;/select&gt;&lt;select tabindex="-1" class="airy-age-gate-day"&gt;&lt;option value="1"&gt;1&lt;/option&gt;&lt;option value="2"&gt;2&lt;/option&gt;&lt;option value="3"&gt;3&lt;/option&gt;&lt;option value="4"&gt;4&lt;/option&gt;&lt;option value="5"&gt;5&lt;/option&gt;&lt;option value="6"&gt;6&lt;/option&gt;&lt;option value="7"&gt;7&lt;/option&gt;&lt;option value="8"&gt;8&lt;/option&gt;&lt;option value="9"&gt;9&lt;/option&gt;&lt;option value="10"&gt;10&lt;/option&gt;&lt;option value="11"&gt;11&lt;/option&gt;&lt;option value="12"&gt;12&lt;/option&gt;&lt;option value="13"&gt;13&lt;/option&gt;&lt;option value="14"&gt;14&lt;/option&gt;&lt;option value="15"&gt;15&lt;/option&gt;&lt;option value="16"&gt;16&lt;/option&gt;&lt;option value="17"&gt;17&lt;/option&gt;&lt;option value="18"&gt;18&lt;/option&gt;&lt;option value="19"&gt;19&lt;/option&gt;&lt;option value="20"&gt;20&lt;/option&gt;&lt;option value="21"&gt;21&lt;/option&gt;&lt;option value="22"&gt;22&lt;/option&gt;&lt;option value="23"&gt;23&lt;/option&gt;&lt;option value="24"&gt;24&lt;/option&gt;&lt;option value="25"&gt;25&lt;/option&gt;&lt;option value="26"&gt;26&lt;/option&gt;&lt;option value="27"&gt;27&lt;/option&gt;&lt;option value="28"&gt;28&lt;/option&gt;&lt;option value="29"&gt;29&lt;/option&gt;&lt;option value="30"&gt;30&lt;/option&gt;&lt;option value="31"&gt;31&lt;/option&gt;&lt;/select&gt;&lt;select tabindex="-1" class="airy-age-gate-year"&gt;&lt;option value="2019"&gt;2019&lt;/option&gt;&lt;option value="2018"&gt;2018&lt;/option&gt;&lt;option value="2017"&gt;2017&lt;/option&gt;&lt;option value="2016"&gt;2016&lt;/option&gt;&lt;option value="2015"&gt;2015&lt;/option&gt;&lt;option value="2014"&gt;2014&lt;/option&gt;&lt;option value="2013"&gt;2013&lt;/option&gt;&lt;option value="2012"&gt;2012&lt;/option&gt;&lt;option value="2011"&gt;2011&lt;/option&gt;&lt;option value="2010"&gt;2010&lt;/option&gt;&lt;option value="2009"&gt;2009&lt;/option&gt;&lt;option value="2008"&gt;2008&lt;/option&gt;&lt;option value="2007"&gt;2007&lt;/option&gt;&lt;option value="2006"&gt;2006&lt;/option&gt;&lt;option value="2005"&gt;2005&lt;/option&gt;&lt;option value="2004"&gt;2004&lt;/option&gt;&lt;option value="2003"&gt;2003&lt;/option&gt;&lt;option value="2002"&gt;2002&lt;/option&gt;&lt;option value="2001"&gt;2001&lt;/option&gt;&lt;option value="2000"&gt;2000&lt;/option&gt;&lt;option value="1999"&gt;1999&lt;/option&gt;&lt;option value="1998"&gt;1998&lt;/option&gt;&lt;option value="1997"&gt;1997&lt;/option&gt;&lt;option value="1996"&gt;1996&lt;/option&gt;&lt;option value="1995"&gt;1995&lt;/option&gt;&lt;option value="1994"&gt;1994&lt;/option&gt;&lt;option value="1993"&gt;1993&lt;/option&gt;&lt;option value="1992"&gt;1992&lt;/option&gt;&lt;option value="1991"&gt;1991&lt;/option&gt;&lt;option value="1990"&gt;1990&lt;/option&gt;&lt;option value="1989"&gt;1989&lt;/option&gt;&lt;option value="1988"&gt;1988&lt;/option&gt;&lt;option value="1987"&gt;1987&lt;/option&gt;&lt;option value="1986"&gt;1986&lt;/option&gt;&lt;option value="1985"&gt;1985&lt;/option&gt;&lt;option value="1984"&gt;1984&lt;/option&gt;&lt;option value="1983"&gt;1983&lt;/option&gt;&lt;option value="1982"&gt;1982&lt;/option&gt;&lt;option value="1981"&gt;1981&lt;/option&gt;&lt;option value="1980"&gt;1980&lt;/option&gt;&lt;option value="1979"&gt;1979&lt;/option&gt;&lt;option value="1978"&gt;1978&lt;/option&gt;&lt;option value="1977"&gt;1977&lt;/option&gt;&lt;option value="1976"&gt;1976&lt;/option&gt;&lt;option value="1975"&gt;1975&lt;/option&gt;&lt;option value="1974"&gt;1974&lt;/option&gt;&lt;option value="1973"&gt;1973&lt;/option&gt;&lt;option value="1972"&gt;1972&lt;/option&gt;&lt;option value="1971"&gt;1971&lt;/option&gt;&lt;option value="1970"&gt;1970&lt;/option&gt;&lt;option value="1969"&gt;1969&lt;/option&gt;&lt;option value="1968"&gt;1968&lt;/option&gt;&lt;option value="1967"&gt;1967&lt;/option&gt;&lt;option value="1966"&gt;1966&lt;/option&gt;&lt;option value="1965"&gt;1965&lt;/option&gt;&lt;option value="1964"&gt;1964&lt;/option&gt;&lt;option value="1963"&gt;1963&lt;/option&gt;&lt;option value="1962"&gt;1962&lt;/option&gt;&lt;option value="1961"&gt;1961&lt;/option&gt;&lt;option value="1960"&gt;1960&lt;/option&gt;&lt;option value="1959"&gt;1959&lt;/option&gt;&lt;option value="1958"&gt;1958&lt;/option&gt;&lt;option value="1957"&gt;1957&lt;/option&gt;&lt;option value="1956"&gt;1956&lt;/option&gt;&lt;option value="1955"&gt;1955&lt;/option&gt;&lt;option value="1954"&gt;1954&lt;/option&gt;&lt;option value="1953"&gt;1953&lt;/option&gt;&lt;option value="1952"&gt;1952&lt;/option&gt;&lt;option value="1951"&gt;1951&lt;/option&gt;&lt;option value="1950"&gt;1950&lt;/option&gt;&lt;option value="1949"&gt;1949&lt;/option&gt;&lt;option value="1948"&gt;1948&lt;/option&gt;&lt;option value="1947"&gt;1947&lt;/option&gt;&lt;option value="1946"&gt;1946&lt;/option&gt;&lt;option value="1945"&gt;1945&lt;/option&gt;&lt;option value="1944"&gt;1944&lt;/option&gt;&lt;option value="1943"&gt;1943&lt;/option&gt;&lt;option value="1942"&gt;1942&lt;/option&gt;&lt;option value="1941"&gt;1941&lt;/option&gt;&lt;option value="1940"&gt;1940&lt;/option&gt;&lt;option value="1939"&gt;1939&lt;/option&gt;&lt;option value="1938"&gt;1938&lt;/option&gt;&lt;option value="1937"&gt;1937&lt;/option&gt;&lt;option value="1936"&gt;1936&lt;/option&gt;&lt;option value="1935"&gt;1935&lt;/option&gt;&lt;option value="1934"&gt;1934&lt;/option&gt;&lt;option value="1933"&gt;1933&lt;/option&gt;&lt;option value="1932"&gt;1932&lt;/option&gt;&lt;option value="1931"&gt;1931&lt;/option&gt;&lt;option value="1930"&gt;1930&lt;/option&gt;&lt;option value="1929"&gt;1929&lt;/option&gt;&lt;option value="1928"&gt;1928&lt;/option&gt;&lt;option value="1927"&gt;1927&lt;/option&gt;&lt;option value="1926"&gt;1926&lt;/option&gt;&lt;option value="1925"&gt;1925&lt;/option&gt;&lt;option value="1924"&gt;1924&lt;/option&gt;&lt;option value="1923"&gt;1923&lt;/option&gt;&lt;option value="1922"&gt;1922&lt;/option&gt;&lt;option value="1921"&gt;1921&lt;/option&gt;&lt;option value="1920"&gt;1920&lt;/option&gt;&lt;option value="1919"&gt;1919&lt;/option&gt;&lt;option value="1918"&gt;1918&lt;/option&gt;&lt;option value="1917"&gt;1917&lt;/option&gt;&lt;option value="1916"&gt;1916&lt;/option&gt;&lt;option value="1915"&gt;1915&lt;/option&gt;&lt;option value="1914"&gt;1914&lt;/option&gt;&lt;option value="1913"&gt;1913&lt;/option&gt;&lt;option value="1912"&gt;1912&lt;/option&gt;&lt;option value="1911"&gt;1911&lt;/option&gt;&lt;option value="1910"&gt;1910&lt;/option&gt;&lt;option value="1909"&gt;1909&lt;/option&gt;&lt;option value="1908"&gt;1908&lt;/option&gt;&lt;option value="1907"&gt;1907&lt;/option&gt;&lt;option value="1906"&gt;1906&lt;/option&gt;&lt;option value="1905"&gt;1905&lt;/option&gt;&lt;option value="1904"&gt;1904&lt;/option&gt;&lt;option value="1903"&gt;1903&lt;/option&gt;&lt;option value="1902"&gt;1902&lt;/option&gt;&lt;option value="1901"&gt;1901&lt;/option&gt;&lt;option value="1900"&gt;1900&lt;/option&gt;&lt;/select&gt;&lt;div tabindex="-1" class="airy-age-gate-submit airy-submit airy-button airy-submit-disabled"&gt;Submit&lt;/div&gt;&lt;/div&gt;&lt;/div&gt;&lt;/div&gt;&lt;/div&gt;&lt;/div&gt;&lt;div tabindex="-1" class="airy-install-flash-dialog airy-stage airy-vertical-centering-table airy-dialog airy-denied" style="opacity: 0; visibility: hidden;"&gt;&lt;div tabindex="-1" class="airy-install-flash-vertical-centering-table-cell airy-vertical-centering-table-cell"&gt;&lt;div tabindex="-1" class="airy-vertical-centering-wrapper airy-install-flash-elements-wrapper"&gt;&lt;div tabindex="-1" class="airy-install-flash-elements airy-dialog-elements"&gt;&lt;div tabindex="-1" class="airy-install-flash-prompt"&gt;Adobe Flash Player is required to watch this video.&lt;/div&gt;&lt;div tabindex="-1" class="airy-install-flash-button-wrapper airy-dialog-inner-elements"&gt;&lt;div tabindex="-1" class="airy-install-flash-button airy-button"&gt;Install Flash Player&lt;/div&gt;&lt;/div&gt;&lt;/div&gt;&lt;/div&gt;&lt;/div&gt;&lt;/div&gt;&lt;div tabindex="-1" class="airy-video-unsupported-dialog airy-stage airy-vertical-centering-table airy-dialog airy-denied" style="opacity: 0; visibility: hidden;"&gt;&lt;div tabindex="-1" class="airy-video-unsupported-vertical-centering-table-cell airy-vertical-centering-table-cell"&gt;&lt;div tabindex="-1" class="airy-vertical-centering-wrapper airy-video-unsupported-elements-wrapper"&gt;&lt;div tabindex="-1" class="airy-video-unsupported-elements airy-dialog-elements"&gt;&lt;div tabindex="-1" class="airy-video-unsupported-prompt"&gt;&lt;/div&gt;&lt;/div&gt;&lt;/div&gt;&lt;/div&gt;&lt;/div&gt;&lt;div tabindex="-1" class="airy-loading-spinner-stage airy-stage"&gt;&lt;div tabindex="-1" class="airy-loading-spinner-vertical-centering-table-cell airy-vertical-centering-table-cell"&gt;&lt;div tabindex="-1" class="airy-loading-spinner-container airy-scalable-hint-container"&gt;&lt;div tabindex="-1" class="airy-loading-spinner-dummy airy-scalable-dummy"&gt;&lt;/div&gt;&lt;div tabindex="-1" class="airy-loading-spinner airy-hint" style="visibility: hidden;"&gt;&lt;/div&gt;&lt;/div&gt;&lt;/div&gt;&lt;/div&gt;&lt;div tabindex="-1" class="airy-ads-screen-size-toggle airy-screen-size-toggle airy-fullscreen" style="visibility: hidden;"&gt;&lt;/div&gt;&lt;div tabindex="-1" class="airy-ad-prompt-container" style="visibility: hidden;"&gt;&lt;div tabindex="-1" class="airy-ad-prompt-vertical-centering-table airy-vertical-centering-table"&gt;&lt;div tabindex="-1" class="airy-ad-prompt-vertical-centering-table-cell airy-vertical-centering-table-cell"&gt;&lt;div tabindex="-1" class="airy-ad-prompt-label"&gt;&lt;/div&gt;&lt;/div&gt;&lt;/div&gt;&lt;/div&gt;&lt;div tabindex="-1" class="airy-ads-controls-container" style="visibility: hidden;"&gt;&lt;div tabindex="-1" class="airy-ads-audio-toggle airy-audio-toggle airy-on" style="visibility: hidden;"&gt;&lt;/div&gt;&lt;div tabindex="-1" class="airy-time-remaining-label-container"&gt;&lt;div tabindex="-1" class="airy-time-remaining-vertical-centering-table airy-vertical-centering-table"&gt;&lt;div tabindex="-1" class="airy-time-remaining-vertical-centering-table-cell airy-vertical-centering-table-cell"&gt;&lt;div tabindex="-1" class="airy-vertical-centering-wrapper airy-time-remaining-label-wrapper"&gt;&lt;div tabindex="-1" class="airy-time-remaining-label" style="visibility: hidden;"&gt;&lt;/div&gt;&lt;div tabindex="-1" class="airy-ad-skip" style="visibility: hidden;"&gt;&lt;/div&gt;&lt;div tabindex="-1" class="airy-ad-end" style="visibility: hidden;"&gt;&lt;/div&gt;&lt;/div&gt;&lt;/div&gt;&lt;/div&gt;&lt;/div&gt;&lt;div tabindex="-1" class="airy-learn-more" style="visibility: hidden;"&gt;&lt;/div&gt;&lt;/div&gt;&lt;div tabindex="-1" class="airy-play-toggle-hint-stage airy-stage airy-cursor"&gt;&lt;div tabindex="-1" class="airy-play-toggle-hint-vertical-centering-table-cell airy-vertical-centering-table-cell airy-cursor"&gt;&lt;div tabindex="-1" class="airy-play-toggle-hint-container airy-scalable-hint-container"&gt;&lt;div tabindex="-1" class="airy-play-toggle-hint-dummy airy-scalable-dummy"&gt;&lt;/div&gt;&lt;div tabindex="-1" class="airy-play-toggle-hint airy-hint airy-play-hint" style="opacity: 1; visibility: visible;"&gt;&lt;/div&gt;&lt;/div&gt;&lt;/div&gt;&lt;/div&gt;&lt;div tabindex="-1" class="airy-replay-hint-stage airy-stage" style="visibility: hidden;"&gt;&lt;div tabindex="-1" class="airy-replay-hint-vertical-centering-table-cell airy-vertical-centering-table-cell airy-cursor"&gt;&lt;div tabindex="-1" class="airy-replay-hint-container airy-scalable-hint-container"&gt;&lt;div tabindex="-1" class="airy-replay-hint-dummy airy-scalable-dummy"&gt;&lt;/div&gt;&lt;div tabindex="-1" class="airy-replay-hint airy-hint"&gt;&lt;/div&gt;&lt;/div&gt;&lt;/div&gt;&lt;/div&gt;&lt;div tabindex="-1" class="airy-autoplay-hint-stage airy-stage" style="visibility: hidden;"&gt;&lt;div tabindex="-1" class="airy-autoplay-hint-vertical-centering-table-cell airy-vertical-centering-table-cell airy-cursor"&gt;&lt;div tabindex="-1" class="airy-autoplay-hint-container airy-scalable-hint-container"&gt;&lt;div tabindex="-1" class="airy-autoplay-hint-dummy airy-scalable-dummy"&gt;&lt;/div&gt;&lt;/div&gt;&lt;/div&gt;&lt;/div&gt;&lt;/div&gt;&lt;/div&gt;&lt;input type="hidden" name="" value="https://images-cn.ssl-images-amazon.com/images/I/91J-SFaUd0S.mp4" class="video-url"&gt;&lt;input type="hidden" name="" value="https://images-cn.ssl-images-amazon.com/images/I/91ksDQ9L1zS.png" class="video-slate-img-url"&gt;&amp;nbsp;438买一个水牙线，从美国寄过来，都没有用纸箱包一下，就这样破破烂烂，水牙线箱子都压扁了不给退货，说不属于商品质量问题，垃圾</t>
  </si>
  <si>
    <t>裤子稍微大 买了两件同号的这款有点大，质量还可以</t>
  </si>
  <si>
    <t>蜡笔大桶装 蜡笔较细，涂的时候会掉屑，一般吧</t>
  </si>
  <si>
    <t>一般般 1、笔很轻。 2、是EF的，不是特别顺滑。 3、笔管有点松。 总体来说和身价相符。没有我同事凌美F尖的顺滑。可能是太细了。</t>
  </si>
  <si>
    <t>同事喜欢 同事喜欢，有让买</t>
  </si>
  <si>
    <t>样子不错面料一般 以后看到经典两个字就可以判定为超长，肩宽还算合适，170 65kg s码除了长到包臀其它还好，面料不贴身光面的，厚度捎厚排汗性能不行，出汗很久不干</t>
  </si>
  <si>
    <t>很好很方便 有把手，吸盘吸力很足，不错</t>
  </si>
  <si>
    <t>很好的一支笔，有手感 EF真的不是很细，挺合适的，笔尖稳，写字舒服</t>
  </si>
  <si>
    <t>好 鞋子很轻很软很舒服。</t>
  </si>
  <si>
    <t>CK牛仔裤 质量很好，价格也很优惠，喜欢</t>
  </si>
  <si>
    <t>最好的材质 现在的孩子好幸福 产品做到良心 这是给孩子的第二个了</t>
  </si>
  <si>
    <t>质量不错 鞋子不算肥，号码比较准，质量还行，比较满意</t>
  </si>
  <si>
    <t>好 合适的礼物，舒服的感觉，有型的裤子</t>
  </si>
  <si>
    <t>一米劳 真的不错，对的起这个价格，性价比超级高</t>
  </si>
  <si>
    <t>不错的衣服 质量可以，不错，面料可以，穿着舒服</t>
  </si>
  <si>
    <t>好 不错，很轻，女士随意单手掂锅，不怎么粘锅，很满意v</t>
  </si>
  <si>
    <t>很好 送老婆的，布料很好，不褪色，很安全，值得信赖</t>
  </si>
  <si>
    <t>很好的鞋 鞋子款式很好看，价格还可以，现在买不到这款式了，好难过。</t>
  </si>
  <si>
    <t>质量很好 穿一个夏天，质量没任何问题，款式非常好。177cm,74kg,大小合适。</t>
  </si>
  <si>
    <t>东西不错 买给女儿的，女儿很喜欢。</t>
  </si>
  <si>
    <t>长袖 其它的都不错，就是脖子有点紧。</t>
  </si>
  <si>
    <t>184.100kg，XL 价格很好，但是做工不怎么样。腰的松紧有点硬，184.100kg，XL号码合适</t>
  </si>
  <si>
    <t>竟然是三赠一！ 竟然是三赠一！页面也没提示，瞬间感觉中了一个亿</t>
  </si>
  <si>
    <t>整体还可以 衣服布料很好，薄抓绒，做工一般，拉上拉链口袋有点对不齐，标准的美式粗糙。本人185,92.5KG，比较健壮，L码衣长可以，肩部过大，袖子巨长。整体还可。</t>
  </si>
  <si>
    <t>很合适，穿着合脚，后跟很软 非常好，穿着脚很合适</t>
  </si>
  <si>
    <t>音质好 音质非常好，但是需要一个好的前端，手机就算了</t>
  </si>
  <si>
    <t>有趣的按压式 挺有趣的按压设计，我决定每个商品都写评论</t>
  </si>
  <si>
    <t>奇怪的鞋子 我的脚宽，且肉，但不是那种特宽特肉的，稍微有点吧，最近减肥瘦了20斤，脚上肉也少了，我就买小了一码，穿上脚上显得特别的长，像男士鞋，舒适度？买小了一码还是好大好长，宽度不够，压的很，反正我的脚是不能穿啦。</t>
  </si>
  <si>
    <t>鞋子过大 看上这双鞋子很久了，两个星期左右到货，速度还算可以。看很多评论说鞋子偏窄，于是买大了半码39.5，然后就悲剧了。现在只能垫鞋垫穿厚袜子。估计平时39的脚应该买38.5。鞋子款式很喜欢，奈何大得走路都费劲，海淘就是这点糟糕。建议大家专柜试鞋再下手，哭……</t>
  </si>
  <si>
    <t>偏大 九分裤 毡毛 偏大 有点短 粘毛</t>
  </si>
  <si>
    <t>一次不好的网购体验 质量太差了，一次很不好的网购体验，拿到手完全地摊货的感觉！真不敢相信这会是亚马逊自营的产品！</t>
  </si>
  <si>
    <t>质量有点堪忧啊 感觉不像真的 线头那么多 怀疑是假的 质量一般般</t>
  </si>
  <si>
    <t>有缺陷 日亚买的，盖子上有个明显的缺口</t>
  </si>
  <si>
    <t>还不错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</si>
  <si>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质量一般 商品质量： 1、黏胶不紧密，较粗燥，多处有脱胶现象。 2、皮质较单薄（厚度小于0.5mm），多处有疑是龟裂的现象，与穿了10余年的靴子皮子厚度比较，不像是全粒面头层牛皮。 3、内衬较单薄，耐磨性一般。 4、商品产地;中国，无出厂日期。 配送服务： 亚马逊物流一如既往的好。</t>
  </si>
  <si>
    <t>还行 给老公买的，质量一般，和佐丹奴的内衣质量差不多，这个价位要求不能太高。</t>
  </si>
  <si>
    <t>面料还可以 36A，相当于国内80A~80B，下围有些紧</t>
  </si>
  <si>
    <t>尺码偏大 发过来的是欧码42的，270mm，相当于国码44，后跟部位也有点宽。平时穿42码的，这个穿着偏大，不爽</t>
  </si>
  <si>
    <t>不错 和我在某宝买的包装、味道：颜色都有区别，可能之前买到假货了。</t>
  </si>
  <si>
    <t>不错 不错，挺修身的！性价比高</t>
  </si>
  <si>
    <t>非常好 特别好</t>
  </si>
  <si>
    <t>好 很轻，喜欢</t>
  </si>
  <si>
    <t>货正、好用 眼霜很好用</t>
  </si>
  <si>
    <t>鞋很好 很舒服 特别好 和商场专柜的一样 很舒服 而且物流提前邮到 第一次在亚马逊买 很好 继续会回购的！</t>
  </si>
  <si>
    <t>版型挺好 面料似乎不适合冬天单穿，会吸在腿上；版型挺好</t>
  </si>
  <si>
    <t>质优价格实惠 质量很好，开启锁闭都很方便，保温性能很好</t>
  </si>
  <si>
    <t>舒适透气 非常舒适，这是购买第三件了。为了能经常穿这款，日常衣服已经不再挑选开领较大较低的了。没有胸垫内衬，非常透气，适合广东这个长期夏天的地方。希望帮助塑型的话不要考虑。本人平时32A，底围70不到，此款穿75B基本也合身</t>
  </si>
  <si>
    <t>不错的鞋 舒服有运动鞋的感觉</t>
  </si>
  <si>
    <t>42码，正好 大小合适，宽窄脚感都符合逾期</t>
  </si>
  <si>
    <t>这款产品值得拥有 这款产品我个人非常满意，特别是水箱容量够大，不用多次装水</t>
  </si>
  <si>
    <t>腰很高，穿着舒适 棉质的高腰内裤，穿着很舒适。打算加购。</t>
  </si>
  <si>
    <t>保温好 保温效果好，外观精美</t>
  </si>
  <si>
    <t>信任亚马逊海外购 Swisse 家的产品还是可以的，这款是澳大利亚生产的，够吃几个月。</t>
  </si>
  <si>
    <t>没有使用说明书 面条机器收到，很小巧，也好用，试了一下，不好控制和面时的软硬度。没有使用说明书，是不是漏发了？ 摇把已经拿不下来了，卡死在压面片的地方，没法挪地方压成条儿了。 刚打电话给亚马逊客服，客服说买外购商品是没有保修的，只有一个月的退换期。</t>
  </si>
  <si>
    <t>关于我选择的尺码 体重120身高165，穿l很合适，m应该也可以穿，不过不会像l宽松</t>
  </si>
  <si>
    <t>非常保温！ 很保温！</t>
  </si>
  <si>
    <t>一般 性价比不高，价格有点贵</t>
  </si>
  <si>
    <t>不错 德国人的严谨一向令人敬佩，无论笔身如何旋转，最后都会朝向笔尖的方向！ 个人感觉鼻尖稍微宽了些，但这并不妨碍书写的顺滑。 墨囊直接使用的黑色，墨水颜色很均匀，容易干燥且出水均匀流畅。 重量很轻，但是笔身较粗，估计女生用会有些吃力。美中不足的是笔身的材质总让人感觉配不上这个价格。</t>
  </si>
  <si>
    <t>很漂亮的袜子。 买来送人的，发现是男款。。。。</t>
  </si>
  <si>
    <t>有点掉漆 保温效果好，中国制作，高22㎝和图片中不符合，掉漆</t>
  </si>
  <si>
    <t>有味道 用了这么久了，杯子还是有味道，而且挺大的。之前抱着100分的信任没有注意，今天用小孩被子喝水发现味道好大。假冒伪劣还是就这样？不值这个价格！！！</t>
  </si>
  <si>
    <t>有点小失望，没有达到预期效果 两年了第一次换刀头，结果有点小失望，要剃干净必须用手拉着脸，还得来回剃几次</t>
  </si>
  <si>
    <t>鞋子有些窄 平时穿41的鞋子，这次也是41，鞋子长度是够了，就是有点窄。其余都还不错</t>
  </si>
  <si>
    <t>太甜了！ 虽然口味上比on有臭臭的感觉有进步，但是真的是太甜了！</t>
  </si>
  <si>
    <t>质量差 三个月就坏了，质量堪忧，我还是很宝贝的在用</t>
  </si>
  <si>
    <t>糟糕的客服 商品质量如其他买家所述。差评给中亚客服，捣浆糊搞到客户头上了。</t>
  </si>
  <si>
    <t>烂透了 买到就是坏的，退货也坑，烂透了</t>
  </si>
  <si>
    <t>物有所值 小朋友非常喜欢</t>
  </si>
  <si>
    <t>裤腿长 裤腿长，适合腿长的美女</t>
  </si>
  <si>
    <t>安全和效果 香草冰淇淋口味没有巧克力好</t>
  </si>
  <si>
    <t>效果不是多明显 效果不是多明显。</t>
  </si>
  <si>
    <t>偏小 一般，100元果然买不到好东西</t>
  </si>
  <si>
    <t>好 碗不错，还有个吸管，孩子可以吸着吃的。碗的设计好，吸管能藏在碗里。</t>
  </si>
  <si>
    <t>海淘果然赞 非常好，比预想的快四天就送到手了。速度快，装在无敌狮里快拍连拍无障碍!</t>
  </si>
  <si>
    <t>值得拥有 大小合适，质量可靠，性价比较高。</t>
  </si>
  <si>
    <t>不错的裤子 没穿过专柜的，但是这个价格的这种质量已经可以了。170，130斤，31的腰围刚刚好。版型还是稍偏肥一点点，还是满意的</t>
  </si>
  <si>
    <t>不错 没用过别的奶瓶，感觉还不错</t>
  </si>
  <si>
    <t>纯棉 纯棉，老妈鉴定过，手感超级好，大小合适。刚刚洗完，等着老公评价</t>
  </si>
  <si>
    <t>ok 非常好的一双鞋，大小合适，舒适透气！</t>
  </si>
  <si>
    <t>好大一瓶啊 包装完好，快递很快，据说液体的钙吸收比较好</t>
  </si>
  <si>
    <t>服装很好，尺码也很适合 由于是海外购，之前看了之前的美国买家的留言，她们觉得这款夹克的尺码偏小，还一直担心。但是当我收到夹克后，穿着上身后，对于这款夹克很满意非常适合我。</t>
  </si>
  <si>
    <t>舒适 样式设计合理，穿着舒适，准备再买一件。</t>
  </si>
  <si>
    <t>还不错，看起来很帅 穿起来也很舒服</t>
  </si>
  <si>
    <t>很合身 很合身，尺寸正好，褲形也不錯</t>
  </si>
  <si>
    <t>非常喜欢 除了稍微大了点，其他的都非常好！ 也很暖和 棒棒棒</t>
  </si>
  <si>
    <t>奶瓶 小侄儿很喜欢的样子，用起来也舒适，很不错的小奶瓶</t>
  </si>
  <si>
    <t>鞋子非常不错，很满意 非常好</t>
  </si>
  <si>
    <t>赞！ 漂亮、精致，做工、质量杠杠的，保温效果杠杠的，中午12点灌进去的85度的开水，在20度左右的室温下，到了晚上8点打开，还烫的进不了嘴，超级满意！</t>
  </si>
  <si>
    <t>性价比高 速度有时快，有时慢，性价比高，大块头，不过插电脑用不了，不知怎么弄，后将硬盘部分格式化 变换格式，就ok。不过插MAC就没反应</t>
  </si>
  <si>
    <t>买鞋必须亚马逊 绝对正品，比唯品会买的同款做工好太多了，感觉超值</t>
  </si>
  <si>
    <t>good 鞋子总体来说还是不错的，PUMA鞋子市面上很少有卖的，只有亚马逊上有这些款，以后可以长期考虑在这购买了</t>
  </si>
  <si>
    <t>合适 挺好的，跟想象中一样好。布料质地舒适、合体。</t>
  </si>
  <si>
    <t>好 &lt;div id="video-block-R1LHTUMK9DWLBM" class="a-section a-spacing-small a-spacing-top-mini video-block"&gt;&lt;/div&gt;&lt;input type="hidden" name="" value="https://images-cn.ssl-images-amazon.com/images/I/91qMJmlASmS.mp4" class="video-url"&gt;&lt;input type="hidden" name="" value="https://images-cn.ssl-images-amazon.com/images/I/716l6+VTkyS.png" class="video-slate-img-url"&gt;&amp;nbsp;边边角角不会擦的到位，但是整体都干净了许多，解放人力</t>
  </si>
  <si>
    <t>和中国版有区别，中国版穿3XL的，这个穿L都估计大了 按照中国版购买，结果完全不能穿，按照正常腰围购买就对了</t>
  </si>
  <si>
    <t>好像是假货 觉得是假货，底裤缝制都是歪的！</t>
  </si>
  <si>
    <t>亚马逊很划算 无语了这鞋，完全歧视高脚背……37码，长度长半码，楞是穿不进去。鞋口太小，压脚背压的难受，没想象中的那么好，好看是好看，亚马逊买的也很便宜</t>
  </si>
  <si>
    <t>总体OK 皮面有小刮痕，总体情况还可以，老穿这个牌子，鞋子还是挺舒服的</t>
  </si>
  <si>
    <t>做工差 180，75，穿m，洪都拉斯产的做工太差，像地摊货。</t>
  </si>
  <si>
    <t>版型太紧了 版型太紧了...本人正常身型</t>
  </si>
  <si>
    <t>中国造 底部中文写着美国设计中国制造中国组装，什么鬼。才用了没几次就频繁出现故障，机子后退打转</t>
  </si>
  <si>
    <t>尺码偏大 买大了，质量还不错。</t>
  </si>
  <si>
    <t>刀片棒设计不合理，清洁不着 做东西还不错，发现有一个问题，切碎器的刀头塑料棒，里面的脏东西清理不到，很脏，问了淘宝的客服，说是就是那么设计的，没法彻底清理。给宝宝做辅食，觉得不卫生。希望其他人借鉴。打了客服，一直占线。照片上黑色的部分。用了一年了。</t>
  </si>
  <si>
    <t>有点薄 大小合适，料子有点薄，这个价钱就这样了</t>
  </si>
  <si>
    <t>比较中庸的一支笔 颜值不错；笔身塑料感强；笔尖素质不错，书写流畅，吐墨均匀；书写有涩感，不像lamy狩猎的无脑滑，但略逊色于手里金尖的百乐92和英雄800。结合活塞储墨量，以及轻盈的笔身，日用推荐。</t>
  </si>
  <si>
    <t>衣服太大，请注意。 衣服非常好，如果不是尺寸太大，我就很喜欢了。我身高171厘米，买的是S号，衣身、衣袖都太长。</t>
  </si>
  <si>
    <t>夏天必备 夏天必备，一点痕迹没有</t>
  </si>
  <si>
    <t>5折入手，性价比特别高。 新住老房子，水压特别小，原来是海尔热水器赠送的花洒。本来水就不大，再加上陈年水垢洗澡感觉没水出来。索性来个大换新，入了飞雨120再加上3M淋浴过滤器，效果一下子出来了。对了，小水压记得不要装截流网。  其实我感觉问题就是水垢堵了，买这个应该只是想剁手了…🤣</t>
  </si>
  <si>
    <t>达到心理预期 女声和民乐表现更好，希望听一段时间更上一层楼，没刻意煲，本本直推，解码器和耳放正在DIY中</t>
  </si>
  <si>
    <t>好评 质量不错大小刚刚好。</t>
  </si>
  <si>
    <t>特别好用，值得入手。 清洁牙缝很干净，刚开始可以用低挡位，适应之后中档位刚好，基本没有出血情况；冲完之后口腔会有点干，可适量饮水补充。产品配备4个冲头，但基本上只用了一个；充电很人性化，充电头贴合到机身即可。如果携带出行，还是稍重稍大了点。用了几个月下来，最大的感受就是之前这么多年的牙都白刷了，此物你值得拥有！</t>
  </si>
  <si>
    <t>舒服，值得入手 舒服，才穿可能要磨合，但是越穿越舒服，现在还想入手一双，不知道多久才有货</t>
  </si>
  <si>
    <t>改善便秘 这个比那个要冲泡的方便，适合有咀嚼能力的娃.</t>
  </si>
  <si>
    <t>包裹性强 弹性好，包裹性强。我1.68米，体重130斤，穿着正好！</t>
  </si>
  <si>
    <t>值得拥有 非常好的耳机，降噪功能也很理想！</t>
  </si>
  <si>
    <t>不愧是笔中之王 笔尖非常顺滑，螺旋上墨水非常好！写字时一点都不堵墨</t>
  </si>
  <si>
    <t>鞋子不错 这双鞋挺好的，比国内买便宜一半，牛津底很耐磨，就是穿久了会变形，可能是脚太大缘故</t>
  </si>
  <si>
    <t>第一双ecco 不错，很轻很舒服，uk7 670入手，还一点说明，之前海淘的其乐uk7是eu41,这个ecco uk7对应的eu40，差点小了</t>
  </si>
  <si>
    <t>尺码正常 平常38的，这双买的uk5刚好，尺码正合适</t>
  </si>
  <si>
    <t>值得出手。 非常好，十天到货，我可是在大美新疆。优点：1，安静，高速。2，虽是海淘，但性价比高，质量有保证。缺点：新版discwizp软件上手不易，琢磨了三天才搞定分区。谁让咱守着XP系统不放呢！</t>
  </si>
  <si>
    <t>很好的裤子 一直买这一款牛仔裤，版型好，显瘦，喜欢</t>
  </si>
  <si>
    <t>素质很高的一款耳机！ 听了快100多个小时了，买的耳放还在路上，只能开启老虎卡的300欧档听，首先解析的确很高，但还没达到超越一圈四铁入耳耳塞的程度，作为动圈，已经非常不错了，听感上的确如大多数人所说，有点直白，毕竟是监听，这个不能算缺点，买的就是监听耳机。再就是乐器背景声音感觉有点大，有时感觉盖过人声了，有点喧宾夺主的感觉，按理说，应该是突出人声为主啊，也有可能是要上一个好点的耳放吧。再就是有一点，戴眼镜的人士如果要戴着眼镜听，耳朵会有些不舒服，估计头戴的都有这个毛病吧，其他都还比较满意！</t>
  </si>
  <si>
    <t>美术用品 非常好，墨西哥产地</t>
  </si>
  <si>
    <t>超值 听黑胶用的，赶上特价真超值，买了两个没想到分别快递，一开始就到了一个，还以为买错了</t>
  </si>
  <si>
    <t>优 除了体积有点大外，其余都好。</t>
  </si>
  <si>
    <t>喜欢 包装外观（快递纸盒）看起来很好，但是里面挺空的减震只有一张揉皱的纸，送来里面晃荡得厉害。另外ghd的盒子没有塑料包装或密封条啥的，直接能打开不知道是就这样还是被别人撕掉了，ghd的黑色盒子表面也不是特别新，有磨痕不过边角完好没有磕碰。特意选的德国直邮，插口国内可以直接用，非常方便。是platinum plus版，试用了一下没问题。总体来说满意，只是盒子没有塑料封，可能被别人打开过心里有点别扭，还是先给五星</t>
  </si>
  <si>
    <t>合身 身高178体重170买的L号，可以的！！！</t>
  </si>
  <si>
    <t>T恤 衣服有些大，质量很好。送货很快</t>
  </si>
  <si>
    <t>一天吃三颗，太多了。 一天吃三颗，太多了。另外有点肠胃刺激。效果还凑合。希望能出效果更好，每天只吃一颗的。对肠胃没刺激的。</t>
  </si>
  <si>
    <t>运动鞋40.5 穿起稍大 透气性暂时感觉还一般 ￥490购入 买贵了  看个人喜好哪方面  感觉不是很好看</t>
  </si>
  <si>
    <t>东西不错 东西不错，但是看吊牌猜测不是正品。</t>
  </si>
  <si>
    <t>海淘电子产品售后风险很高 希捷硬盘购买后出故障无法在国内保修。希捷，中国不提供转保服务，亚马逊保一个月。购买需谨慎。</t>
  </si>
  <si>
    <t>拿到手第一印象，粗糙的纤维，略厚。 穿在身上，偏大，粗糙不舒服，和地摊货没什么区别。</t>
  </si>
  <si>
    <t>衣服好评 客服差评 衣服挺不错的 这一颗星给亚马逊的客户服务，非常差</t>
  </si>
  <si>
    <t>总体还是可以的。 箱体设计不是很理想，偏大了些。音质、音色、解析等就不讲了，有很多消费者已经说明了。 我要说的是，这对音箱似乎被人拆开过，背后螺丝口有光亮，有磨损的痕迹。如果是消费者拆后退回的，那就是人渣了。我拆开包装都是小心翼翼的，生怕有问题需要退货，把东西拆烂了就不好了。如果是官方，好像找不出理由。不过没听出什么问题……我想看看里面少了什么或换了什么，不敢拆，也不会拆，但是有些担心。 先听听吧，实在不行就只有换货了……</t>
  </si>
  <si>
    <t>非常合适 超级合适，感觉这个颜色比黑色更洋气</t>
  </si>
  <si>
    <t>版型偏大 衣服是不错，但是版型和码数偏大。我90kg，1.75m，体型偏胖，平时都是穿XL，这衣服选的L还是大了，偏长偏肥，175的个子选M的应该合适。</t>
  </si>
  <si>
    <t>真皮，高品质产品 真皮，很结实，品质不输大牌！</t>
  </si>
  <si>
    <t>不错 包装没有破损，东西很不错。一直在吃</t>
  </si>
  <si>
    <t>比较超值 120多一件正版的，感觉很超值了。做工还行，总体上对得起这个价格~话说A货都不止这个价钱。</t>
  </si>
  <si>
    <t>安德玛粉 一直购买安德玛的衣服。卓越的海外淘还是非常不错的，比海淘还便宜。鞋子非常的好穿，NB和AD一般穿42.5。安德玛买43，穿着合适，包裹性不错。。。还有就是价格太美丽了。</t>
  </si>
  <si>
    <t>好 以前从不去评价，这是我买这个牌子的衣服好几件了，很不错。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</si>
  <si>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有点大 有点大，不过当成低腰的也还算合适</t>
  </si>
  <si>
    <t>性价比高 美国亚马逊寄来，差不多十几天吧，和我请朋友从韩国带的一样，关键还比那便宜，很好。</t>
  </si>
  <si>
    <t>手感好 握在手里的感觉相当不错，使用后再追评吧</t>
  </si>
  <si>
    <t>174，136穿日版l合适。 日版的champion比美版的要合身一些，舒服一些，上身效果很好</t>
  </si>
  <si>
    <t>大金婊 一秒钟变土豪啊 大金婊 一秒钟变土豪啊</t>
  </si>
  <si>
    <t>戴着挺不错 喜欢这种比较简约的设计，而且德国博朗的品质还是值得信任的。表也薄，戴着挺合适的。</t>
  </si>
  <si>
    <t>锅子质量非常好，就是尺寸配锅盖麻烦 锅子很棒很滑，四口之家大小合适。红点技术天天用的上，看标志可放洗碗机。就是28mm是指锅子外沿，内沿其实才27左右，由于原配不带盖子，自己买的28mm的盖子，不是很贴合，国内锅子一般是内沿28mm的</t>
  </si>
  <si>
    <t>收腹效果可以 收腹效果不错，质量也不错。就是黑色那条会轻微褪色</t>
  </si>
  <si>
    <t>很帅的一双鞋 穿着很舒服，脚长254穿着很合适。价格很实惠</t>
  </si>
  <si>
    <t>进口正宗品质 非常实用</t>
  </si>
  <si>
    <t>物流快 从美国亚马逊发货，8天到，包装很简单，但货品完好，满意</t>
  </si>
  <si>
    <t>其貌不扬但极其舒适的文胸 刚拿到手的时候有点失望：只有薄薄的软趴趴的一层，材料特别节约，心想日本人也太小气了吧。等穿上身才发现，材料少是为了舒适透气，边缘没有线缝所以完全没有压迫感，真的舒服得像没穿一样，哦不，比没穿还要舒服，因为有被温柔包裹的感觉。只要把搭扣搭在紧一些的位置不要太松，胸型还是不错的。为舒适健康着想，决定把以后全部换成这种无钢圈的了。</t>
  </si>
  <si>
    <t>收电波快，走时准。 &lt;div id="video-block-RAVQRR217LTR2" class="a-section a-spacing-small a-spacing-top-mini video-block"&gt;&lt;/div&gt;&lt;input type="hidden" name="" value="https://images-cn.ssl-images-amazon.com/images/I/B1Y68DPHyYS.mp4" class="video-url"&gt;&lt;input type="hidden" name="" value="https://images-cn.ssl-images-amazon.com/images/I/A1cCkNSQ0xS.png" class="video-slate-img-url"&gt;&amp;nbsp;实用，好用。</t>
  </si>
  <si>
    <t>略贵，但质量没的说 一点都不会松，很好用，感觉略贵</t>
  </si>
  <si>
    <t>一流 外形简洁流畅，握笔感觉非常棒</t>
  </si>
  <si>
    <t>好用 喷水很好，有一定的增压作用。</t>
  </si>
  <si>
    <t>真的 皮带不错，就是眼儿不够，需要自己去外面打眼儿</t>
  </si>
  <si>
    <t>不耐穿 穿到现在已经全坏了 有破孔有脱线 和沃尔玛简适质量差不多</t>
  </si>
  <si>
    <t>缩水了 质地柔软，很舒适。物流比较慢整整十天，洗了一次缩水了。</t>
  </si>
  <si>
    <t>薄 薄啊，连秋裤的厚度都没有。</t>
  </si>
  <si>
    <t>女儿很喜欢 很好的水杯。。。。。。。</t>
  </si>
  <si>
    <t>假的 不出意外这只应该是假的派克  严重漏墨  笔头也很不工整  别买这个浪费钱</t>
  </si>
  <si>
    <t>差，差 华丽的外表，浑浊的音质，太糟糕透了，打脸马歇尔这个品牌了，差！</t>
  </si>
  <si>
    <t>还可以 做工较好，身高186，体重210，袖长正好，略有些大</t>
  </si>
  <si>
    <t>穿着舒服 买的S的，还是显得大了，尤其下摆过长了，可能是我偏瘦的原因吧。衣服真是好，下次再入手几件。</t>
  </si>
  <si>
    <t>还可以 版型不错，腰围有弹性，不错。</t>
  </si>
  <si>
    <t>很好 等了一个礼拜才在某天的深夜看到诱惑，立马下单，然后第二天继续显示无货， 这帽子，，看到帽子尺寸，以为会比较浅。。收到后非常适合，本来打算咸鱼出了，，，结果到手以后居然舍不得了，哈哈， 在某宝入了两顶类似的山寨，都有点浅，最后退货</t>
  </si>
  <si>
    <t>还可以 买了两个，一个薄一个厚</t>
  </si>
  <si>
    <t>满意 上脚一段时间了，总结一下。比较重，开始确实磨脚踝，穿了厚袜子加创可贴度过的磨合期。新百伦穿40，买的7e,长度正好，但对我过宽了。鞋带需要扎紧，否则不跟脚。现在磨合的差不多了。穿正常袜子，不磨脚踝，也跟脚了，感觉会越穿越舒服的。</t>
  </si>
  <si>
    <t>很棒 鞋子大小合适，快递速度很快，超赞，比国内专柜便宜不少，呵呵</t>
  </si>
  <si>
    <t>还不错 牙刷毛没有想象中硬 不错</t>
  </si>
  <si>
    <t>好 就信任这个牌子的益生菌，亚马逊的时候服务还是不错的，就是物流信息要是能更详细就更方便了</t>
  </si>
  <si>
    <t>不错 满意. 轻巧的杯子 方便夏天短途出门携带</t>
  </si>
  <si>
    <t>弹性非常好 布料弹性很好，甚至像运动裤。裆部跟一般牛仔裤不一样，更耐穿</t>
  </si>
  <si>
    <t>尺寸问题 裤子不错，就是中国的尺寸和国外的尺寸弄不清，不敢多买，包括衣服尺码，不知道哪个尺寸适合自己，万一偏大偏小，快递不方便，扔掉浪费</t>
  </si>
  <si>
    <t>感觉还可以 正品，收波成功，第一次亚马逊购物，不错</t>
  </si>
  <si>
    <t>不错 为父母买的，这个牌子的产品信的过</t>
  </si>
  <si>
    <t>满意 很满意的一次购物，手表很薄很轻，大小适中，戴着很舒服。</t>
  </si>
  <si>
    <t>很好的冷水滤水壶 通过海外购渠道买的，物流速度还算可以。外盒有些破损，里面没有问题，英亚的包装还是比不过日亚。价格比国内类似产品当然优惠得多了。滤芯质量也挺好。滤芯英国产，没用过国产的所以没法对比。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</si>
  <si>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好用 很好用，中国产的广州</t>
  </si>
  <si>
    <t>穿鞋感受 平时运动鞋穿36码，有时候也能穿35码，这个尺码长度正好，宽度稍微有点窄，还算合适，主要是价格合适。</t>
  </si>
  <si>
    <t>非常好~~ 12号下单 刚刚收到 除了外面的箱子稍微有点坏了（估计是过海关得看吧里面的盒子是一点问题都没有  大小也合适 我买的是 7m Big K 的 在咱国内买是41的鞋  至少目前没有任何问题</t>
  </si>
  <si>
    <t>舒适 身高180，体重85公斤，穿M号略为偏小，不过喜欢修身的版本，建议还是穿M号。舒适度可以。</t>
  </si>
  <si>
    <t>宝宝辅食盒 还没用，感觉质量应该不错，自己挺喜欢的，给宝宝冻辅食。但是说明书上没写可不可以开水消毒清洗，只是说可是洗碗机洗，微波炉用，应该是可以的吧。</t>
  </si>
  <si>
    <t>dt880 发货很快,包装很好,真的是物有所值,声音很棒.</t>
  </si>
  <si>
    <t>有点大 买过这个品牌的其他款式，这个号貌似大一点，胳膊那有海绵，比其他款舒适。</t>
  </si>
  <si>
    <t>给母亲买的，也是预防吧 母亲上了年纪，关节有些问题，买来给她试试，她也问过医生，说可以吃。</t>
  </si>
  <si>
    <t>非常好 非常满意，同价位第一。什么大牌不大牌统统是浮云</t>
  </si>
  <si>
    <t>很好 皮较厚，印度产，配牛仔裤帅，做工精细，满意，</t>
  </si>
  <si>
    <t>非常好的鞋子 穿着舒适透气轻便，跑步很好。</t>
  </si>
  <si>
    <t>差強人意 QC已經檢測品质不良，貼上黃标。但最終还是发货…真的很無语！</t>
  </si>
  <si>
    <t>脚背高的会比较压脚 长度合适，但脚背那里比较低，脚背高的会比较压脚。鞋底硬。</t>
  </si>
  <si>
    <t>质量一般的衬衫 虽然Lee是名牌，但这是孟加拉生产的，钮扣处有些地方有线头。是春秋薄款，尺码比我国的偏大。70%的棉，质量一般。</t>
  </si>
  <si>
    <t>漏渣子 囤放了一年使用，现在打开使用发现过滤的水是蓝色的，而且有黑色渣子，什么质量啊！太差了。</t>
  </si>
  <si>
    <t>太垃圾 海盗船把外表做多坚固但是内部实在是太脆弱了 接口处 生命不超过3个月就完蛋了 而且是正常使用的前提下</t>
  </si>
  <si>
    <t>旧盒子 还少了笔 第一次海购这么不满意，买来收到的盒子是很旧的，打开里面的颜色笔少了12支，132支变成了120支，还有12支颜色是重复的。退货 准备重新买 …有点拍再买到这样的…</t>
  </si>
  <si>
    <t>好锅！保养好能用一百年。 3.8kg！真的可以拿来锻炼了！下单到到手十天左右，速度还可以。就是包装较简单，直接用纸包着外面再套个纸箱，拿到手时有些少刮花，应该不碍事 。最不满意是手柄那里刮花了有点生锈了！！看图片。最后想问问如何开锅，感觉上面有一层漆，你们是不是全部刮掉？？为什么不能上传图片？</t>
  </si>
  <si>
    <t>还不错 了结一个心愿 感觉比去年专柜要瘦。。我确实是胖了</t>
  </si>
  <si>
    <t>吸管不好 塑料味十足……搞得宝宝都不喝</t>
  </si>
  <si>
    <t>布料不错，稍微贴身 质量不错，微微有点少少的弹性，布料穿了比较舒服柔顺，有点像女士的紧身牛仔裤布料。款式偏修身，裤脚较紧贴，不是直筒型哦！本来想买直筒的，看在布料不错分上就算了（主要是退换费用吓死人）对了，颜色偏深，没图片上那么白，更接近浅蓝。 172/140穿30腰身裤长都刚好，两百多算是超值，前提是正品的话哈！ 难得写这么多，给后来者参考下，本来亚马逊评论就不多了，不互相参考，根本买不来。</t>
  </si>
  <si>
    <t>还可以 贵了点 还行吧不错有点硬 有点贵</t>
  </si>
  <si>
    <t>基本满意 第一次日亚，东西里面包装还可以，塑封后还有皮筋牢固，外包装箱就差点，收到货时都破损了。里面的货都快掉出来了…以为买的是打底裤，实际是连裤袜，本人165，114斤，M-L号偏大，裤子有点长，穿上去压力感不大，特别是脚脖子那毫无压力，脚脖子和袜子之间还有很大空隙。质量是不错，穿上挺舒服的。里面是黑绒的。日亚比其他地买便宜。一周就到了。</t>
  </si>
  <si>
    <t>很不错 实物颜色不像图片那么鲜艳，应该接近暗紫色，但也觉得很不错。</t>
  </si>
  <si>
    <t>物美价廉 海外购到手，带了几个月了，实心钢带，石英表。也比较省心，做工绝对对得起价位。</t>
  </si>
  <si>
    <t>好 非常好，朋友很喜欢！</t>
  </si>
  <si>
    <t>质量不错 质量非常不错。。。。</t>
  </si>
  <si>
    <t>质量不错，性价比高。 平常穿40.5的篮球鞋，脚长26cm，买的US8，正合适。</t>
  </si>
  <si>
    <t>好评 正品！很喜欢。很潮不落伍！穿衣很搭。</t>
  </si>
  <si>
    <t>杯子 很喜欢，也信任亚马逊。</t>
  </si>
  <si>
    <t>很满意 166/102，选xs，合身，稍长一点点</t>
  </si>
  <si>
    <t>好用 很好用！随心所欲的烧到想要的温度</t>
  </si>
  <si>
    <t>物流，卓越的硬伤！ 商品打5分，卓越服务打1分。 收到后查了是帝捷行货，耳机品质网上已有很多专业评论，相信大家买之前都是做过功课的。煲机中，暂时不做评论。 在卓越上购物不少了，网购大件或是贵重商品，一般就它了。但这次感觉有两点不爽： 1.可能厂家已改过包装了，2011款的包装里已经没有皮包送，但卓越的商品说明里还是没改过来。 2.就是物流，这个可以说是卓越的硬伤了。临时有事，想与物流人员沟通一下送货时间。系统显示包裹已在站，但打物流电话他们说还没到，打卓越电话客服又让我自己找物流。尼玛做客服你屈才了，应该向卡马乔推荐你！ 以后会转向易迅和京东了。特别是易迅，一天三送：晚上下的单，第二天早上送到；早上下的单，中午送到；下午3点前的单晚上送到。而且系统里可以查到物流人员的姓名和电话，可以直接沟通。可以说，单就物流这方面，甩卓越几条街了！</t>
  </si>
  <si>
    <t>nas用 nas用仓库盘，非常好</t>
  </si>
  <si>
    <t>很划算的 很好，很赞，很划算。。。</t>
  </si>
  <si>
    <t>线坏了，更换 很好。以前从不去评价，不知道浪费了多少积分，现在知道积分可以换钱，就要好好评价了，后来我就把这段话复制走了，既能赚积分，还省事，走到哪复制到哪，直接发出就可以了，推荐给大家！！</t>
  </si>
  <si>
    <t>满意 款式经典，低调，走时准确，除了快递慢，其他都好！</t>
  </si>
  <si>
    <t>ok 挺好买小一码正合适。</t>
  </si>
  <si>
    <t>不错 165cm，46kg大小正合适</t>
  </si>
  <si>
    <t>好看，就是鞋垫太滑 好看是好看的，确实也比较大，长短码数和自己正常鞋差不多，就是太肥了显得大。软的很，舒服。唯一就是鞋垫真的滑</t>
  </si>
  <si>
    <t>超级好 鞋子样式好看，穿得舒服，皮质超级舒软，满分</t>
  </si>
  <si>
    <t>质量很好 尺码偏大，质量很好。</t>
  </si>
  <si>
    <t>尺寸，质地都不错 完美，价格也不错，皮马棉很舒适</t>
  </si>
  <si>
    <t>好东西，就是太有份量了 买完洗碗机后一不小心就种了这草了，终于拔了</t>
  </si>
  <si>
    <t>2016年4月24日购买，到现在用了不到2个月已经坏了，不能使用了，郁闷中，没有地方可以保修和投诉 2016年4月24日购买，到现在用了不到2个月已经坏了，不能使用了，郁闷中，没有地方可以保修</t>
  </si>
  <si>
    <t>家人用 目前没啥效果</t>
  </si>
  <si>
    <t>包装差劲！ 包装太差了，都破了，机器外观也有损伤！还好没坏！</t>
  </si>
  <si>
    <t>mac支持太恶心了 第一次也很有可能是最后一次用wd！实在太难用了！！</t>
  </si>
  <si>
    <t>太太太太大 200块钱，如果退货，就给74块，衣服过大，又没法穿，等着捐给别人吧</t>
  </si>
  <si>
    <t>总体还行 皮带可以，相信Timberland的品质，跟预期一样！</t>
  </si>
  <si>
    <t>尺码合适 感觉没啥特别的。不太值。</t>
  </si>
  <si>
    <t>盒子有打开过痕迹  内盒塑料有破损 仪器全新 使用没问题 收到两边标签撕掉了一边 可能是海关查的 塑料底垫破碎了  仪器是新的  用了没啥大毛病 出光口的挡板是松的 摇晃有声音 国内不需要转换插头</t>
  </si>
  <si>
    <t>偏大一点 偏大一点，国内80B，选的80B就偏大，75A也可以</t>
  </si>
  <si>
    <t>性价比还可以，不错 性价比还可以，不错不错！</t>
  </si>
  <si>
    <t>不错 很舒服，不错！以后还会买。</t>
  </si>
  <si>
    <t>颜色细腻 易上色 很好很强大 太喜欢了！虽然等了十来天 也值了！</t>
  </si>
  <si>
    <t>早餐一下子有高级的感觉了 用起来顺手，清洗也方便，适合早晨匆匆忙忙的节奏。</t>
  </si>
  <si>
    <t>不过敏 比纽康特好，宝宝爱吃。</t>
  </si>
  <si>
    <t>好用 发的新包装的，用了两年的花王了，用过别的，最后还是用回花王的。</t>
  </si>
  <si>
    <t>杯子很漂亮 日本亚马逊的包装真的很好！杯子非常漂亮，尺寸也很满意，只是才买好还没发货就降了20块，价格浮动有点太大了，不是很满意。</t>
  </si>
  <si>
    <t>吸管杯 给同事的宝宝，很喜欢，现在这款都是我国制造了</t>
  </si>
  <si>
    <t>推荐 从最早接触mx500，到创新air，k450，ie80，大馒头，hd650，ue18，索尼a3，z5，除了定制的ue18，佩戴方面这款最舒适，就像大家说的高中音可以，低音很散，不过这个价位也超值了。</t>
  </si>
  <si>
    <t>小巧美观 和家里厨房里水龙头连接时，发现水龙头和滤水器相接的接口处都是外螺纹，需要一个单独的内螺纹转接环组合连接在一起才能使用，需要卖家提供！ 急需....如下图</t>
  </si>
  <si>
    <t>全新的大容量硬盘，稳定高效 第二次购买了，价格算是优势，回来之后也检查过，全新原装，速度稳定，很不错的东西 建议另外购买硬盘包进行保护</t>
  </si>
  <si>
    <t>挺好的 挺好的，没有异味。用消毒锅消毒了，还没发现什么变化。看盒子上的说明应该可以蒸汽消毒。</t>
  </si>
  <si>
    <t>保温相当给力 这种直接拧的保温效果很好，头天下午装的，到了第三天还有温度，真不错 比星巴克那个好用多了，但是因为保温效果太好，喝不上嘴啊，下次还是买带小杯子的那种比较好</t>
  </si>
  <si>
    <t>喜欢 平时穿165或中码，这款购S码大小正合适。</t>
  </si>
  <si>
    <t>价格不错 非常舒适 老婆很喜欢  穿着非常舒适 就像没穿什么一样</t>
  </si>
  <si>
    <t>还不错 173,65KG。买的S号，还比较合身</t>
  </si>
  <si>
    <t>不错的产品 东西确实质量不错，比想象的好很多。</t>
  </si>
  <si>
    <t>觉得挺好的 1.物流很快，下单一周就收到了；2.鲁大师的结果见图，显示未使用过。</t>
  </si>
  <si>
    <t>完美 合适 第一次穿都不磨脚</t>
  </si>
  <si>
    <t>卡西欧F-108WHC-7ACF 手表是正品，质量比想象中要好，就是不知道在中国能保修吗？表盖下面写中国制造。</t>
  </si>
  <si>
    <t>超值小音箱 非常棒的一对小箱子，我是在买了它家的一体式蓝牙音箱后再入手这对的。在桌面摆好后可轻易表现出小型的音场，人声非常凝聚。对于3吋低音的两分频音箱来说，高中低音的表现不过不失，色彩中性。从家用来说，抬升它音箱的角度是必需的。用原配的线材连接比蓝牙具有更好音质和响度。我很有兴趣用更好的第三方线材试试。sc203比它更悦耳，但论性价比，还是这对小箱子完胜。另一个令我印象深的是，左右音箱的连接线真粗……这也是保证音质的有效措施</t>
  </si>
  <si>
    <t>没怎么吃 东西很好，但是没怎么吃</t>
  </si>
  <si>
    <t>好用 好用，热得快，确实有护发效果，不毛躁</t>
  </si>
  <si>
    <t>怀疑买了一个假货 首先这个衣服掉颜色，用温水洗了三次还有颜色在，质量很一般，尺寸本人80KG  172cm  胸围100cm.就袖子长了，整体大小还合适</t>
  </si>
  <si>
    <t>脚底儿厚 长短合适，美中不足脚底儿太厚，只能冬天穿了</t>
  </si>
  <si>
    <t>小偷太多 车线不公整 好多好多线头 真看不出是出自Lee</t>
  </si>
  <si>
    <t>褪色 第一次给一颗星，褪色严重。</t>
  </si>
  <si>
    <t>评论 感觉像假的，和实体店的比，不够软</t>
  </si>
  <si>
    <t>不值这个价 一般般，没有想象中那么好，底噪还是有，个子太大</t>
  </si>
  <si>
    <t>还不错 颜色很好看，比图片浅，只是，鞋面偏高，同品牌的另外一双就很合适，这双就空空的，明明都是一个码</t>
  </si>
  <si>
    <t>不太稳定 黑五买的收到挺惊喜。但今天用的时候写入速度是有6m+，不知道电脑问题还是硬盘问题。取消传输时反应也挺慢，内伤。</t>
  </si>
  <si>
    <t>质量不错 质量不错，再修身一点就完美了</t>
  </si>
  <si>
    <t>面料薄 面料比较薄 181/80穿M感觉比较紧身……感觉是亚洲码</t>
  </si>
  <si>
    <t>性价比高 氦气盘，7.27gb，5400转，256mb缓存。性价比高，唯一缺点是震动较大。</t>
  </si>
  <si>
    <t>很舒服，一点不刺激 很舒服，一点不刺激。</t>
  </si>
  <si>
    <t>性价比很高的一款剃须刀 性价比高的一款剃须刀，噪音也在可以接受的范围!</t>
  </si>
  <si>
    <t>练字神器 笔尖超滑，M型号出水正好。练字神器。笔形设计大气稳重，重量适中，商务居家皆宜。好笔！</t>
  </si>
  <si>
    <t>贵了 牙刷头不错，只是价格越来越贵</t>
  </si>
  <si>
    <t>好用 一直在用，性价比不错。</t>
  </si>
  <si>
    <t>舒适的保暖内衣。 穿着舒适，尺码很正。就是衣服长度有点长。</t>
  </si>
  <si>
    <t>机器棒棒的 有些小插曲 结果很满意😀 亚马逊可以的 给赞 机器很好用 做了面包 面条 都很成功 烘焙好帮手</t>
  </si>
  <si>
    <t>满意，挺好的商品。 一直在穿。合体，舒适。以后遇到好价还会回购！</t>
  </si>
  <si>
    <t>质量很好 质量做工精良，柔软有弹性，小一码也毫无问题因为有弹性，腰围买的稍大了一点，好品质没的说，very good！</t>
  </si>
  <si>
    <t>很不错 喜欢这个发货速度，质量也可以</t>
  </si>
  <si>
    <t>11 很好，以前从不去评价，不知道浪费了多少积分，现在知道积分可以换钱，就要好好评价了， 这条评论对您有用吗?</t>
  </si>
  <si>
    <t>牙刷 用了还不错，刷牙也舒服</t>
  </si>
  <si>
    <t>杯子不是无线的… 速度还算快 不过我以为杯子是无线的 原来是我想多了</t>
  </si>
  <si>
    <t>非常值得购买！ 是正品！做工精细、握笔舒适、轻重合适、书写顺畅、价格合理。</t>
  </si>
  <si>
    <t>性价比可以 裤子对得起这个价格，尺寸合适。</t>
  </si>
  <si>
    <t>尺寸合适 176cm  71kg,购买的32*32,尺寸正好。</t>
  </si>
  <si>
    <t>包 很不错的小包</t>
  </si>
  <si>
    <t>找到了 就是一直在找的，纯棉、高腰，舒服</t>
  </si>
  <si>
    <t>不错鞋号可以 平时耐克穿42.5的 这次踢不烂买的9US 整好。 不错 大小合适 刚穿时候就是脚面哪里有点硌得慌，穿了3天习惯了就好了 没感觉了。鞋很有分量 很结实 上现场干活不怕踢到 磕到 碰到了 不怕踩钉子了。</t>
  </si>
  <si>
    <t>东西虽贵却很值 很好很好，可以用精品去形容</t>
  </si>
  <si>
    <t>不错 穿着面料舒服，基本合身，屁股稍显肥</t>
  </si>
  <si>
    <t>书写不流畅，没什么特别 这个产品相当于中国十五年前的产品，现在在中国市场已经很难买到这种圆珠笔了。便宜，书写不流畅，定位为会议室忘带笔一次使用，但其实很浪费，破坏环境，所以感觉没定位的产品。不建议买。亚马逊不要老是把国外过时的产品通过海外购扔到中国，我理解为处理库存的方式。包括之前的tommy钱包，RMB都放不下，印度产，比中国的钱包不知道差多少，我猜是tommy多少年的库存。亚马逊很多海外购给我们“新鲜”的内容，谢谢先，但也很多“库存”</t>
  </si>
  <si>
    <t>做工一般 做工一般，比想象中差！</t>
  </si>
  <si>
    <t>样子挺可爱，不过笨笨的。 样子挺可爱，不过笨笨的。</t>
  </si>
  <si>
    <t>尺码买小了 尺码太难选，身高182体重75买的s码小了，有没有买了m码大的换下，或者原价出了</t>
  </si>
  <si>
    <t>太太太大了 按照推荐的尺码，再参照了评论，已经比正常选小了一码，拿到后试试，超级大，不能换货，退货还要贴钱，只能差评了，也是第一次差评啊！这个尺码参照表也太坑人了吧！</t>
  </si>
  <si>
    <t>图文不符 第一次买，发过来和图片不一样，退货后重新买，发过来和图片还是不一样的鞋子…… 图片放错了吧</t>
  </si>
  <si>
    <t>好像不是真皮 随便蹭了一下皮就破了，感觉不是真皮，性价比不高，样子还可以。</t>
  </si>
  <si>
    <t>价格便宜 适合冬天穿 尺码偏大 很便宜，羊毛的，适合冬天穿。 但真的又又又偏大了。 最近在美亚买的鞋子、衣服都偏大。</t>
  </si>
  <si>
    <t>包装太差 耳机音质真的很棒，但是 发过来的 包装很久很烂，觉得不是全新的 ，而且250欧如果没有前级推的话 只用电脑手机 是推不动的 。所以退了换ath m50x了</t>
  </si>
  <si>
    <t>比650EE鞋楦的鞋子小半码 特别注意：比650EE鞋楦的鞋子小半码（也就是说这个是danner正常鞋码）一般我都穿8ee的鞋子配合danner的蓝色厚鞋垫刚好富裕1手指宽度，这个8.5也这样刚好也一样。 优点大家都知道我就不说了 +缺点：扣星 1、通病金属部分会生锈，因此每次上油的时候顺便抹上就能解决了 2、皮比较硬，比较磨脚，建议先上油软化再穿比较好 3、白色的线··············以及会跑偏的鞋舌</t>
  </si>
  <si>
    <t>大了点 身高175cm，体重77kg，XL至少大了一码。</t>
  </si>
  <si>
    <t>不错 鞋不错，比国内实惠，我脚265穿Uk8正好，</t>
  </si>
  <si>
    <t>比较满意 178，63，研究半天买了30/32的，到手之后对颜色造型质感满意，就想要这种上班能穿又不是西裤的裤子。但因为是有点低腰所以腰还略有点紧的，长度稍微长了一点点，31/31应该更合适，31/32也行</t>
  </si>
  <si>
    <t>体感好 送LP大人的，性价比不错，对着急用的商品建议海外购</t>
  </si>
  <si>
    <t>期待效果 还没有食用，应该不错吧</t>
  </si>
  <si>
    <t>货真价实 很好！和美国买回的一样！赞！</t>
  </si>
  <si>
    <t>ecco徒步鞋，总体还好 14号下单，23号到重庆，比较快。颜色比图片略深，不过也还好。大小合适，没穿过ecco的户外徒步鞋，希望能和其他鞋子一样完美体验。系带和鞋舌处简洁，不知道是否一样有gore面料，鞋底轻便，希望耐久和耐磨</t>
  </si>
  <si>
    <t>非常舒适 这双鞋非常舒服，价格也很合适</t>
  </si>
  <si>
    <t>超值 比专柜省了不是一丁半点，只要了解自己的尺寸，还是划算的，因为是海外购，所以时间上有点长</t>
  </si>
  <si>
    <t>满意 应该是真皮，有味道，可能是皮的味道？满意</t>
  </si>
  <si>
    <t>好 一次拍了两件  一件ML  一件L  两个颜色  都很赞  结果都不舍得退  就两件都留下了  很好  很合身  180cm  85kg</t>
  </si>
  <si>
    <t>保温效果好 很好用，保温效果强劲</t>
  </si>
  <si>
    <t>质量好 品质好，鞋稍大</t>
  </si>
  <si>
    <t>皮鞋 皮鞋可以，稍微有点大</t>
  </si>
  <si>
    <t>喜欢 喜欢～刚买回来，小家伙洗好多遍手</t>
  </si>
  <si>
    <t>期待效果 感觉挺实在的，好大一瓶。这个的包装比天猫的全一些，多了外面一层塑料薄膜，还有瓶盖里的一层膜，味道差不多。</t>
  </si>
  <si>
    <t>音质不错 秒杀价还行，音质也不错，不过功率偏小，只能用作很近距离的监听。</t>
  </si>
  <si>
    <t>欧标与国标 冷热水管的接头需要另外配，欧标看起来是3分接口，国标都是4分接口。货很好</t>
  </si>
  <si>
    <t>满意的群表型号肆酒叁 轻，冬天戴着不冰手，舒适。6局电波，太阳能，反显，肆酒叁的值得买群表，满意！</t>
  </si>
  <si>
    <t>👍🏻 很好，比国内便宜太多了</t>
  </si>
  <si>
    <t>不错 老婆162高，100斤，穿着刚刚好，做工也不错</t>
  </si>
  <si>
    <t>酸 看成分非常好就是口感很酸我孩子不吃</t>
  </si>
  <si>
    <t>会脱色 洗了两次就脱色，发红</t>
  </si>
  <si>
    <t>衣服版型不适合不好 172/75，衣服整体过长</t>
  </si>
  <si>
    <t>三星评价 越南产，手感很好，有点磨毛的感觉。肩膀宽了半号，袖子长，身子短，保暖性不如抓绒衣，不推荐</t>
  </si>
  <si>
    <t>XL 我真的搞不清楚了，国外的尺寸也是很乱的，相同的尺码有的牌子正好，有的就大，有的就小。这个问题都出现在了LEE上。这个衣服明显有些大了，和我以前在国外买的XXL的尺码一样。例外我还买了LEE的牛仔裤，40/32的明显大，38/30有明显小。而我在国外买的levi’s的38/30就正好合身。这里有什么问题吗？是谁在里面搞了什么毛事！</t>
  </si>
  <si>
    <t>质量严重有问题的而且亚马逊还不给换 这个垃圾亚马逊 垃圾希捷 保修期内坏掉的硬盘两家互相推脱 三方一起通话 希捷让找亚马逊，亚马逊要我自己想办法 非常差的购物体验 祝您早日离开中国</t>
  </si>
  <si>
    <t>衣服太长长长长 这款衣服版型比较奇怪，偏长，本人167/63，这衣服s码肩宽刚好，胸围紧绷着，但是下摆已经快到裆部下面了，要是买的m得当裙子穿，非常尴尬，同一时间买的拉夫劳伦，hugo bosss码正好。。。。</t>
  </si>
  <si>
    <t>24CM珐琅锅 开锅了，做了一次炖排骨，味道不错，是个好锅</t>
  </si>
  <si>
    <t>感觉一般 方太水槽洗碗机用这个好像感觉一般</t>
  </si>
  <si>
    <t>大小合适，加热后，锅很烫，要注意防烫 刚开了锅还没用</t>
  </si>
  <si>
    <t>年轻化入门级光动能的首选 整体来说是一次完美的海淘购物体验。 表符合我的预期，就是以前不戴表的，现在戴表了有点不太适应。要不就是过松，要么就是劲，反正不太舒适。</t>
  </si>
  <si>
    <t>除了出厂原包装，没有运输包装，到货原包装破损严重! 除了出厂原包装，没有运输包装，到货原包装破损严重!本想退货，想了一下太麻烦，当快递人员的面检查发现机器配件都在，赠送的胶囊14个也在，也没破损，就拿回家试用，还好没问题。希望商家在运输过程中多考虑一下'。</t>
  </si>
  <si>
    <t>物有所值 到手很快，硬盘本身品质不错的，性价比高。</t>
  </si>
  <si>
    <t>味道还不错 蛮好的，和产品描述一样，儿子说是橙子味的，这瓶吃好，如果效果不错，会继续囤货😊</t>
  </si>
  <si>
    <t>满意 尺码很准，颜色中性，男女都可以。</t>
  </si>
  <si>
    <t>很不错得笔。 物流也很快，亚马逊客户很热情负责，钢笔也很赞，很愉快的一次购物经历！</t>
  </si>
  <si>
    <t>超值。舒服 最喜欢ecco了，非常舒服，鞋垫随脚型，鞋底也比同类的鞋子软，超值</t>
  </si>
  <si>
    <t>效果好 一共买了两台 价格非常好 但是快递一个是从威斯康星发的另外一个是从香港发的 但东西都一样 不错 第一次用八档下门牙牙龈有些出血 现在用了四五次了好了 感觉尽量开高一点档节目冲洗后效果更好能感觉得到的</t>
  </si>
  <si>
    <t>很喜欢这个咖啡机 很喜欢，快递速度也快，每天都在用。小小的咖啡机，提升生活幸福指数，点赞👍</t>
  </si>
  <si>
    <t>鞋码标准，穿着舒适 之前穿ECCO 41码的皮鞋，ASICS 8.5码的运动鞋，这次选41码，还担心有点小，结果正好😊；鞋穿着舒适，值得推荐！</t>
  </si>
  <si>
    <t>真香中 低音爱好者  从潜99转过来 逐渐真香中  低音没有很大区别  但还是比潜99好不少的  但中高音强了不止一星半点</t>
  </si>
  <si>
    <t>适合脚胖的人 好看 适合脚胖的人</t>
  </si>
  <si>
    <t>不错 不错的产品</t>
  </si>
  <si>
    <t>秒杀代购 非常好，朋友推荐这个牌子，日本发货，比代购便宜多了，正品好用。</t>
  </si>
  <si>
    <t>质量好 质量好，不掉绒。就是袖子略长</t>
  </si>
  <si>
    <t>感觉好 轻便柔软舒适的保暖衣</t>
  </si>
  <si>
    <t>磨脚问题能不能解决 右脚有点磨脚，但是总体感觉质量还好。</t>
  </si>
  <si>
    <t>非常棒的体验 很好，非常喜欢，龙头很重，有点吃惊，实打实用料。</t>
  </si>
  <si>
    <t>很好 材质偏硬，好在尺寸刚好。 不错</t>
  </si>
  <si>
    <t>非常轻薄舒适 上身非常舒服舒适，适合夏天穿着！</t>
  </si>
  <si>
    <t>配送蛮快的 本来以为要等到下周才能收到，没想到昨天就收到了。估计是从保税区发货的吧～ 今天就开始吃了，希望bb能健康聪明</t>
  </si>
  <si>
    <t>便宜的 价格便宜啊，三百不到。</t>
  </si>
  <si>
    <t>便宜 主要是便宜，用了两三盒，发现一个漏袋</t>
  </si>
  <si>
    <t>很满意的剪刀 蓝色的一把已经掉了 红色的还在工作 挺好的东西</t>
  </si>
  <si>
    <t>松松垮垮 尺码倒是对的，但很松垮的那种，没型。我还一下买了四款，都不合适!日本胸罩以后不能买了！</t>
  </si>
  <si>
    <t>盒子全烂 之前买来，感觉还不错，多买了3组准备送人，结果盒子全部烂了，无语</t>
  </si>
  <si>
    <t>新款一样要清洗多次才没木炭屑，不推荐买这款，又贵又麻烦 挺恼火的，这个新款一样会有木炭屑。把旧款用完，这几天开封用亚马逊买的新款，以为能省心一些了，结果茶杯底还是有很多黑色小颗粒。把滤芯取出来去清洗，洗了三遍都还是黑黑的水。那和旧款还是没区别啊，一样都很麻烦要清洗好几遍才能用。而且英国寄过来又要贵一些，还要上传身份证曝露了隐私。还不如买国内的新款算了。可是我在英国德国当地买的滤芯就不需要洗，干干净净没有颗粒在杯底。真不知道怎么回事，</t>
  </si>
  <si>
    <t>袖子长了点 170  65kg  s码完全合适，就是袖子长了点</t>
  </si>
  <si>
    <t>过大，细节和照片不符 细节处和照片不符，买大了，懒得退了</t>
  </si>
  <si>
    <t>他家的mq70没有和面勾，要另购 他家的mq70没有和面勾，要另购</t>
  </si>
  <si>
    <t>还行，有点厚 还行，就是有点厚，其他还好</t>
  </si>
  <si>
    <t>价格感人。 价格感人：优惠价购入。 物流一般：提前发货，提前收货，快递小哥很好。 质量还行：信赖WD，所以买它，但是数据线不怎么样，数据线两个接头都有点松动，感觉没插紧 （插在笔记本USB2.0上传输一段时间直接断电）</t>
  </si>
  <si>
    <t>还不错 煎鱼牛排不错，没有涂层的铁锅不沾是不可能的，凑合吧，10英寸的已经5斤了，对于女汉子来说也挺重的，庆幸没有买更大的</t>
  </si>
  <si>
    <t>色差太大，面料偏薄，适合春秋穿 与电脑比，色差太大，颜色偏深，几乎是深蓝到黑了，面料偏薄，但是有弹性，适合春秋穿</t>
  </si>
  <si>
    <t>Marshall 马歇尔 Minor II 初体验 第一次在亚马逊购物，收到耳机。1.观看了细节，外形不错，查看了耳机外形，细节的地方，应该是正品。2.音效刚使用，低音效果做得非常震撼，其他效果需要煲机后才能了解。3.线有点短，如果脖子粗的话可能戴得有点不舒适。</t>
  </si>
  <si>
    <t>衣服合身，比较满意 很合身，买了两条一条做工不错，另一条就不怎么样了，价格便宜。发货有点慢，服务不错客服态度不错，还打电话过来说明情况，这点很赞，快递不送到家，态度一般，有点美中不足，总体还不错。</t>
  </si>
  <si>
    <t>很好 非常好，合适，10天收到</t>
  </si>
  <si>
    <t>非常好 非常好 皮质很细腻 版型没问题 不会掉 刚开始穿退有点难 多穿几次就很好了</t>
  </si>
  <si>
    <t>裤子很舒服 本人身高160cm、体重105斤，买8号大一些，估计6号就够了！裤子弹性好，穿着挺舒服的！</t>
  </si>
  <si>
    <t>prime日打折真的超值！ 价格超值啊，用来扩展我的4K原盘收藏，但是没有保修，希望不要出问题。</t>
  </si>
  <si>
    <t>挺好 好到没朋友，喜欢这种粗矿的外形，只是第一次煮粥溢锅了，一塌糊涂，锅底上黑黑的几道印，应该是我操作问题，之后用就没有再溢，非常喜欢💕</t>
  </si>
  <si>
    <t>味道可以 加肥速度过快，面带病色，才想起来要吃蛋白粉，亚马逊值得信赖，看到别人的评价才知道，里面居然有勺子，捞了半天找出来了，不过一次吃多少还是没有概念</t>
  </si>
  <si>
    <t>价格浮动太大了！ 我只想说我是623到手的，但是到手以后发现降价了，550就能到手，差了70,懒得退了，海外太麻烦。音质初听就跟跟很满意。</t>
  </si>
  <si>
    <t>超级适合夏天 轻薄，舒适，弹性大，非常适合夏天，穿着去瑜伽也没有移位，就是不知道是否耐用</t>
  </si>
  <si>
    <t>除了大，真的好 听说鞋子码数太大，我还特意买小了半码，但还是大了。我脚属于比较长但是没肉的那种，</t>
  </si>
  <si>
    <t>物超所值 材质超好 无痕 这价格和质量 简直是超值！</t>
  </si>
  <si>
    <t>外观不错 退换了一次货，服务很好。耳机好，解析不错，声场感觉有点小，可能是封闭式的缘故吧，听流行一般，人声远，听器乐很好，适合古典，符合拜亚风格。</t>
  </si>
  <si>
    <t>尺码合身，上身舒适 非常好，上身舒适，尺码合身！身高170，重70公斤，M码完美贴合！不错</t>
  </si>
  <si>
    <t>很好 送给朋友的女儿的，她收到后认为萌萌的，很可爱，高兴的不得了！</t>
  </si>
  <si>
    <t>舒适 大小合适，穿着很舒服</t>
  </si>
  <si>
    <t>喜欢重未改变 买过好几个了，一直喜欢重未改变</t>
  </si>
  <si>
    <t>值得信赖 舒适，真心不错！送达时间比预期快！</t>
  </si>
  <si>
    <t>保温效果很好，国内官网上都还没有得卖 非常好，里面的不锈钢是我见过的最好的，超级亮，第一天早上到热水进去，第二天早上还是有30，40度左右吧，不错。不过保温效果没保温瓶好，可能是没有涂层的原因吧</t>
  </si>
  <si>
    <t>圆满了 首先是价格，黑五买的还是非常超值的，不算运费关税比官网便宜了900多人民币。 其实买这件衣服最拿不准的就是尺寸，这款衣服的尺寸特别奇怪，每个人穿都会觉得不一样，之前在官网买过一件L的觉得稍微小了一点，后来在网上看了好多评论和对比（中文的英文的都看了），最后买了一件XL的，但是在衣长方面并没有增加，所以我也不挣扎了就短着穿吧。 最后提供一下我的尺寸，仅供参考（其实没用）我190CM的身高150斤，偏瘦身材，穿XL和L的长短差不多，L的肩宽正好，要穿宽松的话可以试试XL。</t>
  </si>
  <si>
    <t>质量很好。 这件是薄的，质量很好，不比日亚的差。</t>
  </si>
  <si>
    <t>还可以 使用效果不知道怎么样，但是设计很合理，以前宝宝稍微一挤都挤出来好多，这种的比较好控制！</t>
  </si>
  <si>
    <t>便宜好货 高斯经典耳挂，戴上后也很舒服~</t>
  </si>
  <si>
    <t>价格虚高非常严重！质量一般、鞋带超短… 价格虚高非常严重！质量一般、鞋带超短…</t>
  </si>
  <si>
    <t>滤芯不禁用啊 以前在亚马逊是找另一家买的，基本上两个月换次，现在使用情况和以前一样，不知道是上海水质变差还是滤芯做工不行，基本一个月换次</t>
  </si>
  <si>
    <t>掉色 掉色掉的太厉害了，泡了4次，水还是紫的</t>
  </si>
  <si>
    <t>衣服太长，质量太差 看着还可以，衣服偏长，而且质量真的是不敢恭维，要不是退货麻烦。。。跟抹布一样粗糙。有够垃圾的。</t>
  </si>
  <si>
    <t>有黑色沉淀 非常不好用，有很多黑色沉淀，过了好多次水还是有，本来想喝好点的水的，这下坑大了</t>
  </si>
  <si>
    <t>布料太差了，严重不推荐 太硬了，跟纸壳子一样，从没见过这种料子的裤子，太失败了，差评</t>
  </si>
  <si>
    <t>有些重 比想象的大和重。原来还想带着它出门，是不可能了。买这款主要是看中和Mac系统兼容很好。另外，运行时噪音大。亚马逊包装很简陋，从美国发来大纸箱里面只装了一个气泡袋，盒子在里面晃荡。</t>
  </si>
  <si>
    <t>休闲裤不错 比国内性价比高多了，棉质带点弹性，可能棉质含量不是特别高，洗过一次不褪色，170cm，66kg，年前70kg，目前减了5kg，33L29，腰围有一点宽松，比较合身，本人喜欢宽松一点的裤子，国内裤子的腰围我一般选2.52尺，2.46也能穿，有一点紧，</t>
  </si>
  <si>
    <t>质量还行吧 172CM，76kg，M码略宽松，衣身有点长</t>
  </si>
  <si>
    <t>走路咯吱咯吱响 鞋底不好，走路时咯吱咯吱响，特别是在硬质路面上，不敢穿去单位</t>
  </si>
  <si>
    <t>略肥 整体版型和布料还不错，不过以我的体型尚且略有些肥，瘦人慎买</t>
  </si>
  <si>
    <t>很好 没味道，质量好，不是中国制，泰国还是哪记不清了，一共两个。</t>
  </si>
  <si>
    <t>好用，多屯点 好用，刚添加辅食就用它了~不过时间久了会裂开，所以要多囤点~</t>
  </si>
  <si>
    <t>东西不错！ 很香很香很香！很甜很甜很甜！水加多了喝不完，少了就很香很甜！</t>
  </si>
  <si>
    <t>ecco脚感好 平时穿也可，裁判时穿也可，难得的好鞋</t>
  </si>
  <si>
    <t>好看 紫色很可爱！穿着也挺舒服的</t>
  </si>
  <si>
    <t>第一次亚马逊 满意的购物 满意 没味道 质量也不错</t>
  </si>
  <si>
    <t>好硬盘 容量大，性价比很高</t>
  </si>
  <si>
    <t>还不错。 鞋子面料比较薄，但尺码准确。</t>
  </si>
  <si>
    <t>优惠套装，慢慢用。 大量囤货，慢慢使用。</t>
  </si>
  <si>
    <t>很好 治疗需要长期用大剂量的d3，前几年只能到处托人从国外买，现在能海淘真的是解决大问题</t>
  </si>
  <si>
    <t>移动硬盘 不错喜欢。能够配置一个装盘的盒子或袋子之类的就好了。</t>
  </si>
  <si>
    <t>价格实惠 很合适 物流也很给力</t>
  </si>
  <si>
    <t>奶瓶感觉还不错 宝宝使用快3个月了，没使用过其他奶瓶，感觉还不错，宝宝挺喜欢，有时候可以自己抱着吃了！可以开水烫和微波炉消毒</t>
  </si>
  <si>
    <t>鞋子很赞 靴子很赞，而且是秒杀到的，很便宜，^_^，大小比耐克小一码刚刚好</t>
  </si>
  <si>
    <t>质量好 非常漂亮，款式简洁大方。</t>
  </si>
  <si>
    <t>相见恨晚 机器一周多就收到了，同时买了舜红的3000W的变压器，很匹配，至今已经使用快一个月了，利用率很高，经常做的是豆浆还有鹰嘴豆浆，按一个买家推荐的食谱做了花生奶（一把煮熟的花生+几个红枣+2/3的牛奶+1/3的水，不需加糖已经很甜），女儿说超级好喝，现在家里经常煮熟一些豆子放冰箱里，早上很快就能喝上一杯热乎乎的各种豆浆了，还有银耳雪梨糖水，也可以用它搅成银耳羹，口感特别好，应该吸收的也会更好。我会把它推荐给身边注重健康的朋友们。另外更喜欢的地方就是，操作及其简单，使用的时候不需旋转卡在底座上，直接按方向放置就可以了，杯体不重，女生拿来拿去很轻松，清洗尤为方便，这些令它的使用率更高。</t>
  </si>
  <si>
    <t>很满意，样子很好看，质量很好，而且实用 很满意，样子很好看，质量很好，而且实用</t>
  </si>
  <si>
    <t>舒服 很合适，170cm,68kg，M号的刚刚好的，设计的很好，面料很舒适。</t>
  </si>
  <si>
    <t>满意 质量过关，保暖性还行，我179/80</t>
  </si>
  <si>
    <t>挺好的 反正比國內買便宜 還正宗 要是我有了小孩 估計就要一直泡在亞馬遜了吧</t>
  </si>
  <si>
    <t>奶瓶不错 囤货中的等待小宝宝出生</t>
  </si>
  <si>
    <t>真品，包装完好哦 一周左右到货，真品，赞一个</t>
  </si>
  <si>
    <t>香蕉咬胶 每次使用前消毒，洗干净，拿给娃娃玩不了一会儿就很粘灰了，性价比低，不知道是不是正品，太容易脏了。</t>
  </si>
  <si>
    <t>不理想，很多细节不好 秒针声音很大，而且秒针不准，走一下，会抖回去半格。表带因为是布的，表带头是被直接裁断的，有些线头分叉</t>
  </si>
  <si>
    <t>表速偏慢 表速偏慢，不如卖家描述，一个月在3-4分钟的减走速</t>
  </si>
  <si>
    <t>效果不错，但日期不好！ 9月9日到货，但17年12月就过期了，还用贴纸把有效期盖住了！</t>
  </si>
  <si>
    <t>用一个月就坏了 真不行，虽然戴着舒服，音质白开水就忍了，问题是质量极差，一个月就不能开机了，自己拆开稍微拉拉线就能开机了，我查了下，这种情况有很多，哎</t>
  </si>
  <si>
    <t>差评 pluse这个键，怎么按了不能复原；可能因为运输问题，导致底座裂开</t>
  </si>
  <si>
    <t>服务太差 和描述的尺寸一点不一样，过大，我是按描述选的尺寸，本来想退的，客服反复强调运费多么的贵，还不停的问怎么不合适了，我说穿的臃肿，不好看，说完后还让我描述，我是按你们的尺寸买的，穿的不合适，就是不好看，我还怎么描述，还说买大，运费自己花，一共没有多少钱，不堪客服反复磨叽，算了，算我倒霉，再别的电商还有七天无理由退货，还可以选择物流，这个不可以，会员还有优惠什么的，这个亚马逊什么都没有，有的只有自己的利益，以后不会再买这家东西，也不会再使用这个电商，如果可以评零分的话，我会的</t>
  </si>
  <si>
    <t>有时找不到“希捷硬盘” 我的设备：DELL台式一体机，后升级的win10系统。 开机后，有时可以看到“希捷硬盘”，有时看不到。</t>
  </si>
  <si>
    <t>买大些吧 我身高176 体重77kg。看完评论选择了xl ，但还是感觉有些小。现在穿正好就是担心洗完以后缩水</t>
  </si>
  <si>
    <t>速度比预想的快，皮质好，尺码个人认为大了半码，穿的舒服 这个价格，绝对是物有所值的，继续关注</t>
  </si>
  <si>
    <t>厚实 袜子很厚实，棉质感十足！就是偏大，给老爸穿正好！</t>
  </si>
  <si>
    <t>东西不错，物流超快 东西不错，蛮好看的，一个星期能到手，物流的速度很赞，实用容量3.63T</t>
  </si>
  <si>
    <t>好东西，买无憾！ 在已经拥有森海HD800，IE800等高端耳机的情况下，还买这个曾经是这个比较冷门品牌的旗舰耳机，纯粹是为了猎奇和玩心未退而已。不过玩了一段时间后，感觉是买对了！这只耳机无论是从音质、用料还是做工来说都很优秀。良心厂家，良心产品，特别是良心的中亚海外购。值得点赞！（耳机需要煲100小时以上）</t>
  </si>
  <si>
    <t>非常好表！！！ 其实买这个表就是买机芯，因为他是CASIO，自然在好的机芯之余又那么便宜的情况下没有多余的设计和制作了，这么便宜能买到CASIO的表真是很高兴。其实虽然说简单，但是其实很简洁大方，我带了一年多了，同事都说非常简洁时尚，很好配衣服，当然也要看什么样的人带（呵呵），比较适合年轻白领和学生，但是为什么会给人简陋的感觉，我觉得是包装上出了问题，应该使用更加时尚的材质和包装形式，才能配得上这个表，这块表后来我发现很多人在用，因为非常耐用，可以带5年的电池，比我之前买的任何一块表都耐用，虽然我的口气真的有点像托，但是这的确是我的真实体验，之前刚收到的时候的确也有挣扎，后来发现果真是casio的设计和制作，很不错，不是什么人都能欣赏的！！！！！！！！！！！！！！！！！！！！！！！</t>
  </si>
  <si>
    <t>不错! 喜欢的款式，颜色也很好，穿着合体，舒服。内裤不是很喜欢，面料有太硬。</t>
  </si>
  <si>
    <t>性价比还可以 172cm，90kg，L号合适，稍紧。 衣服不厚。袖子长，还可以接受。黑色的有点粘毛。 准备再定件XL的， 还是喜欢宽松点。</t>
  </si>
  <si>
    <t>很不错的耳机 之前没买过高阻耳机，以为这款很难推。然而，刚收到货了后，用手机试了试，声音还挺大的，并没有网上一些人说的直推蚊子音。。。 也不过，当然，声音大并不能说明就不需要耳放了。   回去仔细听了下拉二还有肖邦第一钢协，用的HM650+power卡直推的，总而言之，效果我还是挺满意的。做工也挺不错，比我之前的K701要感觉上耐操多了。佩戴的舒适度尚可，因为我头比较大，有些夹头，不过也还好，可以接受，一般人应该是不会觉得有夹头。  不过当然也有一些问题： 一是交响乐里声音比较尖的打击乐，比如说锣的声音非常的让人不愉快的刺耳。至于低音方面，我觉得还是挺足的，不过感觉不是那么的平滑，总有些毛刺的感觉。不知道是因为新耳机没煲开还是怎么的，但愿以后会好些吧。 二是电话线看上去非常专业高端，然而实际用起来，，，觉得比较蛋疼，特别是电话线悬空的时候，总会觉得有很重的一东西，拉着头一样。  听了两天写的评论，可能不太准，仅供参考。</t>
  </si>
  <si>
    <t>传说中的耳机 真的很干净，听着舒服</t>
  </si>
  <si>
    <t>衣长短 胸围袖子肥 本人身高180cm 体重63kg 穿L码短 肩正好 就是袖子肥 胸围肥 衣服做工很好 面料很好 很厚实 冬天穿应该一点问题没有</t>
  </si>
  <si>
    <t>身高182，体重158。买的33X32的，刚刚好。 身高182，体重158。买的33X32的，刚刚好。裤子质量没得说，自从有了海外购，我基本就不从美亚买东西了，直接中亚海外购全搞定，还不收运费。那点税，就当转运费了。</t>
  </si>
  <si>
    <t>超棒超值的一次购物。 奶瓶是日本直邮的，收到用了几天感觉很好，用沸水，消毒柜消毒都没有异味，赞！之前在国内母婴店购买过四五个贝亲奶嘴，之后也在孩子王APP上面购买过一个贝亲奶瓶，消毒过后奶嘴表面都是泛油泛油的，而且很大一股异味，难怪之前宝宝抗拒吃奶瓶。亚马逊海外购买的日本直邮的这款奶瓶很好，也轻便，宝宝6个半月能一次乖乖吃完160ml，也是解决我一大难题，之后再大一点就能自己抱着奶瓶吃奶了。</t>
  </si>
  <si>
    <t>囤货，颜值和大小可以接受 朋友推荐这款吸奶器便囤货还没有使用，大小可以接受；不过为什么主机和电源适配器的都是东莞生产的呢？？网页信息给到的制造商是everready first aid啊？</t>
  </si>
  <si>
    <t>西装品质一流，尺码太大，国人买要注意了！ 西装做工精细，品质一流，码太大，国人买要注意了！本人身高174cm，体重60kg,，买了个38Regular(Black黑色)，上装长了好多，裤子配的是31的，可我裤子只穿29的，只好退货！准备重新下个36Regular(Navy蓝色)</t>
  </si>
  <si>
    <t>相当不错，物有所值 穿了特别舒服，相当不错</t>
  </si>
  <si>
    <t>家中常备 这种多维矿物质片家中日常备着，补齐因膳食不平衡导致的维生素和微量元素得缺乏</t>
  </si>
  <si>
    <t>很满意 质量不错，没有味道，宝宝很爱啃。</t>
  </si>
  <si>
    <t>喜欢 孕期买了很多华歌尔的东西，基本件件都满意，这个，一定不要买太大号，产后掉肉还是蛮快的。</t>
  </si>
  <si>
    <t>合适 170  75  略胖  M合适</t>
  </si>
  <si>
    <t>很好的 挺舒服的不过感觉右脚比左脚松一点。按照平常的尺码买的，也算合适啦有一丢丢大。不过反正系带也无所谓啦</t>
  </si>
  <si>
    <t>挺好的 做工不错，带宝宝出门的时候携带很方便，保温效果也还可以。</t>
  </si>
  <si>
    <t>还不错！ 挺软的，适合孩子咬，小孩喜欢就好。</t>
  </si>
  <si>
    <t>精美做工 非常喜欢，做工精美，写字顺滑，有弹性</t>
  </si>
  <si>
    <t>Beyerdynamic 拜亚动力 DT770 PRO 头戴式专业监听耳机 250欧姆 当天晚上买第二天上午就到了，耳机看起来很不错，戴起来也很舒服，音质得听听才知道了。</t>
  </si>
  <si>
    <t>运输不当 运输太暴力，外箱坏，里箱也坏！希望音响没事</t>
  </si>
  <si>
    <t>太大了 这哪是修身的款式呀，</t>
  </si>
  <si>
    <t>到手感觉 中国制造，音质还不错。夹得耳朵痛，另外色差严重。推荐买黑色。</t>
  </si>
  <si>
    <t>衣服是二手的 衣服是二手的 拆开包裹发现一股洗衣液的味道 卫衣的绒布都是别人的头发 太恶心了 ！ 衣服还没有吊牌 亚马逊这简直是店大欺客了 把洋垃圾运到国内卖</t>
  </si>
  <si>
    <t>发错货了！！！ 买了3件，这一件是什么鬼？太不用心了。还得退，真麻烦！</t>
  </si>
  <si>
    <t>不错 便宜，耐穿，舒适，性价比高</t>
  </si>
  <si>
    <t>裤子不错，但是 性价比应该给五星的，但是发错货了，买close发了条open。算了，就这么穿吧</t>
  </si>
  <si>
    <t>优势与缺陷 声音比DV自带立体声双侧电容拾音器要细腻，层次感也能出来，是款不错的替代机身拾音器的话筒。问题有三:电池很难拿出来；衰减拨杆实在是隐蔽；没有mini热靴转接座。</t>
  </si>
  <si>
    <t>慎入 做工还可以，音质还没煲好，不会评价，可惜出口转内销的，价格自然不够实惠。</t>
  </si>
  <si>
    <t>和之前门店买的一样，符合预期 和之前门店买的一样，符合预期</t>
  </si>
  <si>
    <t>很满意，价格也不错 收到试穿一下是我喜欢的款，脚感舒服软硬适中，凉鞋款比平常皮鞋43码买大了一码将将好，貌似比专柜试穿的44码小一丢丢</t>
  </si>
  <si>
    <t>喜欢 第二次购买，闷烧效果很好</t>
  </si>
  <si>
    <t>刷头很好用 刷头很合适，孩子用了电动牙刷后牙齿白了很多，4个刷头可以用8个月了，非常好，哈哈</t>
  </si>
  <si>
    <t>好看 产地越南，质量还是有保证的，版型好看，用的是防水纤维，很酷，好评</t>
  </si>
  <si>
    <t>超值 淡蓝色的，很划算，产地中国</t>
  </si>
  <si>
    <t>简洁，轻便 宝贝已收到是自己所喜欢的简洁轻便型手表，最最重要的是价格十分合理，非常不错。</t>
  </si>
  <si>
    <t>喜欢 有一点点小，肯定装不下多少，休闲时尚，很喜欢，还有就是买个标。</t>
  </si>
  <si>
    <t>鞋码选择 脚长25.5cm，买265挺合适，比先前买的gt2000（42码2e宽）紧一点点。没有gt2000那么明显的踩屎感。</t>
  </si>
  <si>
    <t>便宜 太喜欢了，卡西欧的质量就是好，走时很准的</t>
  </si>
  <si>
    <t>不错的裤子 由于价格原因百分一的氨纶含量太少了，几乎没啥弹性。 175、80的身材长短肥瘦正好（洗涤前），但是仅限于春夏秋，冬季穿个贴身的厚一点的抓绒裤就紧了。 如果有33、31的可能也不错。值得购买的裤子。10天到货。</t>
  </si>
  <si>
    <t>很好 很不错，适合夏天</t>
  </si>
  <si>
    <t>喜欢满意的一次购买体验 非常喜欢，一直购买这个品牌，穿着舒适。</t>
  </si>
  <si>
    <t>完胜 很不错的锅，一家四口足够用了，质量好，完美的很，棒棒哒</t>
  </si>
  <si>
    <t>推荐 一不小心下单下成了两份。东西收到是通过DHL寄送的，有一盒的包装是被打开过的，但是东西没受影响，棉质舒服大小合适。美版应该是比国内版型大，建议买小一号的穿。推荐，上身穿了很舒服。</t>
  </si>
  <si>
    <t>巨大，轻薄 这款L的胸围108，XL的胸围120-130，这差距太大了，XL适合190，200斤左右的人。</t>
  </si>
  <si>
    <t>很好 clarks质量没得说，性价比高</t>
  </si>
  <si>
    <t>很喜欢 非常好颜色鲜艳易上色</t>
  </si>
  <si>
    <t>很可爱的小餐盘 很Q的一套餐具，外形可爱，朋友推荐，等不到优惠只能下单了</t>
  </si>
  <si>
    <t>很好！ 很赞，没想到这么快就收到了，迫不及待回去动笔了，宝贝一点问题都没有。</t>
  </si>
  <si>
    <t>尺码 除了裤子有点长，其他挺好。</t>
  </si>
  <si>
    <t>很棒 非常不错，便宜实惠，比国内裤袜好</t>
  </si>
  <si>
    <t>质地较差，颜色不正 对比boss这个品牌预期应有的质量还有差距，感觉一般！</t>
  </si>
  <si>
    <t>尺码太大 欧码，太大了，没法穿</t>
  </si>
  <si>
    <t>压脚背 压脚背 我不是足弓高的类型 clarks 牛津鞋我穿38有点大37.5有点紧 这款38穿着紧 这款39估计会大。寄过来的时候鞋面有磨损。颜色比图片深 走路还挺舒服的</t>
  </si>
  <si>
    <t>无语的亚马逊售后 耳机使用不到三个月 出现左右耳偏音 与亚马逊客服沟通 语气非常不友善 让去找森海 森海回复 京东 亚马逊卖出的找他们 再找亚马逊 语气稍好了点 但问题仍然没有解决 亚马逊的售后 真的无语</t>
  </si>
  <si>
    <t>质量差，怀疑是否为正品 皮质与介绍差别大，较差，不相信其乐有如此粗糙的鞋子，怀疑是否为正品。美亚上有这款鞋子的晒单图片，与网站图片是一致的，也许把残次品发到国内？第一次亚马逊海外购，很失望，耗费了这么长时间。正在办理退货。&lt;a data-hook="product-link-linked" class="a-link-normal" href="/CLARKS-男士-Stinson-Hi-高帮鞋-Stinson-Hi-Wallabee-黑皮革-9-5-D-M-US/dp/B00AKLRBZ6/ref=cm_cr_getr_d_rvw_txt?ie=UTF8"&gt;CLARKS 男士 Stinson Hi 高帮鞋 Stinson Hi Wallabee 黑皮革 9.5 D(M) US&lt;/a&gt;</t>
  </si>
  <si>
    <t>假货 表带就直接和官网上完全不一样</t>
  </si>
  <si>
    <t>可以购买 商品提前收到了，外包裹明显经历过了漂洋过海 有点旧，胶带开了，  打开后，内包装似开封过 或许是清关时国内打开的，盘一切安好，线略短， 容量1.81t  检测 出6个通电周期  20m至26m的传输速度usb2.0 偶出现15m一下  算是稳定的一个盘， 基本上满意</t>
  </si>
  <si>
    <t>尺码合适 尺码合适，面料适中</t>
  </si>
  <si>
    <t>质量不是很惊艳 这个价位和国产的钱包差不多</t>
  </si>
  <si>
    <t>不错的选择 质地不错，袖子稍长，穿着舒适</t>
  </si>
  <si>
    <t>满意 试穿前粗略检查完好，试穿后有只脚的内侧有小破损，不知道是不是我弄的，不介意。脚背处皮质很硬，还没穿出门，不知道会不会脚疼。</t>
  </si>
  <si>
    <t>整体各方面 很不错</t>
  </si>
  <si>
    <t>非常合适 印尼产的我这双，没啥问题，舒服，合脚！推荐买大一码，这款鞋偏小！</t>
  </si>
  <si>
    <t>182cm78kg，穿m正合适 182cm78kg，穿m正合适</t>
  </si>
  <si>
    <t>Good product with gpt not mbr Silient and quick for data. be aware it is only accessible from 64bit systems as gpt instead of mdr is used</t>
  </si>
  <si>
    <t>评论建议参考 看了评论买的 还是有参考价值 M号合适</t>
  </si>
  <si>
    <t>不错 面料挺好的</t>
  </si>
  <si>
    <t>束缚效果好，穿的比较累 束缚效果很好，比束腹带方便，刚出月子，穿完瞬间觉得肚子平了。就是穿的时候有点累。毕竟没啥弹性。</t>
  </si>
  <si>
    <t>正合身 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</si>
  <si>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挺好的 内里加绒，挺厚实，手感舒适，宽松版型，适合天冷加衣。</t>
  </si>
  <si>
    <t>还不错 给儿子买的，小学主要使用铅笔写字，使用起来还不错吧，但没有说特别神奇。很小一块，不过也有好处，小朋友老丢文具，小的丢了不可惜，呵呵</t>
  </si>
  <si>
    <t>包装不一样，有异味 和我在旗舰店买的不一样</t>
  </si>
  <si>
    <t>有效果 按预定时间都到货，看上去不错，确实有效果，一直在吃</t>
  </si>
  <si>
    <t>很不错 很不错</t>
  </si>
  <si>
    <t>Tiger 虎牌 轻量梦重力迷你不锈钢保温杯 200ml 珠光粉 MMP-J020-PP Tiger 保温效果还是可以的。</t>
  </si>
  <si>
    <t>鞋码合适 这鞋尺码标准，只要脚不宽，按平时码买即可，另外穿了一天，脚没有任何不适，不磨脚也不挤脚，挺好的。</t>
  </si>
  <si>
    <t>挺好的，蓝色太贵没买，买了绿色 盖子零件有点多，说是为了清洁无死角……现在宝宝吃得不多，用来装一部分打好的食材，盒子还算大了，还是尽量不弄脏盖子，不想每次拆洗哈哈</t>
  </si>
  <si>
    <t>小巧、坚固、高速 作为final cut pro的工作盘，4K以内性能没问题、可靠性应该也没问题，轻便坚固，近期生产，很好很实用！</t>
  </si>
  <si>
    <t>鞋子号码偏小一点 这个鞋子很舒服，拍的黑色光皮的，牦牛皮的。拍下时看了一下评价，又看了家里的运动鞋，都是比平时鞋子大一码，于是，果断拍大一码，舒适，也给其他买家做个参考。然后就是价格波动很大，需要关注一下，等合适时机出手。总共花大约1000元不到。</t>
  </si>
  <si>
    <t>谁说亚马逊不解决售后问题？？？ 洗牙器买回来不工作，邮件客服，完美解决，亚马逊会员买的很值！客服声音甜美，态度超好，会一直支持亚马逊！</t>
  </si>
  <si>
    <t>不愧曾经的吧塞 3号下单6号收货，快赶上国内快递了！这耳机调音的确舒服，人声近且清晰，横向声场也撑得开。可能是低敏耳机的特性吧，背景非常黑，声音的立体感很强，有点大耳的感觉。虽然解析一般，高频延展不足，但这价位听流行，还要什么🚲。</t>
  </si>
  <si>
    <t>很好的购物体验 衣服质量很好，布料很舒服，就是自己尺寸选大了，国内同品牌同尺寸的衣服我穿着紧，这件就大了很多～快递国内段发的顺丰，太惊喜了～</t>
  </si>
  <si>
    <t>棒棒哒 杯子不错，没有异味，质量不错</t>
  </si>
  <si>
    <t>腰围太大了 尺寸严重不准，腰围手工测量比标注要大10cm</t>
  </si>
  <si>
    <t>尺寸合适，穿着舒服 180cm，81kg穿这个尺码正正好好，很舒服，弹性也不错。</t>
  </si>
  <si>
    <t>戴了一段时间，外观尚可，走时每周都会快上一分钟，与国产手表一个样，服了。 带着看看日期尚可，时间不太准，每周需要校准。外观还算精致。贪便宜的，不计较细节的，可以出手来一块。</t>
  </si>
  <si>
    <t>色差太大 退还麻烦 色差太大 退还麻烦 质量还可以！</t>
  </si>
  <si>
    <t>臭气熏人 手感柔软，够厚。只是气味太大了，洗也洗不掉，准备扔掉了，可惜了我的银子～～～</t>
  </si>
  <si>
    <t>1 做工粗糙，无力吐槽，还没淘宝几十块的好。</t>
  </si>
  <si>
    <t>保温效果很差 并不保温，一会儿就凉了</t>
  </si>
  <si>
    <t>汤匙 姐姐挺喜欢的，他们家宝贝自己很快就可以学自己吃饭了</t>
  </si>
  <si>
    <t>真会感觉不错 到的时候有些黏成一坨，口感方面还不错，很Q。</t>
  </si>
  <si>
    <t>手表不错 但有缺陷 刚收到是还是蛮兴奋的 看过之后发现包装有点简单 用过之后发现 防水功能还是不错的 我游泳时有带 都没进水 但表面容易磨花 刚带第一天就被我磨了一道 心疼死了 表面花后 影响美观和看时间 但这款的价钱还是挺便宜的 性价比还是较高的吧 最让我郁闷的是买了没几天 卓越就降价了  泪奔～～～～</t>
  </si>
  <si>
    <t>不能消毒 东西不能高温蒸汽消毒的，给买的提个醒吧，盘子消毒就变形了，其余的都可以</t>
  </si>
  <si>
    <t>按你的号买 看评论说号大，建议买小一号。结果悲剧了</t>
  </si>
  <si>
    <t>装了还没用 温度精准，耐久不知道如何</t>
  </si>
  <si>
    <t>配送快 速度快 东西质量不错 价钱不贵 随便戴戴绝对物有所值 比较小众</t>
  </si>
  <si>
    <t>庆幸没收到公主，求可以选款 实惠，就是随机发货有点闹心，还好没有收到公主，儿子很喜欢麦昆</t>
  </si>
  <si>
    <t>鞋码合适 特舒服。</t>
  </si>
  <si>
    <t>价平量足颜值高功能丰富 连在玩客云上当NAS用 可以说价平（￥1020）量足（8T容量） 家用足够了 2个USB口还可以再扩展或者是插上U盘读卡器来拷贝 足够了 稳定怎么样暂时还没体现 不过现在的硬盘也就只能祈祷了</t>
  </si>
  <si>
    <t>非常好用 目前正在用勺子，非常好用，其它还没用</t>
  </si>
  <si>
    <t>比较合身 白色，纯棉质感舒适，略透，女生，身高167.体重106，S码合适，有点长</t>
  </si>
  <si>
    <t>值得一买的潮鞋 平时穿42.5的运动鞋，这双42就够了，完美，走在外面潮爆了</t>
  </si>
  <si>
    <t>习惯习惯再看 东西不错，挺方便。本来好久不戴表的，希望能习惯起来</t>
  </si>
  <si>
    <t>基本上合适 基本上合适，脚背有点紧，我235mm的脚，买的是240mm的鞋子，供大家参考</t>
  </si>
  <si>
    <t>质量 还可以</t>
  </si>
  <si>
    <t>很好 舒适，厚实，材质过关，符合预期，会回购同品牌其他产品</t>
  </si>
  <si>
    <t>推荐 舒服，可是后来开线了，怎么处理呢</t>
  </si>
  <si>
    <t>大小合适 穿着舒适 s号正好 衣服柔软但不会没有型 穿着舒服 很喜欢</t>
  </si>
  <si>
    <t>173-77kg 穿M号 码数偏大的，我穿M号正好，袖子有点偏长，其他都ok</t>
  </si>
  <si>
    <t>挺好 打电话问casio的客服，手把手教会了使用方法。官网也有中文说明书可下载。挺好，不过这是男人款，女人带稍大了，那就给家里男人，自己再买一块女性用的。</t>
  </si>
  <si>
    <t>性价比不错 对比了下之前国内买的，没多大区别，应该能用，比国行版性价比高多了</t>
  </si>
  <si>
    <t>很舒服，贴身 舒服、贴身、温暖。。。。。</t>
  </si>
  <si>
    <t>整体不错 内胆有涂层，整体感觉还好，不能侵泡冲洗。</t>
  </si>
  <si>
    <t>奶嘴非常软 好像和国产版是不一样，刻度更粗更明显奶嘴更软些也值了，这么多网购平台婴儿用的只相信亚马逊</t>
  </si>
  <si>
    <t>尺码 171 70kg 大太多，和之前买的系列尺码偏差太大</t>
  </si>
  <si>
    <t>这次鞋太硬了！ 样↖打80分，脚感打59分！前后买了两双，黑色的态太硬！！！衰！</t>
  </si>
  <si>
    <t>求鉴定 虽说整体都还好，但是感觉二手别人穿戴过退货的，痕迹比较明显，发货包装非常简陋，而且表盘根本没有保护膜保护，裸奔在盒子里面，看着心疼，勉强3星，上图求鉴定</t>
  </si>
  <si>
    <t>千万别买这块手表！！！手表质量非常差！！！ 千万别买这块手表！！！用了不到一年，分针时针可以调，但是日期不能调了，然后背光突然不亮了。跟电池电量没关系，换了一块电池还是不好用。直接扔了，三百多块钱的手表不值得一修了。</t>
  </si>
  <si>
    <t>坏了国内不给修！ 海外购买的坏了，国内售后不给修，只能在发出国维修，我特么买个耳机，还得出国修，一出悲剧！购买者慎重考虑！</t>
  </si>
  <si>
    <t>实物与图片严重不符 收到的根本不是固定碗三个，几个很浅的吸盘，上面有三格。要不是退货麻烦，早退了</t>
  </si>
  <si>
    <t>可以买 东西不错，质量可以。</t>
  </si>
  <si>
    <t>很好，合适。 美版没有日版的舒服，面料很硬。我162cm,55kg穿美码xs合适，日码穿m。给大家提供参照，美xs=日码m，以此类推。</t>
  </si>
  <si>
    <t>满意 质量可以，就是有点厚</t>
  </si>
  <si>
    <t>尺码合适 性价比高 平常穿38码 这双正好 稍微大一点点 可以穿厚一点的袜子 质量不错</t>
  </si>
  <si>
    <t>还可以 外观质量走时还可以，不错</t>
  </si>
  <si>
    <t>不错 看上去不错，不过还没安装</t>
  </si>
  <si>
    <t>大小合适 我158/44，M号大小合适。日本人的工作态度可以从包装质量上可见一斑，值得国人学习。</t>
  </si>
  <si>
    <t>偏小了 我180,85KG，M的能穿上去，但是明显偏小的，目测L很合适，有些评论说什么70KG都没到M都嫌小的，根本不可能。。。也可能是我们对紧身衣的理解不同~</t>
  </si>
  <si>
    <t>适合 裤子尺寸很合适，质量好</t>
  </si>
  <si>
    <t>价格还行。 日亚包装很严实，杯子看起来还很不错，还没使用，先给好评！</t>
  </si>
  <si>
    <t>特别好 我该怎么表达我对你的爱</t>
  </si>
  <si>
    <t>赞包装 第一单日亚。包装很赞。完全不必担心运输途中可能造成的损伤</t>
  </si>
  <si>
    <t>真的感觉棒棒哒 基友韩国类似款打折280 哈哈哈哈 这价格真的很划算 弯檐显脸小</t>
  </si>
  <si>
    <t>质量好，性价比很高 物流比预计的快很多，质量很好，用起来很方便，做的咖啡很好。和几年前买过的相比，有不少改进。物有所值。</t>
  </si>
  <si>
    <t>做工非常好 款式大方不去说了，做工真道地，底不是胶粘的，是用线跟鞋面上在一起的，鞋跟打了四根铜钉。我还买贵了，现在的价格比我买的时候便宜了一百多，但我还是觉得值。</t>
  </si>
  <si>
    <t>保冷专用 杯子还是挺好的，但没看清楚是保冷专用，不知道保温可不可以呢</t>
  </si>
  <si>
    <t>值得推荐 包装精美，吃上一段时间才知道效果！</t>
  </si>
  <si>
    <t>满意 上身效果很好，女生，按大家评论选购尺码很合适。160穿的m</t>
  </si>
  <si>
    <t>面料很高，满意 穿着很舒服，性价比高</t>
  </si>
  <si>
    <t>商品描述非常真实！ 指南针和防水性已得到反复测试，描述真实！</t>
  </si>
  <si>
    <t>满意 正品。也很喜欢。只用了一个塑料袋作为外包装，鞋盒彻底破损，还好鞋子没有损坏。</t>
  </si>
  <si>
    <t>颜值高的塑料壶。 颜值高，这个壶没有内胆，就是塑料的，好在烧水没有味道。</t>
  </si>
  <si>
    <t>好锅 真的很喜欢，没有涂层</t>
  </si>
  <si>
    <t>不错 亚马逊上买过六双鞋，质量比国内生产的要好，只要尺码选对，其他不多说</t>
  </si>
  <si>
    <t>质量好 质量很好、保温效果好</t>
  </si>
  <si>
    <t>很满意 价格优惠，质感好，很合身，170cm，65kg。</t>
  </si>
  <si>
    <t>不满意 真怀疑，爱步的做工如此粗糙了，也没有商品吊牌，打开还有很重的味儿。</t>
  </si>
  <si>
    <t>漏水 买了一个用了两年这个地方漏水了。所以新买了一个，但是这个刚新买的，在同样的位置，直接喷水出来，不知道什么原因。。。</t>
  </si>
  <si>
    <t>超级薄 款式还行，穿着挺好看的，就是有点薄，所以夏天穿一季也就报销了</t>
  </si>
  <si>
    <t>价格便宜 质量一般 个人感觉和国内专卖店的货有区别，尺码偏大！</t>
  </si>
  <si>
    <t>为何没有包装盒？ 连个包装盒都没有，这个😣…………</t>
  </si>
  <si>
    <t>用滤芯有杂质 有杂质，盛在白碗中可见黑色粉末。不知是什么物质。放了一阵水，连续接几碗还都是如此</t>
  </si>
  <si>
    <t>Just so-so 音域宽广，人声清晰，低音略有不足，即使加上升级app也增益不显（本人过于追求低音的缘故吧）。以上是链接苹果设备的效果。好的前端加上平衡线会推出全新效果，最近打算入手NW-ZX300, 希望换上平衡后推出理想效果。</t>
  </si>
  <si>
    <t>推荐 颜色有点深，不怎么太喜欢，大小可以，穿的也舒服，就是颜色，粉米色，不理想</t>
  </si>
  <si>
    <t>胡子刮得很干净 荷兰产，胡子刮得很干净，而且防水，不夹胡子，就是经常提醒要水洗，而且洗过之后那个灯还是会亮，后来干脆不管它了。</t>
  </si>
  <si>
    <t>不错 还没用，很合算!</t>
  </si>
  <si>
    <t>偏大 160cm、46kg，买了2号，裤子太长了，大腿围和臀围也大了，小腿围倒是比较合适。可能0号比较合适。</t>
  </si>
  <si>
    <t>盛名难付 穿着舒服，比较薄，会起球</t>
  </si>
  <si>
    <t>超级推荐 超级棒，果然是收紧不勒，买小了两个号，能穿进，很合适，一点也没有不舒服的感觉～</t>
  </si>
  <si>
    <t>衣服很好很好就是买大了，高180、重85kg应该买M的 衣服很好很好就是买大了，高180、重85kg应该买M的</t>
  </si>
  <si>
    <t>穿着舒适，尺码合适 裤子较薄，适合天热穿，修身、做工精致</t>
  </si>
  <si>
    <t>还行吧 挑耳放，自家的a1可以</t>
  </si>
  <si>
    <t>不错 实话实说很不错，听了两周了，除了外观普通</t>
  </si>
  <si>
    <t>很喜欢 轻巧又保温，非常好</t>
  </si>
  <si>
    <t>目前没有好的耳放，可能发挥不出它的功力 与原宏达手机的摩雷耳塞机比，声音细腻层度还差点。耳罩较大，夏天长时间戴会出汗。目前没有好的耳放，可能发挥不出它的功力。</t>
  </si>
  <si>
    <t>这个买小了，产后一个月臀围101，腰围86 这个买小了，坐下喘不过气，产后一个月臀围101，腰围86，大一码刚好！</t>
  </si>
  <si>
    <t>性价比非常搞的温控龙头 包装精致，配送迅速，做工精良，还配有一个防烫护套很精致，喷头比较简单，不过标准接口可以自行升级</t>
  </si>
  <si>
    <t>亚麻的布包 很不错 看出亚麻材质特有的底色  很厚实  款式也还可以 两套背带比较方便使用</t>
  </si>
  <si>
    <t>第一次穿Champion的卫衣 衣服很厚实，我买的大小正好，但是袖子还是偏长，还没穿</t>
  </si>
  <si>
    <t>质量OK 手感质量很好，老公出差，还没试穿，质量真的不错👍</t>
  </si>
  <si>
    <t>好好好 纯银笔身，漂亮，做工精细，最主要是价格太好了，国内的派克真是天价。</t>
  </si>
  <si>
    <t>书写感受 写起来很顺溜！</t>
  </si>
  <si>
    <t>好看 码数正 好看 老公穿上刚好 情侣鞋 嘻嘻</t>
  </si>
  <si>
    <t>亚马逊对商品尺码这个问题请下点功夫 L号，大概等于国内xl，东西是不错的，值得购买</t>
  </si>
  <si>
    <t>氦气盘 算下来不到125/TB，虽然不是最便宜但也能接受了。主要是用来当仓库盘的，通电时间不会太频繁所以果断拆了外壳。</t>
  </si>
  <si>
    <t>评论 不错的鞋子</t>
  </si>
  <si>
    <t>非常漂亮的鞋子 非常好，搭配牛仔裤休闲裤很好看，用料做工都一流。注意尺码稍微偏大，那个给差评的人，你是故意来黑亚马逊的吧？明明很宽松的版型你非说偏小！建议大家按正常尺码购买就行，我是光脚穿的，如果天冷穿袜子应该正合适。虽然稍微偏大，但鞋口比较紧，所以不存在不跟脚的问题。</t>
  </si>
  <si>
    <t>很满意 很好看 颜色也不错 划算 167cm97斤 s码合身稍松 效果正好</t>
  </si>
  <si>
    <t>不错 给老婆买的，很喜欢。有点小贵。</t>
  </si>
  <si>
    <t>发黄 绿色那把居然没用多久发黄了</t>
  </si>
  <si>
    <t>无法开机 音质很好，就是有时候会死机(突然连不上了也关不了机)，去年10月底买的，今天突然开不了了，按键没反应，不知道什么情况，亚马逊找不到售后服务。</t>
  </si>
  <si>
    <t>大半码，下雨天穿特别带泥 鞋子大半码，这个牌子的额通病。重点是本来看重的是防水，想买来下雨天穿，但是下雨天穿反而带得一身泥点子，特心烦。</t>
  </si>
  <si>
    <t>！！假货ba！ 我去！这简直就是假的吗！！气死我了！我还买了那么多！！便宜没好货！</t>
  </si>
  <si>
    <t>图片和货不对 图片和货不对，根本就不是一个型号，退货还麻烦！！！</t>
  </si>
  <si>
    <t>这么大的电商发的鞋子是人家穿过的 穿鞋子像是过的！鞋面两条很深皱纹！还有背后的皱纹！鞋都是灰尘很脏！</t>
  </si>
  <si>
    <t>好吃 口感不错，但是宝宝不喜欢软糖。只好自己吃了</t>
  </si>
  <si>
    <t>便宜 比较便宜，质量也没有那么高，</t>
  </si>
  <si>
    <t>好 好用。也轻便。生熟剪分开用</t>
  </si>
  <si>
    <t>有裂痕 样子倒是非常好看，宝宝也爱抓着玩，就是硅胶中间居然有几道裂痕估计很容易坏吧</t>
  </si>
  <si>
    <t>好 一点小瑕疵可以接受，貌美的锅，很好👍</t>
  </si>
  <si>
    <t>开心购物 铸铁锅沉沉的，很有质感，肯定是正品，第一感觉很喜欢。虽说是第一次在亚马逊上购物，但一口气就买了三口锅，果然不负我望。快递也很给力！真是一次开心的购物！</t>
  </si>
  <si>
    <t>耳机很不错 刚买了就被人讹走了，质量不错。900不到</t>
  </si>
  <si>
    <t>纯棉、舒服 本人163、52，衣服特别合适，很喜欢，穿着也很舒服，是纯棉的</t>
  </si>
  <si>
    <t>合适 买给老公的，觉得自己带也很合适，后面可以收，蛮挺的</t>
  </si>
  <si>
    <t>非常不错 一周就送到了，速度超级快。质量也非常好，美版尺寸要比亚洲版大一个号</t>
  </si>
  <si>
    <t>价廉 没有质保，啥都挺好。。。电子产品没那么容易坏的，闭着眼睛就买了。当然，运气背的时候就呵呵了。但x猫价格贵的离谱了</t>
  </si>
  <si>
    <t>尺码选择问题 按照平时穿鞋的正常尺码选择就可以，尺码正常，不大不小。鞋子非常舒适。</t>
  </si>
  <si>
    <t>运动风 精工的石英表走时精准没得说，光动能的方便省事 蓝色的帆布表带其实很百搭，尤其适合搭配运动装束 唯一的缺点嘛就是表盘太大太厚</t>
  </si>
  <si>
    <t>口袋是我喜欢的型 口袋是我喜欢的型</t>
  </si>
  <si>
    <t>很喜欢。质量好 非常好。喜欢</t>
  </si>
  <si>
    <t>不错的衬衣，符合预期 美码标准M，178 78KG，肩、袖、领、胸都合适， 除了衣服下摆过长，后摆都到大腿了。 卡裤子里倒是不碍，衣服有型</t>
  </si>
  <si>
    <t>穿的蛮舒服的 收缩性什么的蛮好的。</t>
  </si>
  <si>
    <t>这是一款适合听交响乐的耳机 刚买了就又降价了，没赶上最低，真是非常遗憾。耳机很快就收到了，不到一周，包装的很妥当，也是新的，运气不错。拜亚的耳机都得煲很长一段儿时间才行，目前煲了几十个小时，已经比刚开始的干、刺的声音好多了。耳机效果很监听，声场比较的规整，听交响乐很舒服，特别不推荐用这个听电音和hiphop。。。总的来说还是物有所值的。</t>
  </si>
  <si>
    <t>有味道，无塑封 到货时间挺长的。5月29下单，6月13才收到货。奶瓶有味道，还没使用。包装是好的，的确无塑封，不过国外很多产品无塑封。没见过专柜款，无法辨别真假。不过不是说海外淘的商品都是美亚自营吗，应该不会有假吧。</t>
  </si>
  <si>
    <t>很满意 东西很好！物流很快！一开始还以为是一个，结果是一个红色和一个蓝色，很划算</t>
  </si>
  <si>
    <t>比洗碗粉好用，会回购 我家是13套西门子洗碗机，这个洗碗块虽然体积小，但是每次一粒完全够用，洗的很干净。每一粒上有塑料薄膜，不脏手不起灰，比洗碗粉好用太多。实惠，满意。</t>
  </si>
  <si>
    <t>不错 170cm  65kg  s码  刚好  衣服质感不错</t>
  </si>
  <si>
    <t>网红杯子 宝宝吸起来很省劲，而且不漏水</t>
  </si>
  <si>
    <t>非常满意！ 非常满意！</t>
  </si>
  <si>
    <t>好 不错，非常满意，还会一直支持</t>
  </si>
  <si>
    <t>滤芯 用了几年了，用来泡茶很好！</t>
  </si>
  <si>
    <t>版型糟糕 难穿死了！前面底边不服帖（不是因为大，后面很紧），罩杯还压胸。 纯属浪费钱</t>
  </si>
  <si>
    <t>有色差 实物是灰绿色，有色差</t>
  </si>
  <si>
    <t>码正，鞋子一般 248左右脚长，标准脚型，各种鞋子都穿250/39.5/US8.5，穿这个6UK很合适。去年买了双爱步一样质地的，感觉这个也就一般，鞋底薄硬一些，不如爱步的舒服。因为整体很硬，不走路的话穿穿没问题，走快了脚会痛。奇怪的是明明外踝尖那里什么都没有，也不紧，却会莫名的很痛</t>
  </si>
  <si>
    <t>质量一般 质量一般，和在一般超市买的稍好一点点，不值得费劲巴拉的从海外买回来，税那么高！</t>
  </si>
  <si>
    <t>太大了 非常大，和尺寸参考完全不一致，退货很麻烦，只好找人改小一些</t>
  </si>
  <si>
    <t>严重的质量问题！工作人员的失职和对亚马逊品牌的损害！ 连残次品都不如！根本就不像大品牌的鞋，甚至在任何情况下都不是一双合格的鞋！鞋面多处划痕！鞋舌磨损严重！鞋底较大断裂！缝合处皮子断裂、翻裂！一只鞋头是歪的！甚至部分皮革封边都没有做！非常气愤！</t>
  </si>
  <si>
    <t>还好吧，不如剃须刀原配的耐用 还好吧，不如剃须刀原配的耐用，这个只能用7个月左右刀网就会破损</t>
  </si>
  <si>
    <t>物有所值 在还没煲的情况下给四颗星吧。佩戴很舒服，没有不适。</t>
  </si>
  <si>
    <t>总体合身 衣服总体还可以，178  68 穿M的  稍微有些偏大 能够接受</t>
  </si>
  <si>
    <t>还可以 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</si>
  <si>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一般 舒适度一般，鞋面显得扁平，内衬比较滑</t>
  </si>
  <si>
    <t>东西不错 确实可以增加小孩子的抵抗力。生病次数好了很多。</t>
  </si>
  <si>
    <t>极度舒适 一分价钱一分货啊，满分！</t>
  </si>
  <si>
    <t>异味，味道 很实惠，比在国内买便宜太多了，也没有异味，不漏水就是吸头被小孩咬烂后没有配件买，</t>
  </si>
  <si>
    <t>不错。 168cm.68kg.合身，质量好。</t>
  </si>
  <si>
    <t>品质好 强烈推荐浓郁巧克力口味，配合牛奶更好喝！</t>
  </si>
  <si>
    <t>适合上班通勤穿着 不错，clarks穿uk8.5, 这个42正好</t>
  </si>
  <si>
    <t>偏大 颜色很好看，美版很大，平时穿26，这个最小号都是宽松的</t>
  </si>
  <si>
    <t>好大一箱 买的四季款，内含4.5+9的2条，可以通过扣子扣一起使用。标签显示可以40度水洗及滚筒烘干。 4.5的绒量少，部分格子漏光挺多的，9的比较均匀。 就是英标和国内差别挺大，被套难配。 不过话说回来，如果尺码一样也轮不到我买了，早就被yellow cattle们搬空了。。。</t>
  </si>
  <si>
    <t>大一码 这条比国内品牌尺码大一码，买小一码刚好。</t>
  </si>
  <si>
    <t>宝宝不是太喜欢咬 看同事买的自己也买了个，不沾灰，就是四个脚咬的时候互相挡着了，头又太大不好咬，宝宝玩两下就不要了</t>
  </si>
  <si>
    <t>不错的鞋子 非常好，大小合适，正品无疑</t>
  </si>
  <si>
    <t>还不错 正常穿31号的牛仔裤  皮带34刚好合适 正常在第二个孔</t>
  </si>
  <si>
    <t>非常好 半个月就收到了，款式大方、稳重，质量、做工非常好，价格比专柜便宜很多，值得购买。</t>
  </si>
  <si>
    <t>尺码合适。 质地柔软，尺码合适。</t>
  </si>
  <si>
    <t>轻薄舒适 172.5，长度略长一点，不过是缩口的就没所谓，轻薄舒适</t>
  </si>
  <si>
    <t>合适漂亮 合适漂亮</t>
  </si>
  <si>
    <t>很值 很不错 国内双十一都要1399  这边到手才1050。大概一个礼拜拿到手，东西确实是真的，做工手感什么的都超级棒，音质的话得煲好久，煲开了还是很不错的，吉他音色毒的不行，其他的话中规中矩，主力还是摇滚，偶尔听听民谣也不错。值得不行。</t>
  </si>
  <si>
    <t>健康 夏天穿非常舒适</t>
  </si>
  <si>
    <t>放心买 亚马逊海外购最稳妥的可能就是短袖了，不存在袖子过长的问题。169/120和合身舒适，这个价位真是值了</t>
  </si>
  <si>
    <t>整体合身！ 170，60公斤！袖子有点长，衣服稍薄但轻柔合身！供参考</t>
  </si>
  <si>
    <t>描述一致 尺码标准非常满意！</t>
  </si>
  <si>
    <t>质量很好 用了一段时间才来评论的，质量很好，真皮，不易变形，材质略硬（我喜欢的硬度）。</t>
  </si>
  <si>
    <t>质量不行 质量好差，款式还可以，穿了没几次发现屁股后面那口袋居然破了一个大洞，我真是不知道说啥好，假货都比你质量好，呵呵哒</t>
  </si>
  <si>
    <t>和我在美国costco带回来的6.35磅的口味不一样 都是巧克力的，但是口味不一样。 而且，冷水冲泡，有凝块漂浮。搅不开。我自己从美国带回来的就没有这个问题。 怎么会这样？完全不一样！能回答一下吗？</t>
  </si>
  <si>
    <t>质感不错，尺码偏小 质感不错，但尺码确实偏小了很多。</t>
  </si>
  <si>
    <t>左，右脚不一样大 太坑爹了，美亚发过来的鞋是左脚38，右脚40，还要自己寄回美国退货。</t>
  </si>
  <si>
    <t>做工粗糙，疑似假货，慎重购买（差评） 做工粗糙，疑似假货，慎重购买（差评）</t>
  </si>
  <si>
    <t>生产日期涂改 日期位置确实有白条覆盖，改成打印在瓶底。不知道怎么回事。看评论2017年购买的是这样，没想到2019年还是这样。。。</t>
  </si>
  <si>
    <t>裤长有点长，其他比较合适，性价比很高 性价比非常搞，手抖多拍了一件，海淘退货运费比裤子还贵</t>
  </si>
  <si>
    <t>可以 性价比高，不到110购入式样材质可以国内中通不行。</t>
  </si>
  <si>
    <t>天伯伦鞋 时隔四年又买了一双，但皮质明显看出来是不一样的，原来的是属于光面皮，这个皮子纹路大一些。鞋子应该是偏大一点</t>
  </si>
  <si>
    <t>快速，便捷 用了几个月，优点：方便快捷，很好用，咖啡很香，噪音也在接受范围内 缺点：奶泡机在牛奶未超max（线）时，在自动打泡时会经常会溢出（盖子也会被顶出），</t>
  </si>
  <si>
    <t>合适 合身，保暖效果可以…………</t>
  </si>
  <si>
    <t>快速卡，单反的必备 比较价格后英亚的还算OK, 不过也是中国产商品，整体使用感觉尚可，具体数据网上都有就不再测试了，随包装也附赠了两年的数据恢复。 发货还算可以，下单到收货10天多一点，不过英亚的包装要垃圾了，就是一个纸板裹起来而已，虽然商品完好，但是整个包装都蒙上了一层土，完全没有日亚美亚的包装用心，商品五分，包装零分</t>
  </si>
  <si>
    <t>谨慎购买 亚马逊的服务很棒 寄来的蛋白粉包装漏了 客服小姐姐马上给我退款了 非常感谢🙏 要买的朋友们 这款可能生产日期是18年的 然后寄过来之后很可能会漏粉 大家谨慎购买</t>
  </si>
  <si>
    <t>方便好用 厚重做工好 性价比高 发过来的确保护措施等同于没有，但是幸好没有啥明显的划痕。到了上海以后都是顺丰配送点个赞👍 机器很好用，妈妈说也想买一个 后面可以自己给孩子做面条了 放心！</t>
  </si>
  <si>
    <t>牛仔裤 品质确实不错，式样也好</t>
  </si>
  <si>
    <t>嗯 尺码正，面料柔软，颜色无偏差</t>
  </si>
  <si>
    <t>很好的笔，解毒良方，推荐！ 笔很正，高大上，非常顺滑，很好很好写。我的是M尖，笔尖太大了点，快赶上美工笔了，签名练字F尖足够。</t>
  </si>
  <si>
    <t>就是邮费贵点 平均下来也还行，一瓶不到二十块钱，味道孩子很喜欢，瓶盖设计的也很有特点，儿子现在特别喜欢刷牙了</t>
  </si>
  <si>
    <t>很合身 衣服不错，很合身。</t>
  </si>
  <si>
    <t>超值，就是 好，误差6秒，460快，值误差根据教程，半个多月，在三秒之内，有时候甚至准时，就是这么牛逼，是黄陀背透怎么看不到机芯的运转，</t>
  </si>
  <si>
    <t>3T存储用机械硬盘 识别为日立品牌，白标库存盘，作为数据存储备份使用性价比超值。</t>
  </si>
  <si>
    <t>鞋子不错 平时穿41码的，这个鞋子正好。</t>
  </si>
  <si>
    <t>尺码奇怪 同样的裤子分别买了砂砾色和海军蓝，结果两条裤子居然不一样大，海军蓝的裤型很正，是标准的slimfit。</t>
  </si>
  <si>
    <t>舒适 172 65  s码</t>
  </si>
  <si>
    <t>挺好的， 不是完全软的，罩杯还是有点形状的，70c穿m 的正好，还是很舒服的。到货非常快，一个星期就到了。</t>
  </si>
  <si>
    <t>外观很不错 音质待煲机，物流很高效，一周就送到了，五星好评！</t>
  </si>
  <si>
    <t>味道好，就像软糖一样 味道好，就像软糖一样</t>
  </si>
  <si>
    <t>175cm，85kg，中号。 175，85kg，中号，正好。非常好，再买一件。</t>
  </si>
  <si>
    <t>更换简单 价格便宜，更换简单，换完刷的又很干净了。</t>
  </si>
  <si>
    <t>是正品 保温杯质量好！大品牌值得信赖。</t>
  </si>
  <si>
    <t>philips钻石刷头 清关快，这一次价格不错，w2在老款的hx9332上能用</t>
  </si>
  <si>
    <t>盆骨带 这个确实在日亚买是最划算的。我没看过天猫的质量，但是看过朋友的，一样的。速度也很快。</t>
  </si>
  <si>
    <t>蓝色色差 面料比较硬，蓝色和图片的色差有点大。</t>
  </si>
  <si>
    <t>穿了1个星期，然后就起球了！ 穿了1个星期，然后就起球了！ 大小合适，板式很漂亮，刚穿上感觉超值，但是用了几天就起球了，觉得也就这样吧</t>
  </si>
  <si>
    <t>太大了！！！ 185cm/88kg，买的L，感觉是3XL~4XL，太大了。。。</t>
  </si>
  <si>
    <t>辣鸡 辣鸡，掉毛，掉很多的毛，感觉地摊货</t>
  </si>
  <si>
    <t>很一般 低频弱的一批，只能练琴用，听歌根本用不了</t>
  </si>
  <si>
    <t>尺码 身高183体重220买的Xl号码！开始穿的时候有点紧穿一天开始松快点了、这个天气还行、如果气温高的夏天再买大一码可能更舒服！可能是纯棉的原因！有点修身！ 质量还行、跟以前穿阿迪耐克的Ｔ恤厚度差不多、感觉！</t>
  </si>
  <si>
    <t>不方便 宝宝很喜欢 但是老咬铃铛。不是很方便</t>
  </si>
  <si>
    <t>还算满意 速度一般稳定在50-60M/s 还将就 容量差不多是0.93倍的样子 算是正常 体积比预想的要小点 还不错</t>
  </si>
  <si>
    <t>不卷腰夹屁 很厚实，冬天穿可以，不紧绷不卷腰，有点夹屁</t>
  </si>
  <si>
    <t>包装太简单 下单后看到某东同型号国行秒杀价999，实际收到货用了9天，到货包装太简单了，一点减震防护都没有，东西还行吧。可以正常使用，实际容量3.6T多</t>
  </si>
  <si>
    <t>舒服 面料舒服轻薄，适合南方穿着。</t>
  </si>
  <si>
    <t>很舒适的小内！ 日本制造，全棉高腰裤，我166CM身高，70CM腰围和92CM臀围，买了L码，非常舒适透气，喜欢穿高腰的推荐购买。</t>
  </si>
  <si>
    <t>无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</si>
  <si>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效果好 价格更好 效果特别好 比国内的all in one好不止2个档次以上，国内的洗涤块 用完以后 会有一股怪怪的气味 残留在碗碟上。这个版本 完全没有，不做比较完全体会不到。贵也买进口版本 7 个人发现此评论有用</t>
  </si>
  <si>
    <t>好吃的软糖。 好吃，有营养。满意。</t>
  </si>
  <si>
    <t>愉快的一次购物 愉快的一次购物，第一次用亚马逊，感觉很好。</t>
  </si>
  <si>
    <t>好用 很好用 买了几个</t>
  </si>
  <si>
    <t>很好的钢笔 性价比很高！不错!书写流畅</t>
  </si>
  <si>
    <t>推荐购买 杯子特别好，保温效果超强、值得推荐，价格也很美丽，比天猫官网便宜</t>
  </si>
  <si>
    <t>很棒 音质很好，值得拥有。</t>
  </si>
  <si>
    <t>款式与10061区别不大，没必要只认10061 国内42码，26厘米，买的8.5.我脚面高，不能买小，靴子选大不选小。且记。</t>
  </si>
  <si>
    <t>还可以吧 还不错吧，感觉一般般，因为是直筒，裤腿的确挺肥的</t>
  </si>
  <si>
    <t>便宜好用 体型小巧轻便</t>
  </si>
  <si>
    <t>偏大 好看 奇怪 我平时穿39 这个8.5的大了</t>
  </si>
  <si>
    <t>非常好 非常好</t>
  </si>
  <si>
    <t>超爱 喜欢!遗憾的是刚买完就降价</t>
  </si>
  <si>
    <t>尺码 尺码不好选择，太小了</t>
  </si>
  <si>
    <t>速度不错 美亚发送很快，价格很划算，实测速度大约160M/S，还不错的</t>
  </si>
  <si>
    <t>有型 舒适。适合户外活动远足。价格非常美好。</t>
  </si>
  <si>
    <t>好用 水压增大，喷在身上舒服，没等新房装修先迫不及待用上喷嘴了</t>
  </si>
  <si>
    <t>一直吃这个牌子的，对老人有作用 一直吃这个牌子的，对老人有作用</t>
  </si>
  <si>
    <t>正品 价格比国内便宜 价格比国内便宜啊 外观好看 五天左右到货</t>
  </si>
  <si>
    <t>性价比很高 价格很优惠～大小合适～</t>
  </si>
  <si>
    <t>对刚开始自己吃饭的小宝宝适合 这个手柄造型适合刚开始学习自己拿勺子的小宝宝，再大点就觉得柄小了。而且放在碗里、盘子里就只能整个勺子全躺下，因为手柄太重放不稳，经常掉到桌子上和地上。大点的宝宝不推荐了。 另外，用了2个月后，手柄上有图案的一面塑料整个都掉了，只剩下蓝色的柄，表面斑驳。</t>
  </si>
  <si>
    <t>不太透气 瘦长，有些夹脚，不懂这个牌子的码数，原来买过一双一样码的小的不能穿。ecco等其他牌子就无问题</t>
  </si>
  <si>
    <t>没吊牌，偏大 袖子真的特别长，不知道咋处理。 还有衣服连个吊牌都没有……醉了</t>
  </si>
  <si>
    <t>非常非常差劲的购物体验 terribel shppping 面料很扎人 又很薄  颜色不正尺码不准 very uncomfortable to wear</t>
  </si>
  <si>
    <t>垃圾 为什么是旧的，明显是穿过的。</t>
  </si>
  <si>
    <t>还可以 有一个盖子被打开了。还有运费我买4天后就可以免运费了。。。。</t>
  </si>
  <si>
    <t>大小尺码 鞋子的底儿不是一体的，是分开的。 实物上脚不是很美丽，但是穿着挺舒服的。</t>
  </si>
  <si>
    <t>容易有划痕，保温还不错 杯子很保温，单手操作很方便，也不怕漏水，但是容易有刮痕，放汽车的杯托里，用了几次就有很明显的划痕了，这种图涂层太不牢固</t>
  </si>
  <si>
    <t>没有包装，质量尚可。 为什么没有包装呢？是正品，买过的，一样。</t>
  </si>
  <si>
    <t>1699入手，还算比较满意 1699秒杀的i版黑色，帝都送货超快。耳机质量没什么大问题，就是耳套部分感觉很皱，可能是材料本身的问题吧。音质没煲开，不过个人感觉白开水是褒义词，吃馒头也是嚼久了就会甜的。</t>
  </si>
  <si>
    <t>全家实惠 不错，帮同学买的，第二次买了，很好用，比代购还便宜，用完了会继续买。</t>
  </si>
  <si>
    <t>不错 178厘米，90KG，穿L码，正好，很薄，不错，但料子一般。</t>
  </si>
  <si>
    <t>没有配件问题。 买之前看了评论都不太敢买，由于自己相信日本产品的质量后来还是买了，到家装上没有评论里说的那样零件买不到的问题，就是软管短了点，去楼下五金店买了师傅开的五金配件，装上就能用了，非常好！</t>
  </si>
  <si>
    <t>号码不好分 购买衣服太大了</t>
  </si>
  <si>
    <t>鞋子不错 鞋子大小合适，看评论买的。</t>
  </si>
  <si>
    <t>非常完美 169身高，110体重，女朋友穿的非常完美，国内专柜549，这里价格一半还便宜，非常好</t>
  </si>
  <si>
    <t>日版的做工不错 日版的性价比非常高，买之前仔细看了评价，故意买大了一号，177cm，65kg穿L非常合适。 物流也比想象中快得多。</t>
  </si>
  <si>
    <t>卡西欧5610 不错，这是我想要的卡西欧手表，我喜欢</t>
  </si>
  <si>
    <t>物有所值 纠结很久，多方比较之后（包括JBL305）之后入了这对，毕竟便宜了接近1k。很多人遇到的底噪干扰问题，我已经基本解决，总的来说可以使用有平衡输出功能的解码器，屏蔽底线，远离2.4G设备，改造解码器USB线，具体方法可以参照我在张大妈的晒单</t>
  </si>
  <si>
    <t>很好用 很好用的， LaCie 莱斯的东西好用</t>
  </si>
  <si>
    <t>颜值高价格美很实用 厨师机颜值高，价格也优美，下单后三天发货，一周收到，透明的搅拌碗很实用，能更直接的看到食物的状态，用厨师机做了和面，打蛋清，拌肉馅，表现都很好，工作声音也能接受，不过没有中文说明书，需要自己摸索熟悉</t>
  </si>
  <si>
    <t>水壶 水壶不错就是容量是1.2L的</t>
  </si>
  <si>
    <t>很好 穿着很舒服，胸型好看。</t>
  </si>
  <si>
    <t>很好 很好的产品，需要放冰箱保存，且最好不要让嘴碰到，以免有口水进去产生细菌。</t>
  </si>
  <si>
    <t>非常满意的一次购物 非常不错，做工很好，价格合适，柔软度不错，穿着舒适，177，77kg，合适。不大不小，里面穿T恤或者衫都可以。</t>
  </si>
  <si>
    <t>性价比高 很舒服，有支撑而且感觉特紧！</t>
  </si>
  <si>
    <t>质地不是特别软 衣服色彩有点偏暗的感觉</t>
  </si>
  <si>
    <t>码数 四十一码运动鞋穿着四十一码有那么一丝丝的大买9应该差不多了，不过没有原装鞋盒，好像国外买东西都是这样？</t>
  </si>
  <si>
    <t>质量好！ 质量不错！</t>
  </si>
  <si>
    <t>偏大，便厚 外观一般，偏大，对于夏天穿得衣服来说显然偏厚了，穿着嫌热，适合体型肥胖的大妈大叔穿</t>
  </si>
  <si>
    <t>棉质好 长短差不多，1米72，但腰身有点大，不过有松紧带</t>
  </si>
  <si>
    <t>不错的一只表 很好的手表，只要看中了这款表电波对时的方便，外加表的外观还是比较满意的。一次愉快的购物体验。</t>
  </si>
  <si>
    <t>小破包 包太小，和图片差太多，快递差评，慢的要死。</t>
  </si>
  <si>
    <t>货不对题 货物标题写的是MQ785，发过来的却是MQ745，晕</t>
  </si>
  <si>
    <t>一般般 看到网友评论的主控问题，本来想退货的，不过速度方面还凑合，就是这塑料壳太磕碜，连水口都有。</t>
  </si>
  <si>
    <t>比正常大一号， 本人41脚，买的us9，大一号，42脚正好穿，只穿过一次，想要的可以联系我，低价出售</t>
  </si>
  <si>
    <t>刷头质量差 很不好用，刷毛非常不牢固，总是刷着刷着嘴里就有几根塑料刷毛。体验太差了</t>
  </si>
  <si>
    <t>机子坏了 插上电完全没有反应啊 机子坏了吗</t>
  </si>
  <si>
    <t>磨腿 鞋码合适，上脚也舒服，唯一缺点就是鞋口锋线的地方磨腿</t>
  </si>
  <si>
    <t>CITIZEN 手表感觉质量不错，款式我挺喜欢，基本一致。就是表带有点硬，整体包装一般，简单实用！时间准不准，得看看再说咯。</t>
  </si>
  <si>
    <t>性价比高 买了两条，整体感觉都很好。有弹性。唯一的遗憾就是radical色的裤脚比maverick色的裤脚要大</t>
  </si>
  <si>
    <t>靠谱 东西挺好的，用过了觉得不错👍</t>
  </si>
  <si>
    <t>太大了，衣服还可以，没法退。 衣服价格还算是美丽的，就是太大了，没法穿，我175CM，70KG，选的M号，实际感觉S号就够了。</t>
  </si>
  <si>
    <t>不错，英亚过来速度很快 不错，英亚过来速度很快，原厂的，就是双包装的里面打开只有一个刀头，客服及时解决了，服务不错</t>
  </si>
  <si>
    <t>喜欢 用了很久了，质量好！</t>
  </si>
  <si>
    <t>舒服 一直买这个牌子，给妈妈买的，舒服</t>
  </si>
  <si>
    <t>很值 挺不错，很满意，便宜一半。</t>
  </si>
  <si>
    <t>终于到手了 其实下单650之前，本来是想买prw3500的，因为它有六局电波 但是，颜值650更好，所以，买呗，到手时间快了一个小时，估计应该是传说中的夏令时。 一如既往的去官网下了说明书，慢慢调试，总得来说，功能很多，手感不错，性价比高。 最后，若若的问下，在哪里看这次关税收了多少？</t>
  </si>
  <si>
    <t>ecco牌鞋子还是不错的。 挺好，鞋穿着舒适，轻便。</t>
  </si>
  <si>
    <t>穿着舒适 有莱卡，面料有弹性，穿着舒服，比较厚，适合秋冬天，腰部有舒适的松紧设计，172，78穿W33L30刚好。</t>
  </si>
  <si>
    <t>布料较硬 173体重70kg选M，下摆略长、袖口略长。布料较硬。总体上可以接受</t>
  </si>
  <si>
    <t>又轻又漂亮 海外购太方便了，价格也划算，又轻又漂亮，送闺蜜的礼物</t>
  </si>
  <si>
    <t>质量不错，速度每秒70M 质量不错，速度70M每秒。推</t>
  </si>
  <si>
    <t>很不错 39码比较标准的脚 一般买鞋买内长24.5cm的没怎么出过错，这次选的uk5.5/us8/eur38.5/24.5cm非常合适。如图可以穿肉色超厚袜子后  还比较宽松。鞋头部分皮的确容易皱，个人感觉无所谓。总体来说很棒，增高，显脚秀气，并且冬天也百搭。关于开胶之类的问题 还有待验证。到手价格含税290多点</t>
  </si>
  <si>
    <t>合适 尺码合适，便宜，三件才108元。</t>
  </si>
  <si>
    <t>值得购买 外观好看，质量杠杠的！德国制造，令人信赖！</t>
  </si>
  <si>
    <t>非常好 非常好，德国的，到北京六天时间，非常不错</t>
  </si>
  <si>
    <t>酷黑不错 最近迷上高个子皮鞋，连入三双，同样标号255的尺寸，添柏岚最大，北面其次，马丁正好。这双是皮质覆膜，不知道是否耐穿，酷黑外观不错。不知道如何保养。因为是全黑，外观上要比棕色的皮鞋显小。我是标准的250脚，一直喜欢穿大半码的鞋子。40脚一直喜欢买41，所以这双UK7US8的马丁大小正好。</t>
  </si>
  <si>
    <t>好 真的很好，国内这价格一条都买不到</t>
  </si>
  <si>
    <t>性价比高 买来办公用，用起来很舒适，书写感觉顺滑，非常不错</t>
  </si>
  <si>
    <t>质量好 质量还行，物超所值。</t>
  </si>
  <si>
    <t>最大的特点就是舒服！ 非常不错的凉鞋，免费Prime会员300不到入手，免运费，超值无比！亚马逊物流非常快，一个多星期就到了。码数很准，平时穿40码的皮鞋，凉鞋也选了40码，当然大一码估计问题也不大（价格相差就大了，哈哈）。产地印尼，做工和皮质都不错，尤其是鞋底很结实，不滑！虽然有些线头什么的，整体质量很好。穿上去感觉是穿过的最舒适的凉鞋，鞋底跟脚掌接触层比较软，有弹性，而鞋底是柔韧的橡胶底，对脚的支撑作用很好，上面的皮质鞋身对脚的包裹性也非常好，跟脚接触的部分都有缓冲材料包裹。总结一句话：这鞋最大的特点就是舒服！</t>
  </si>
  <si>
    <t>160cm，122斤，70的可以穿上 剖腹产后20天左右穿的，160cm，122斤，臀围99，腹围85，70的可以穿上，站着不嘞，坐着吃饭的时候有点紧，不太舒服。供参考。</t>
  </si>
  <si>
    <t>尺寸很准，版型也好 穿着比较舒服，不错。有弹性</t>
  </si>
  <si>
    <t>掉色/偏大 超级超级大 比我L码的厚外套都大一圈 浸泡了三次还掉色</t>
  </si>
  <si>
    <t>小了 没有描述的尺寸那么大，太小了，质量倒是不错，面料也是也是轻盈有质感的。</t>
  </si>
  <si>
    <t>漆面有水波纹，不够完美。 包装捡漏，笔身漆面仔细看有水波纹。对照网上真假辨别，都符合。姑且认为是品控问题吧。EF尖适合写汉字，出水量控制较好。黑色笔尖好看。</t>
  </si>
  <si>
    <t>用了不到半年就坏了，客服说不保修，还态度特别差，找她他就不理了 充电盒充电问题，老是充一会就停，之前充了1星期居然都没充满。用了不到半年就坏了。客服说不保修，还态度特别差，再找她他就不理了，亚马逊也没有投诉功能，真的是霸王条款，特别恶心，半星都不想给</t>
  </si>
  <si>
    <t>失望的亚马逊自营海外购 此鞋鞋口设计严重反人类，根据尺码选购常穿41码，到货后试穿，鞋口尺寸太小快把脚弯折了也没穿上，考虑到勉强的话 要么鞋子坏掉，要么脚坏掉，客服电话退货。结果客服告知我海外购自行寄回美国。。。经过几次沟通最后寄回 退款给我200多块！鞋子原价还400多 ，一共600多的东西，亚马逊怎么解释</t>
  </si>
  <si>
    <t>不保温 坏了？？？买了坏的？？？不保温！！！！！</t>
  </si>
  <si>
    <t>保温效果不是很好 保温效果不是很好，小家伙很喜欢</t>
  </si>
  <si>
    <t>有型 还不错</t>
  </si>
  <si>
    <t>整体感觉不错 整体感觉不错，买了34的比想象的要宽，不知道是什么皮，皮带上印着真皮字样，但是有点硬，双面使用很高端。</t>
  </si>
  <si>
    <t>穿着舒服 老妈说穿着很舒服，就是有点小。</t>
  </si>
  <si>
    <t>Weekender 很不错，就是走起来声音大，造型帅</t>
  </si>
  <si>
    <t>就是条裤子 就是条裤子，基本款，100元，值了。</t>
  </si>
  <si>
    <t>还不错吧！ 质量没问题，很不错，就是包装比较简陋！！</t>
  </si>
  <si>
    <t>不错 很实用的吸盘碗，经常用</t>
  </si>
  <si>
    <t>好用的宝贝 宝贝很好用，就是需要配一个转换器才能用，超级好用的宝贝，还有就是没有榨汁的工具，希望给配上就更完美了</t>
  </si>
  <si>
    <t>实惠 做工不错</t>
  </si>
  <si>
    <t>非常好，性价比高 性价比高，非常喜欢</t>
  </si>
  <si>
    <t>偏瘦 应该说鞋的质量很好！只是鞋号偏小，偏瘦。</t>
  </si>
  <si>
    <t>肩膀很魁梧 之前在美国航空博物馆里看到，没号了 ，回来发现亚马逊有就买了，这衣服偏大，肩膀很魁梧</t>
  </si>
  <si>
    <t>肥瘦合适，但略微有点短 肥瘦合适，但略微有点短</t>
  </si>
  <si>
    <t>很漂亮的大花洒 大爱汉斯格雅的花洒，质量好做工精致。亚马逊的价格非常实惠，物流速度也很快，这个配斯宝亚创的电热水器很合适。但是装修房子自己动手装上去。</t>
  </si>
  <si>
    <t>很好的睡袋！ 很好的睡袋！透气很好用！比国内山寨的软！</t>
  </si>
  <si>
    <t>十足的好耳机🎧 声场开阔，低音下潜深，中频浑厚。天鹅绒佩戴舒适，贴合度好。性价比高。推荐！</t>
  </si>
  <si>
    <t>质量非常好 质量非常好，样子大气，非常好的一次购物体验</t>
  </si>
  <si>
    <t>物有所值 适合移动端的阻抗，均衡的三频率，殷实的用料。</t>
  </si>
  <si>
    <t>大K 东西很精致，性价比高，虽然和某一万多的锅比较没有程序指导，但确一点不影响使用。第一天，就用的很熟悉了。另外和面非常赞，非常满意</t>
  </si>
  <si>
    <t>杯子保温效果好 杯子保温效果好，黒漆容易磕碰后露白，略大。</t>
  </si>
  <si>
    <t>推荐购买！ 合适，质量好，价格实惠！</t>
  </si>
  <si>
    <t>传输速度挺快！ 产品不错，就是外观不那么理想</t>
  </si>
  <si>
    <t>内衣 这款内衣非常合适 舒服 尺码也正好。颜色也漂亮，是正品。快递也很给力。。。。。</t>
  </si>
  <si>
    <t>非常不错 物流很快一周左右就可以到，而且包装完好。和店里卖的一样上脚很舒服。非常完美的一次购物。</t>
  </si>
  <si>
    <t>漂亮 正品，合适，舒服。</t>
  </si>
  <si>
    <t>裤子的形状不错。 穿着稍微有一点点大大。裤子的形状不错。</t>
  </si>
  <si>
    <t>不是毛衣 这不是毛衣，是长袖体恤。</t>
  </si>
  <si>
    <t>不建议购买 生平第一次穿这么硬的裤子，戳死人啦，舒适感特差！不建议购买</t>
  </si>
  <si>
    <t>鞋子材质一般 一星给价格 一星给舒适度 一星给试用会员的速度 两只鞋的皮子材质不太相同 一只还比较正常 另一只寄来的时候就有褶皱 穿了两天鞋子已经褶皱的不像样子 只能说 这个价格必定有这个价格的原因 瘦脚买合适的尺码就好 不用偏大一码</t>
  </si>
  <si>
    <t>最差的服务最差的店 史上遇到最差的服务，退货退款一个多月了音信全无，售后当摆设永远在排队，废品当新品发，收到货就不能使用，插上电脑就报警，第一次海外购就受这气啊，谁买谁知道，谁买谁后悔，打款容易，维权之路艰辛，要继续举报投诉……举报投诉……</t>
  </si>
  <si>
    <t>做工质量差 裤子做工质量问题多，裤兜的用料和缝纫太差，没穿几次就破了。太失望😞，不值这个价钱</t>
  </si>
  <si>
    <t>别买反绒鞋 不推荐海淘买，鞋子打开后至少三处以上磨损，而且都在最明显的位置，桑心</t>
  </si>
  <si>
    <t>不错！ 还是比较满意的！性价比很好的。现在每天早上都穿。颜色很喜欢！</t>
  </si>
  <si>
    <t>冠军 160，55kg，穿起来很合适。里面还加绒了的。总体不错。</t>
  </si>
  <si>
    <t>有点偏大 裤子有点儿偏大，到也不是大很多，就是觉得合身的话就缺那么点儿意思。178cm/75kg</t>
  </si>
  <si>
    <t>正品 送货快 日本原装</t>
  </si>
  <si>
    <t>功能设计很好，亚马逊的服务也好 人恒过，然后能改。亚马逊还是值得信任的好商家</t>
  </si>
  <si>
    <t>建议增加客服 皮带应该是真的，质量很好。上次买了一条36的，太短，这次买42的，又太长。打了四个眼。建议亚马逊能够增加客服，在客户下单时对客户给予很好的咨询，这样更好。</t>
  </si>
  <si>
    <t>不错值得购买 167/58这个码合适，给大家一个参考。质量这个价格很可以了</t>
  </si>
  <si>
    <t>品质很棒 舒适、弹性好、耐穿！</t>
  </si>
  <si>
    <t>挤牙膏的方式很吸引孩子 这个牙膏的包装设计很有意思，引起了孩子很大的兴趣。刷牙也可以很有乐趣。</t>
  </si>
  <si>
    <t>漂亮的笔杆 笔的颜色非常漂亮，不过没有吸墨器，只有一次性笔芯，没看清楚，有点遗憾</t>
  </si>
  <si>
    <t>大小合适，质量还可以，贵了点 大小合适，质量还可以，贵了点</t>
  </si>
  <si>
    <t>质量还是顶呱呱 质量还是顶呱呱的，就是我的身材与之不配套</t>
  </si>
  <si>
    <t>便宜 99元买的，尺码版式都好。但是一个月后裤脚露个洞。</t>
  </si>
  <si>
    <t>外观漂亮、清洁简单 原装进口电饭煲，自配变压器。目前采用三种方式煮饭。功率大，煮饭好吃。感觉煮出来比以前国产电饭煲量少。</t>
  </si>
  <si>
    <t>非常好 非常喜欢，做工精良。</t>
  </si>
  <si>
    <t>满意 面料有档次，做工精细，尺码标准。</t>
  </si>
  <si>
    <t>性价比高 声音很小几乎察觉不到。下单从威斯康辛发货大概一周时间送到。usb2.0接口下读写速度20多MB/s</t>
  </si>
  <si>
    <t>物美价廉 鞋子很好，很舒服，亚马逊服务值得国内其他电商学习，比专卖店便宜很多，，买了好几双Ecco鞋子了，很好，除了定价偏高以外，没什么缺点，本人亚瑟士，nike ad 鞋子都穿8D（us），尺码可以参考一下</t>
  </si>
  <si>
    <t>西铁城26E 非常不错，和我想象中的一样儿，直邮很快，五天到手，神速啊</t>
  </si>
  <si>
    <t>牛仔裤 裤子很不错，型号合适！</t>
  </si>
  <si>
    <t>终于到地铁站了 脚长290，平时穿nike45码，这次买12码，刚刚好，不挤脚，仅供参考</t>
  </si>
  <si>
    <t>ECCO穿着舒适，没有之一 ECCO的鞋穿着比较舒适，这款在亚马逊不是经常有货，给麻麻买的这双，穿起来很舒服，价钱比国内专柜划算的多。</t>
  </si>
  <si>
    <t>东西不错 很轻，价格合适</t>
  </si>
  <si>
    <t>速度快，很好 很快，不知道效果怎么样。之前吃的GNC的那个vioprex感觉效果不明显，这次换这个试试，膝盖打球总疼</t>
  </si>
  <si>
    <t>非常拉风 非常满意，很精神，人也显得魁梧，穿上去很暖和，大小还行，低腰。胳膊显得太粗了，照片上看不太出来。本人175cm,70kg,M号，供大家参考。之前一直在S号和M号之间拿不定主意，现在看来M号也很合适，如果想修身一点也许可以考虑S号。</t>
  </si>
  <si>
    <t>除了烧水时间长了一点，其他还不错 除了烧水时间长了一点，其他还不错</t>
  </si>
  <si>
    <t>不推荐 不推荐，是那种牛津布质地，穿上后全身痒，丢在一边了</t>
  </si>
  <si>
    <t>。。。 快递确实挺快的。就是鞋子有些毛病，鞋子里面有很多线头，刚开箱就有点脏(应该会掉色)。欧美人的脚确实比我们的窄。</t>
  </si>
  <si>
    <t>盖子不牢 餐盒盖子居然盖不牢，会弹开</t>
  </si>
  <si>
    <t>笔太粗 太粗了</t>
  </si>
  <si>
    <t>根本一颗星都不想给！ 太大了！根本没法穿啊！退货邮费居然比裤子本身还贵！什么玩意儿啊！！！！！！有哪位大神能告诉我怎么投诉亚马逊海外购吗？</t>
  </si>
  <si>
    <t>还不错 颜色米白，不是很亮的那种。胸围88买的l码刚好。</t>
  </si>
  <si>
    <t>很好！历史低价，很划算！ 历时2周德亚到手，历史低价。这个应该是低配版本的清洁系统，就是不带流程显示的那个版本。外包装很简陋，送到的时候盒子都摔瘪了，还好里面东西应该没有问题。机器在旅行包里面装着的，和以前的包装不一样，打开找了半天机器在哪里……刀头无保护罩，只送了一个清洁剂，国内版本的好像是送3个清洁剂？ 更新一下，晚上仔细检查机器，发现液晶面板的里面居然有一个指纹印？？？？？？？？？EXCUSE ME？？？？？？？荷兰制造这么渣？？？ 打电话给客服，退换货太麻烦了，算了就这样吧</t>
  </si>
  <si>
    <t>有点小 我本人穿42码的，这对鞋子穿起来有点迫脚，走路时候有点不舒服，是鞋子有点窄，原来想退，但是怕麻烦就算了，应该穿着会舒服点，所以穿着，这个价是便宜，但是运输费贵点。没有预期中那么好看鞋头不尖不扁。没有特色。皮质不错👍十分满意质量</t>
  </si>
  <si>
    <t>还可以吧 味道还可以，应该是正品。多少还是有点儿辣舌头</t>
  </si>
  <si>
    <t>值得购买 值得购买！大小正好！</t>
  </si>
  <si>
    <t>质量不错 身高175cm，体重73kg，买的33*32，美版穿着偏肥偏长，小一号会合身。</t>
  </si>
  <si>
    <t>刷头实惠 表示很实惠很满意刷的很干净</t>
  </si>
  <si>
    <t>满意 比预计送达时间提前8天收到，东西很还，只是感觉包装单薄了点。整体很满意，亚马逊很可靠！</t>
  </si>
  <si>
    <t>非常好用 打开包装就觉得非常精致，确实比别的牌子要好，用起来非常舒服。量大的没有OB大，但平常用足够了。</t>
  </si>
  <si>
    <t>刚上脚很硬 第一次在亚马逊购物很愉快 鞋子和想象中的差不多 希望大底耐磨</t>
  </si>
  <si>
    <t>马丁大夫 还行，这鞋在这个价位算不错了</t>
  </si>
  <si>
    <t>好用 第二次购买，好用，还没用上</t>
  </si>
  <si>
    <t>很超值的耳塞 听了很多动铁，动圈的耳塞，第一次听这个品牌，能在这个价位有这样的音质，很超值了，不比千元的耳塞差。</t>
  </si>
  <si>
    <t>性价比很高的保温壶，小孩子用不错 让我去买保温瓶，性价比很高就是下单到收货是个漫长的过程。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</si>
  <si>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挺不错的一款硬盘 HUB还是很方便的，电源适配器比我想象的大了不少，像我这种放在床上的可能不太方便，优点是速度可以，散热良好连续写入将近1TB文件基本无发热，噪声就是读取硬盘的时候有一点，之后就没有了，整体来说很安静('･ω･`)，缺点吧就是不好带，断电无法使用，外壳材质有带提高，感觉塑料感过强，还有推荐加一个开关。工作时的小灯挺好看的。整体来说，外观可以，外壳材质有待提升，性能很不错，物有所值(｡･ω･｡)ﾉ</t>
  </si>
  <si>
    <t>很好用的水壶 之前在实体店买过一个，孩子用了三年，摔摔打打的还是很结实的，这回这个希望能用的更久(o^^o)</t>
  </si>
  <si>
    <t>海淘中国制造 还可以吧，没想到还是中国制造</t>
  </si>
  <si>
    <t>性价比高 收到了，速度好快，东西正品，没毛病</t>
  </si>
  <si>
    <t>价格比国内便宜30左右吧 本以为海外购能买到原装进口的，没想到收到货是made in china</t>
  </si>
  <si>
    <t>通过看评论选了个个完美的尺码 本人184，68kg，没有肚子。通过看评论选的中号M，尺寸完美，肩宽正好，身上宽松。此料子属于偏厚一点的速干料，质感不错。完美</t>
  </si>
  <si>
    <t>轻薄透气 透气轻薄,穿戴舒适.方便洗涤.</t>
  </si>
  <si>
    <t>非常好的压缩衣 非常棒的压缩衣，第一次买，第一次穿，大大超过预期。尤其是透气性不错，没有闷汗的感觉。</t>
  </si>
  <si>
    <t>改NTFS格式！！！非常重要！！！ exFat会异响，而且容易翻车！！！之前拿到手忘了格式化，写入文件就是在敲键盘，而且温度能飙到60+，弗了</t>
  </si>
  <si>
    <t>纯棉，感觉很舒服 腰有点肥，下次买得买瘦一号的，裤长合适，我173厘米，72公斤，腰围85厘米</t>
  </si>
  <si>
    <t>舒服 穿起来很舒服~~也很帅气~~价格超级便宜~~~</t>
  </si>
  <si>
    <t>质量不错 比较轻薄，适合冬天穿在羽绒服里面</t>
  </si>
  <si>
    <t>无法开机，退货中 收到的是坏的，无法开机（已充电），退货中</t>
  </si>
  <si>
    <t>面料可以，做工略差 面料还行，挺厚实，但是做工真是一言难尽，水准还不如国内的普通品牌，裤脚都缝拧了，另外不是修身款</t>
  </si>
  <si>
    <t>鞋面缝线开线 在穿着3天后，鞋头，脚趾关节弯折处，鞋面的缝线开线，发毛。</t>
  </si>
  <si>
    <t>亚马逊也有假货吗 刚收到货，这盖子上面的锅钮磨损严重，不是新的。貌似用了很久。</t>
  </si>
  <si>
    <t>小小小 这件估计是童装吧，我103斤的小个子居然穿不了，布料粗糙又厚，要不是退运运费太贵，真是无力吐槽，亚马逊买东西真是靠运气</t>
  </si>
  <si>
    <t>不会再回购 有点效果吧，但毕竟不是药品。买了两次，后面不会再回购。</t>
  </si>
  <si>
    <t>合身，还可以 身高180，75公斤，海淘万年m号。衣服还可以，就是有点沾灰，在家当家居服还不错，出去穿也不是不行。</t>
  </si>
  <si>
    <t>173/77选择33/30 说实话，在亚马逊上买裤子，很难可以遇到合适的！这次算一次相对满意的。 173身高，77体重，33/30基本合适，面料和款型也符合预期，供参考。</t>
  </si>
  <si>
    <t>买来送给老婆的 之前已购一款黑色的，老婆经常用我的保温杯，只好再买一个，哈哈。。。</t>
  </si>
  <si>
    <t>超厚实的小汤锅 很幸运，锅安全到达了，唯一的不完美就是手把处的釉有裂纹。很满意！</t>
  </si>
  <si>
    <t>很好很合适 料子比较厚，时候冬天穿着，我身高187cm，体重100公斤，穿42/34的还行，腰稍微胖了点，裤子也长了，如果是42/32的我怕会短。如果是40/34的，我怕腿部会瘦，我喜欢穿宽松一点的衣服。</t>
  </si>
  <si>
    <t>好东西 很精致，性价比很高，推荐一下～</t>
  </si>
  <si>
    <t>鞋子有点大 鞋子有点大，之前都买这个号，这次大了</t>
  </si>
  <si>
    <t>棒！ 超级合适，版型超棒！</t>
  </si>
  <si>
    <t>完美 所谓完美就是已最低的价格买入心仪的商品，并且使用时没有失望，物超所值</t>
  </si>
  <si>
    <t>很棒 非常棒，和国产的不锈钢完全不一样，价格也超值！</t>
  </si>
  <si>
    <t>一次满意的购物 很合身，很舒适，价格非常好！</t>
  </si>
  <si>
    <t>厚实轻便，希望雪天鞋底不滑。 适合冬天穿，鞋码准确。</t>
  </si>
  <si>
    <t>很好吃 宝宝很喜欢吃，口味不错</t>
  </si>
  <si>
    <t>锅是好锅 包装不好，到货锅边就变形了一点，路过不太影响使用，亚马逊给了20%补偿，比退货方便多了！</t>
  </si>
  <si>
    <t>实用性 好看，简洁大方</t>
  </si>
  <si>
    <t>亚马逊 己经吃了三瓶了，有用，会坚持吃的，泌尿方面范的时候有所改变，感谢亚马逊提供这个平台</t>
  </si>
  <si>
    <t>音质很好 推动容易 整体均衡 低音响应强劲有质感 不拖沓 耳罩式 隔音效果良好  物超所值 非常满意</t>
  </si>
  <si>
    <t>推荐 买了几次了 不错 孩子喜欢吃</t>
  </si>
  <si>
    <t>舒服的内衣 挺舒服的而且价格公道</t>
  </si>
  <si>
    <t>第一次买 国外鞋码大。去实体店试过号来买的。脚感无差别觉得。鞋也一样。第一次亚马逊不错的购物</t>
  </si>
  <si>
    <t>还好 还好，穿了就变平胸了嘤嘤嘤，我觉得运动内衣很难脱，今天中午脱了三次才脱下来，感觉内衣下围迟早被扯松呜呜</t>
  </si>
  <si>
    <t>很好的日常休闲帽 帽子有点薄适合放包里备用 价钱有点小贵</t>
  </si>
  <si>
    <t>赞一个 比预计时间提前9天就收到货了，很棒，刚试穿了一下，大小什么的都很合适。应该是正品。</t>
  </si>
  <si>
    <t>很不错的裤子 样式我比较喜欢，整体上穿起来也比较舒服。就是裤料感觉有弹性，这个喜欢与否要看个人的喜好。和我四年前在美帝买的裤子基本上一样的，价格也差不多。老婆说我穿上后看起来显瘦，整体观感较好  几天后追加： 夏天穿有点热，十月底之前广州穿都觉得热。</t>
  </si>
  <si>
    <t>绝对值得再次购买 好穿好看，朴素款，质量也超级好</t>
  </si>
  <si>
    <t>很好 这是我一直回购的东西，基本上是在美亚上买的，这次这个超级便宜，比美亚+转运便宜多了</t>
  </si>
  <si>
    <t>2018.05.30.购买18219137896想要1000块钱可以卖 送了耳机包，耳机32欧都比较声小，其他耳机电脑放最大声都刺耳朵了，但是这个就是不怎么出声，正品应该是正品，英国发货，到佛山8天。我以前用的是创新live2，对比这个听动次打次不如创新耳机，平衡还可以吧。估计声音小，总感觉声音比较远，喜欢动次打次的我并不是很满意</t>
  </si>
  <si>
    <t>超宽型 袖长肩宽合适，腰围大的过分，适合大肚子的人穿着，面料偏硬。我174，78肩宽47胸围110，选的M</t>
  </si>
  <si>
    <t>一般 这个白色不显白，很一般。</t>
  </si>
  <si>
    <t>有待查验 特别短 标签背面没水印 不是正品</t>
  </si>
  <si>
    <t>差 差 差 很不友好的购物体验，12月8日下单，居然到了1月25日送达。亚马逊你的备货能力也太差了。而且购买时也没有明示无货需要等待。太差了！不过货本身质量很不错，大小也合适。</t>
  </si>
  <si>
    <t>还是医院开吧 不建议购买，我们从出生半个月开始吃，42天体检时维d含量远远低于标准，医生说这个属于保健品，滴剂的含量本身就不如胶囊开的准确，加之开封后，逐步氧化，含量会越来越低</t>
  </si>
  <si>
    <t>连裤袜，不是打底裤 是连裤袜，包装很仔细；还是会起球、粘毛的</t>
  </si>
  <si>
    <t>是我有强迫症吗？ 与网上标准北京时间对时后，差不多一天慢了一秒，而且总觉得分针慢了点，走不到位。这感觉好不爽==!</t>
  </si>
  <si>
    <t>可以 鞋子号码偏小，要买大一码</t>
  </si>
  <si>
    <t>差 这也与指导腰围差太远了，这服务太差了</t>
  </si>
  <si>
    <t>偏薄的裤子 个人觉得磨得有点多了，应该就是这个系列的风格</t>
  </si>
  <si>
    <t>很实惠的冲锋衣 性价比很高。颜色也舒服。</t>
  </si>
  <si>
    <t>维d 比预期的早到了，就是大大的盒子里装着颗玲珑心^ _ ^</t>
  </si>
  <si>
    <t>怀旧 很大，翅膀展开，不适合作钥匙扣。</t>
  </si>
  <si>
    <t>宝宝喜欢！ 可么多么奶瓶解决了纯母乳宝宝不爱奶瓶的历史，用这个宝宝还是能练习的吸奶瓶，挺好！</t>
  </si>
  <si>
    <t>轻巧，保温也不错。 轻巧，保温也不错。</t>
  </si>
  <si>
    <t>满分的杯子 自己用了，很好，买来送同学了</t>
  </si>
  <si>
    <t>喜欢 面料舒适，柔软亲肤，比那些国产大牌的打底裤袜好多了，装洗护袋放洗衣机洗没问题，没有变形起球。</t>
  </si>
  <si>
    <t>颜色特别显旧，水洗效果 修身款式，布料很厚实，尺码也很合适，颜色水洗效果显著。</t>
  </si>
  <si>
    <t>不错 很好！</t>
  </si>
  <si>
    <t>钙片 已经开始吃了期待效果。</t>
  </si>
  <si>
    <t>很nice 耳机音质很好 松下大品牌果然不一样 不像一些耳机漏音 这款完全满足了颜值和音质要求给你个like先</t>
  </si>
  <si>
    <t>好用 给家里父亲买的，之前用其他的结果嘴巴给伤着了，换了这款比较好用。</t>
  </si>
  <si>
    <t>不错 不错</t>
  </si>
  <si>
    <t>值得购买 个人觉得价廉物美，值得推荐。</t>
  </si>
  <si>
    <t>牙刷头不错 牙刷头很划算，这款好用</t>
  </si>
  <si>
    <t>很实用 外出使用很方便，实用</t>
  </si>
  <si>
    <t>真心推荐 无论是外观还是读写速度，都非常喜欢；外观上属于非常成熟稳重，霸气侧漏。而在读写速度方面也不错，真心推荐</t>
  </si>
  <si>
    <t>佩戴舒适 比之前的dt440轻了好多，非常舒适，久带不夹头，3米线，德国产。</t>
  </si>
  <si>
    <t>很轻！超级舒服！ 超级舒服，儿子很喜欢！</t>
  </si>
  <si>
    <t>非常值，一直信赖亚马逊自营 外观非常不错，还在煲机中</t>
  </si>
  <si>
    <t>容量很大 不知道是因为8T的原因，而是这个系列都是这样，速度明显比backup plus 5T慢，不过胜在价格便宜，用来做数据盘还是很好的。</t>
  </si>
  <si>
    <t>不理想 不好用，不到一个月用不了啦</t>
  </si>
  <si>
    <t>产地 说的是日本原装?以为日本产..是中国制造</t>
  </si>
  <si>
    <t>尺码对照有误 尺码对照表有误。因尺码标注有误导致收到的鞋穿进去非常艰难，脚被挤得很痛，最后只得送给他人。不过，鞋的质量还不错。</t>
  </si>
  <si>
    <t>退货运费太贵 过于大了，特别的肥。200斤穿个好肥。退货运费125太贵了，137的裤子运费就125这也太贵了，接受不了。</t>
  </si>
  <si>
    <t>融化成一大块了 不知道该说什么好！说好的190粒，结果收到的时候是一块，我想了半天没明白是怎么回事。考虑到退货太麻烦，就直接扔掉</t>
  </si>
  <si>
    <t>呵呵 实物跟商品图片不一样好吗？英文字都是黑色的</t>
  </si>
  <si>
    <t>挺好 手感不错，大小合适，171cm,72kg</t>
  </si>
  <si>
    <t>磨合后流畅、顺手，希望能长久使用。 除了标识很明显其他都不错，刚开始有点不顺手，墨色略浅，后来磨合一段时间后就比较流畅；F尖比想象中的要细一些，很满意。买它的主要目的是同学推荐品质可靠，希望能用的久一些吧。 三四天不用可以一笔出水，不过自带的墨囊感觉颜色较浅，还是自己买了墨水使用。</t>
  </si>
  <si>
    <t>没有6粒试用装啊 货收到了，箱子也没有封，不知道6粒是被谁拿走了，这个绝对是有问题啊</t>
  </si>
  <si>
    <t>质量可以 质量可以，不知为啥要两个装，其实一个就足够用了</t>
  </si>
  <si>
    <t>喜欢 喜欢，舒适透气.以后继续光顾.</t>
  </si>
  <si>
    <t>虑心质量怎么样用后再来追评 质量很好，很喜欢。</t>
  </si>
  <si>
    <t>好用，性价比高 很好，也快，性价比高</t>
  </si>
  <si>
    <t>表盘较大 nice，就是有点大了。</t>
  </si>
  <si>
    <t>还不错 在系统给定时间范围收到了，吃上了</t>
  </si>
  <si>
    <t>性价比高 比较喜欢，SHORT的长度刚好。</t>
  </si>
  <si>
    <t>码非常正，适合39 非常非常合适，平时39码，之前纠结半天，各种评论地看，终于买到非常合脚的大黄了，北京冬天穿着一点都不冷。</t>
  </si>
  <si>
    <t>奇葩鞋带 还可以挺好的，鞋带不太方便使用！那个大师辈出的年代，章太炎，刘文典，黄侃，傅斯年，周作人，梁实秋，胡适，钱玄同...虽不能至心向往之！</t>
  </si>
  <si>
    <t>亚马逊价格美丽 多角度刷头价格最美丽的地方了，买一次管两年，电动牙刷本体估计要撑不住。</t>
  </si>
  <si>
    <t>可爱的餐具 很可爱的小鹿餐具，叉子很适合宝宝自己吃水果</t>
  </si>
  <si>
    <t>质量不错，值得购买！ 质量不错，值得购买！穿了两年没变形</t>
  </si>
  <si>
    <t>品质👌 快递超快的，而且碗得颜色和质感都很好，小朋友很喜欢，以后就可以用它练习吃饭了。</t>
  </si>
  <si>
    <t>运动 挺好的，杯罩偏大，特意买了小一码的</t>
  </si>
  <si>
    <t>还可以 还可以，30的裤子，这个80CM正好</t>
  </si>
  <si>
    <t>舒适 柔软，和预想一般的舒适</t>
  </si>
  <si>
    <t>非常好 保护心脏，浓缩的方便</t>
  </si>
  <si>
    <t>日本行货 还没用，囤货中。国内母婴店里的贝亲奶瓶，底部也显示的是made in Japan</t>
  </si>
  <si>
    <t>SGW100 很不错的，看中指北针功能，配色也很好看。</t>
  </si>
  <si>
    <t>缓解耻骨疼 孕晚期开始用，还不错，稍微缓解耻骨疼，要不然走路都困难了，坚持用应该不错，生完继续用，质量很好……………</t>
  </si>
  <si>
    <t>最爱的牌子 穿起来很舒服……</t>
  </si>
  <si>
    <t>便宜 虽然有点大，但是便宜啊</t>
  </si>
  <si>
    <t>好用 用来焖薏米芡实赤小豆~~要温水泡几个小时先~~ ~~不错~~</t>
  </si>
  <si>
    <t>裤型不好 裤型不好，上身效果不好</t>
  </si>
  <si>
    <t>没有亮点，也没有特别的槽点 中规中矩，没有什么亮点，当时买大馒头的主要原因是前端是iphone，直推能用的耳机没几款，一度犹豫要不要烧IE800，但感觉自己不会再花更多钱买耳放和前端，买个便宜的听听就选了大馒头2</t>
  </si>
  <si>
    <t>尺码偏小 尺码偏小，穿不了，送人了</t>
  </si>
  <si>
    <t>这个应该是防雨布做的把 这么硬 感觉像帆布而不是棉布 这个应该是防雨布做的把 这么硬 感觉像帆布而不是棉布</t>
  </si>
  <si>
    <t>半年就坏了 使用不到半年就文件就损坏了 打电话给客户还被告知海外购无法修理 极差的用户体验  以后我是不会用海外购的了 根本没有任何保障。</t>
  </si>
  <si>
    <t>路边货，质地很差 质量很差，千万别买</t>
  </si>
  <si>
    <t>不好 衣服有点长，差不多盖到大腿中间，舒适度一般，颜色有点老旧感</t>
  </si>
  <si>
    <t>BEEWAX色，比ORIGINALS的偏大 发来连盒子都没有，问客服也不了了之了。。 比ORIGINALS的偏大，底更硬，没鞋垫。。比较实惠。</t>
  </si>
  <si>
    <t>音质还可以，但质量不行 用了一年半时一个音箱播放异常，人声音量特别小，现在也不知道到哪里能修，亚马逊的网站上也找不到客服链接，好奇怪</t>
  </si>
  <si>
    <t>还不错 之前买的莱思康没独立供电 开关机切换会爆音 换了这款好多了 不过想多4pre好像阉割了一些功能 亚马逊也没有雷电口版本 价格还不错</t>
  </si>
  <si>
    <t>鞋子合适，颜色正 颜色很正，平时买国内的鞋码40，这次买8.5码,很合适，收到的包裹很好，继续在亚马逊买鞋，很适合我们这种大脚.</t>
  </si>
  <si>
    <t>质量 真的很不错 一直穿CK内裤 没有束缚感</t>
  </si>
  <si>
    <t>音质超过预期 用过一段时间后 是一个质变，高中低音各方面都很均衡。远超我的预期。</t>
  </si>
  <si>
    <t>很棒 保暖防水不用说了。超级赞，至少是防水鞋里面最好的 鞋子比较重，皮革方面非常下功夫，内部缝线都做了防水措施 鞋底偏软，走到石头地上会有凹凸感，然而正是因为这个做法，这个鞋子运动起来非常方便，脚吃力舒服，各种蹲跑起跳不是问题。 包装也很大气。最后  5分。</t>
  </si>
  <si>
    <t>尺码一致，鞋子不瘦，很好！ 和ecco皮鞋尺码一致，不用买大一号。非常满意</t>
  </si>
  <si>
    <t>很好 商家发货很快，下午下单第二天上午就到了，包装很好，产品是正品。</t>
  </si>
  <si>
    <t>品种齐全 各种颜色各种类型笔。</t>
  </si>
  <si>
    <t>还不错 表不错，就是有点小，我手腕粗。</t>
  </si>
  <si>
    <t>穿着舒适，保暖性能好，尺码适合。 穿着舒适，保暖性能好，尺码适合。</t>
  </si>
  <si>
    <t>值得拥有 商品收到了，很喜欢，用起来也很舒服，刮的干干净净的，值得购买的！</t>
  </si>
  <si>
    <t>棒棒的了g 挺不错的，质量不错。</t>
  </si>
  <si>
    <t>很棒!!excellent 很好！！噪音不大！可以接受！</t>
  </si>
  <si>
    <t>实惠，价格完美 开始在商城看好了是1400多，打算再看看，后来黑五就在亚马逊上看了看，下单之后一共才花800块。质量挺好的，目前感觉还不错，值得推荐。</t>
  </si>
  <si>
    <t>厚牛仔裤 超赞，墨西哥产，较厚，冬季外套必背，棉质不太好，面料较硬！值这个价格！</t>
  </si>
  <si>
    <t>开心 第一次在亚马逊买东西，心里没底，没想到还不错，价格美丽</t>
  </si>
  <si>
    <t>Cole haan 刚刚了解这个牌子，衣服很好。</t>
  </si>
  <si>
    <t>不错的商品 买给妈妈吃的，挺好的，一天一粒价格划算</t>
  </si>
  <si>
    <t>质量不错 非常合适，做工粗犷，有性格</t>
  </si>
  <si>
    <t>可以 号码准，但是压脚面，最好拍大一码</t>
  </si>
  <si>
    <t>包装完好 包装方法很巧妙，完好无损，送人了，孕妈很喜欢😍</t>
  </si>
  <si>
    <t>好货 货没有任何问题。亚马逊机器翻译的介绍文有待商榷。“国内厂商2年保修”指的是日本国内......</t>
  </si>
  <si>
    <t>好 超级好穿 超级白搭 颜色很好</t>
  </si>
  <si>
    <t>鞋码稍微偏小！ 真服了这里面各位大神的评论了，平时耐克穿42，看这里面评论说鞋偏大，买的8号，到货了根本穿不了，顶脚！</t>
  </si>
  <si>
    <t>号码偏小 号码偏小</t>
  </si>
  <si>
    <t>感觉不透气 一般，样子漂亮，但是不知道为什么感觉很不透气。</t>
  </si>
  <si>
    <t>裤子超级硬没法穿 买回来打开发现，裤子太硬了，穿着肯定不舒服。申请退货，然后一堆英文，非常不方便不人性化，失败的购物体验</t>
  </si>
  <si>
    <t>质量太差 用了不到三个月，指针就脱掉了。</t>
  </si>
  <si>
    <t>旧鞋当成新鞋卖 收到一双明显被穿过的新鞋，脏兮兮的，磨损严重，没有任何生产铭牌的新鞋，极差的体验</t>
  </si>
  <si>
    <t>还行吧 平时穿国内款Lee的36×32刚好，美款的腰合适但是裤腿略宽，给大家做个参考。另外吐槽下亚马逊的介绍太烂，应该标明什么系列，如724,743</t>
  </si>
  <si>
    <t>还不错 鞋子不错，印度尼西亚生产，39码的有点偏大</t>
  </si>
  <si>
    <t>表带太差了。 整体可以，表带太差了。有点伤心😭</t>
  </si>
  <si>
    <t>性价比高 比在国内买便宜，160高，120近，基本合适袖子稍长一点</t>
  </si>
  <si>
    <t>建议按运动鞋码，买加宽版。 25cm脚长。40皮鞋，41运动鞋，买7.5W非常合适，建议按运动鞋码，买加宽版。实。。。好了，吐槽质量，鞋拿到手先看鞋舌，菲律宾产，我的心就拔凉拔凉了。马上检查一圈，两只鞋子共计3处小脱胶。本来想退，最后留下自己处理了。  2个月后补充：这鞋除了脱胶外，其它都还不错。1月份爬山徒步共计100多公里。在冰雪地穿冰爪上下山50余公里，没任何漏水和损坏，保暖。脚也比较舒适。冬天户外还是这种全皮的好穿一些。</t>
  </si>
  <si>
    <t>挺好的裤子 首先裤子比较长，腿短短的要注意了。改短的因为膝盖部位有防下蹲撕拉功能会不合。有防拔水能力，但雨天还是会透水。弹力大，适合户外徙步登山。防晒不防晒就不清楚了。二百多一点，比国内的便宜好多！值！</t>
  </si>
  <si>
    <t>其他都还好，就走时，会快一些 用了10多天，现在快了3秒左右</t>
  </si>
  <si>
    <t>舒适 材质很舒服，也很保暖，准备帮妈妈也买一条。</t>
  </si>
  <si>
    <t>长久保持口气清新 一直用的这款漱口水，效果很好，但是包装跟我在某宝上代购的包装有细微差别，不过效果貌似都一样好</t>
  </si>
  <si>
    <t>餐具可以 这套不锈钢餐具不错，买了几套了，外壳可以取下来的，方便清洗。</t>
  </si>
  <si>
    <t>合身 身高172，体重146，M号，袖子稍长。东西很不错！</t>
  </si>
  <si>
    <t>说明书 就是没有中文版说明书</t>
  </si>
  <si>
    <t>质量不错 质量很好但是码买大了哈哈哈</t>
  </si>
  <si>
    <t>宝贝喜欢 漂亮，颜值高。拿到新餐具，宝贝就玩了好久，小勺小叉爱不释手！</t>
  </si>
  <si>
    <t>鞋子实惠好穿 跟想象的一样优秀</t>
  </si>
  <si>
    <t>大黄蜂，帅 平时穿37码，5码M还是略大一点点，但是买来是冬天穿的，完全可以接受。</t>
  </si>
  <si>
    <t>衣服买小了，转 衣服收到了，衣服本身没问题，但是我买小了，有需要的可以找我，我还没穿过。</t>
  </si>
  <si>
    <t>很舒适，塑身但不紧绷 收腹效果很好，也不紧绷</t>
  </si>
  <si>
    <t>大小合适，面料舒适 女朋友挺喜欢的，说挺舒服的</t>
  </si>
  <si>
    <t>好东西 一直在用，信任碧然德。</t>
  </si>
  <si>
    <t>还不错 应该还不错吧</t>
  </si>
  <si>
    <t>核算 19左右一根，囤了2盒，不算最低但也可以了，现在好价不多了。图就不晒了，亚马逊的上图真是这我们用过的所有购物网站里最傻的，没有之一。</t>
  </si>
  <si>
    <t>可爱 超级可爱啊，保温效果不错</t>
  </si>
  <si>
    <t>海外购价格便宜 价格优势很大，到手包装完好，内置emaz氦气盘，测试无坏道。</t>
  </si>
  <si>
    <t>推荐 很好，很喜欢，码数也合适。</t>
  </si>
  <si>
    <t>非常好 大小合适，颜色也很正</t>
  </si>
  <si>
    <t>洁碧水牙线 很不错的一款产品，很好的一次购物体验。更人性化的产品，既清洁了口腔，又按摩了牙床……老婆也喜欢上了这款产品</t>
  </si>
  <si>
    <t>图片跟实物差别太大 图片显示的是偏卡其色，但是鞋子是深棕色。。。而且鞋子很重，，，很重，，，，很重，，，，重要的事情说三遍。。。穿起来很容易累。我终于知道这款鞋子为啥那么多差评了。。我就是受害者之一。</t>
  </si>
  <si>
    <t>衣服过大 材质不错 183身高  74KG  L号竟然过臀，这是什么鬼？是我又矮又小配不上你的L号么？</t>
  </si>
  <si>
    <t>磨软的还可以 磨软的如香蕉啥的还可以。硬一点就不行了。</t>
  </si>
  <si>
    <t>餐勺掉皮皮 这个勺子要掉皮皮呀，我晕这么贵的餐盘居然要掉皮皮，完全不能占到热点的东西，不能给宝宝用，餐盘都不敢用热水洗了，不知道会不会也掉</t>
  </si>
  <si>
    <t>慎买，买了两个有一个就有问题。客服说的折扣也和实际退款不一致。 买了两个，本想着买个日版的可能要好一点，结果打自己的脸了，这个杯子防尘的地方翘起来了，盖不平。与客服沟通说两种方式解决，就是退了再买还要填一个什么资料或者打折。想着不漏水，图方便的我，选了打折，可是也不能忽悠人哦，说的折扣和最终的退款不一致。这并不是一点点钱的问题，这个信誉我也是服了。可能还是我不适合亚马逊。</t>
  </si>
  <si>
    <t>为什么吃了反而拉又肚子痛 我喜欢17岁，吃了两天每天一粒，说我给她吃的是泻药？一天拉个4次多，肚子还痛，大家有这种症状吗</t>
  </si>
  <si>
    <t>基本满意 颜色饱和度很高，版型挺好，弹力够大。美中不足就是热水烫下（杀菌）就掉色了，染的我CK白内裤一片蓝。。。价格比国内买划算多了。</t>
  </si>
  <si>
    <t>袖子有些长 喜欢宽松点，不厚，适合春秋穿</t>
  </si>
  <si>
    <t>不错 适合刚踏上职业岗位的小白领</t>
  </si>
  <si>
    <t>袖子长 料子不错，袖子有些长，需要改</t>
  </si>
  <si>
    <t>性价比超高 尺码偏小一个码，平时穿33的.这个腰围小一码</t>
  </si>
  <si>
    <t>不错 在亚马逊海外购买东西，鞋一定要到实体店试好号码才敢买，相对便宜，非常舒服。</t>
  </si>
  <si>
    <t>比国内价格良心多了 颜色如图，是我想要的</t>
  </si>
  <si>
    <t>尺码 纯棉，尺码合适，165、65公斤，M码合适，包装也挺好的，不错！！！和日版尺码差不多</t>
  </si>
  <si>
    <t>轻巧 最喜欢它的轻巧简单，要是有个滤网就完美了</t>
  </si>
  <si>
    <t>很好 口味很好，小孩子很喜欢</t>
  </si>
  <si>
    <t>不错 不错，非常好！不错不错不错不错</t>
  </si>
  <si>
    <t>很不错的卫衣 长短比较合适。如果胸部比较大的话，估计会有点紧。</t>
  </si>
  <si>
    <t>鞋子很棒 这次购买体验非常好，鞋子质量也不错。下回还会继续购买。</t>
  </si>
  <si>
    <t>戴着很舒适 音乐电影享受很好，低音炮。适合春秋冬戴着，夏天戴着会很热，戴着的时间也不宜很久。隔音效果还行</t>
  </si>
  <si>
    <t>不错的一款小白鞋 鞋型和做工都不错的一款小白鞋，就是鞋垫过高，显得鞋比较挤脚，还有就是稍微有点偏硬。</t>
  </si>
  <si>
    <t>合适 感觉也没有特别掉色，88公斤，178身高，买了36／32，稍大，秋冬季穿起来刚好。</t>
  </si>
  <si>
    <t>效果好 干发效果好，负离子还真有用的，吹了以后头发服帖，不再乱蓬蓬。声音有点大，分量也不轻，适合家用。原装的英式插头又大又重，配个转换器的话用起来也不方便。本着实用、方便的原则，自己动手直接剪掉，换成两芯插头，完美。剪断插头的时候发现了一个问题，虽然原装插头是三芯的，但是却并没有发现接地线。</t>
  </si>
  <si>
    <t>正品 实在没有合适的码数，只能买了女款。不过不错很舒服。</t>
  </si>
  <si>
    <t>满意 一切都好。就是说明书看不懂。需要百度。</t>
  </si>
  <si>
    <t>不错的礼物 简单，大方，挺好看的，送人还不错</t>
  </si>
  <si>
    <t>舒服 很合适，就是袖口那里会有些小，应该是就这样设计的，喜欢撸起袖子的时候就有点尴尬了，面料很舒服</t>
  </si>
  <si>
    <t>不错的选择 喜欢，保温效果特别好，很轻便，颜色艳丽。已经很注意了，可是杯身还是有被划拉的痕迹，希望这一块儿可以弄得更好。</t>
  </si>
  <si>
    <t>合身，物流慢了点 大小合适，尺码标准，170cm，68公斤，30*30正好，和国内尺码基本无异。</t>
  </si>
  <si>
    <t>衣服 很合身，喜欢</t>
  </si>
  <si>
    <t>很好很暖和 有些薄，但是非常保暖。里面有特殊的防寒涂层设计，零度左右我 穿一件秋衣一件哥伦比亚抓绒衣加一件这个很舒服。</t>
  </si>
  <si>
    <t>保暖性还不错。 身高171，体重65kg，说实话怕S码大，结果还真大了一些，袖子和身长都略长，但是比较修身，我习惯袖子收紧，也并不难看。衣服很薄，但是防风性、保暖性很好，比较适合江南一带的秋天。</t>
  </si>
  <si>
    <t>满意 比较厚实，合适度也很好，款式偏宽松</t>
  </si>
  <si>
    <t>太大了 大得可不是一点点</t>
  </si>
  <si>
    <t>刚开始觉得很好 刚开始觉得很好，后来觉得戴着像小孩子，就把表送给弟弟了~</t>
  </si>
  <si>
    <t>鞋子硬，不透气 脚背处很硬，走路咯脚背，38码买的5uk合适。</t>
  </si>
  <si>
    <t>不能充电 2019年1.7日买来这个水牙线，5.28日就发现不能充电，不能使用了</t>
  </si>
  <si>
    <t>无 我刚收到货，就降价一百多，鞋子看起来太丑了真的。被图片骗到了。小瑕疵太多了。还有一块地方有个很严重的划痕，真是凭运气买东西了。舒适度上脚还行。</t>
  </si>
  <si>
    <t>充满电后 听歌听不到十个小时就没电 充满电后 听歌听不到十个小时就没电 这是海淘的都是残次品么 刚到手耳罩上有划痕 我都无所谓了 这听不了多久算什么鬼</t>
  </si>
  <si>
    <t>鞋子很长 平时穿美码8.5，因为之前买clarks的鞋觉得偏窄，这个就买了英码6.5对应美码9，鞋子特别长，稍微有点大，冬天可以穿厚袜子</t>
  </si>
  <si>
    <t>还行 176高，170重，L号差不多。料子舒适度还不错，就是稍微薄了点。</t>
  </si>
  <si>
    <t>手感较重 拿在手里很重开始很不习惯，书写还是挺顺滑的，老公倒是很赞赏，觉得称手好写，也许是男人力气大</t>
  </si>
  <si>
    <t>有bug的喂水神器 宝宝三次就学会了用吸管！这杯子太棒了！就是老是漏水 这是最大的缺点 还有就是盖不紧 不过看在三次就让宝宝学会的份上还是称它为喂水神器吧～</t>
  </si>
  <si>
    <t>薄一些，暖和度过得去。可以打底，如图一样 薄一些，暖和度一般。可以打底，如图一样</t>
  </si>
  <si>
    <t>容量大，读写快，性价比高。 用来存储影像资料箅文档的，正好赶上活动，性价比高，赶紧入了一个。先放着备用。实际效果有待体验，相信亚马逊和西数。英国直邮过来的，满意。</t>
  </si>
  <si>
    <t>素质不错的耳机 这个价格怕是只有在亚马逊才能购买到，加了一根邦线，手机推，不错的</t>
  </si>
  <si>
    <t>哦 我喜欢</t>
  </si>
  <si>
    <t>感觉不错 鞋子很不错，刚开始觉得右鞋前面的接缝处有些磨脚，松一下鞋带就好了。感觉不错，推荐购买。</t>
  </si>
  <si>
    <t>裤子比国产时尚 看了裤子，质量可以，没有那么单薄。看清洗次数才能判断是否耐用。</t>
  </si>
  <si>
    <t>很不错。 东西收到了，不错啊！</t>
  </si>
  <si>
    <t>符合人体工程学的经典款式。 穿了N次的鞋。太舒服了！</t>
  </si>
  <si>
    <t>实用的机器 买了一个进口的，6700元，打出来的豆浆很细腻，一个月至少20天早晨都会做营养糊糊。这是给妈妈买的，代购的，从下单到收货大概不到一个月，另外配一个变压器，价格要便宜2千多。两个机器用起来是一样一样的，所以不着急的话，代购就实惠很多了。代购的唯一缺陷就是需要配一个很大的变压器。</t>
  </si>
  <si>
    <t>值得拥有 172，70买的S码，刚刚好，简直就是订做的，衣服质量不错，对得起这个价</t>
  </si>
  <si>
    <t>非常好的产品 该款产品我非常满意。</t>
  </si>
  <si>
    <t>做了一次不错 买来用过一次，揉面还挺快的，轻松出手套膜，喜欢做面包的很适合！</t>
  </si>
  <si>
    <t>好的多 不错。172/72/S合适</t>
  </si>
  <si>
    <t>好 非常棒</t>
  </si>
  <si>
    <t>好用！ 非常好用，容量也够大，煮好的银耳汤焖一晚上就会很稠，还是很热的，正好早上吃。很满意。</t>
  </si>
  <si>
    <t>喜欢爱步的鞋子 喜欢爱步的鞋子 ，鞋底很舒适，怎么穿脚都不会累，不穿高跟鞋的我也可以</t>
  </si>
  <si>
    <t>水压 超细出水孔很舒服。老房子有时候水压不行，增压效果很棒随时可以洗澡。</t>
  </si>
  <si>
    <t>好很不错挺好真不错勇夺冠军 好很不错挺好真不错勇夺冠军</t>
  </si>
  <si>
    <t>大小合适，质量不错，帅气 买之前看了很多评论，最担心size问题，做了这么多功课，收到货最终很满意，看来多做功课还是有用的，运动鞋穿42码，我拍的7.5  感觉自己脚比较宽所以拍的7.5  w的，一个礼拜到重庆，上脚真的是太帅了，第一次海外购就很满意，看有的买家收到的有些小问题，这个可能还是看运气吧！</t>
  </si>
  <si>
    <t>很好的保健品，产品很好，一直光顾这个品牌。 很好的保健品，产品很好，一直光顾这个品牌。</t>
  </si>
  <si>
    <t>非常好 性价比很高，在家胶囊咖啡</t>
  </si>
  <si>
    <t>注意形状 注意是椭圆形，不是圆形。</t>
  </si>
  <si>
    <t>东西不错，也很实惠 本人170CM，80KG，属于胖人，肚子比较大，尺码合身。质量没问题，这三个颜色也是很不错的。</t>
  </si>
  <si>
    <t>标题怎么写。 收到实物后，我有点失望。这个包再略略大一些就好了。</t>
  </si>
  <si>
    <t>容易起球 买给女儿的，穿了没多长时间屁股上就起球了，不要穿了，说是不好。</t>
  </si>
  <si>
    <t>小小得 鞋头绒面寄回来都被划一横</t>
  </si>
  <si>
    <t>过大 尺码对照表不准确，容易误导消费者</t>
  </si>
  <si>
    <t>布料差 布料很硬，感觉象砂纸</t>
  </si>
  <si>
    <t>ck男士内裤 内裤线头非常多呀，是肯尼亚制造摸起来质量好一般，面料也超薄看起来非常透光感觉穿不了好久就会穿洞一样，说实话有点失望！还没有国内几十块的内裤好！</t>
  </si>
  <si>
    <t>不好，很不好! 味道很大，像次品!安踏的比它好多了，良心话!亚马逊以后跟我绝缘了，果断卸载!</t>
  </si>
  <si>
    <t>还可以 300mb/秒，低速盘，价格便宜。</t>
  </si>
  <si>
    <t>还可以 上次那双听客服41的买的7.5回来了顶脚也懒得退，这次8号正好。总体不错，就是帆布的感觉好单薄，不知道有没Danner耐穿。配送是快</t>
  </si>
  <si>
    <t>西特城石英表 时间是准，就是表面容易刮花，我买的使用不到一个月就刮花了！</t>
  </si>
  <si>
    <t>品质不错 做工材质都不错，厚度适中，适合春秋季穿。</t>
  </si>
  <si>
    <t>掉色 深颜色的居然还掉色，其他的都还行，线头都跑线了</t>
  </si>
  <si>
    <t>好評吖。 超快的。感覺還不錯。</t>
  </si>
  <si>
    <t>满意 自己半月板受过伤，以前吃过这个牌子的红瓶，这次换绿瓶，吃了两天感觉不错，价格实惠，亚马逊中国的海外购方便也快捷～</t>
  </si>
  <si>
    <t>东西不错 物流超级给力，硬盘速度还行，不知道容不容易坏，毕竟新技术</t>
  </si>
  <si>
    <t>珐琅锅 很好，用了几次，挺好，锅也没什么瑕疵，尽量不要用燃气，最好用电磁炉。</t>
  </si>
  <si>
    <t>不错,挺舒服的.值得购买..... 脚长160, 买的8.5,比较和脚. 鞋子质量不错,穿着挺舒服的 第一次买这么贵的鞋子,还是网购,海淘.  其实也是第一次在网上买鞋子,毕竟不像衣服裤子就算稍有不适也可以将就,鞋子这东西没法将就啊！到货之前还是有些小担心的,不过还好,穿上感觉挺舒服的,鞋子质量也不错.</t>
  </si>
  <si>
    <t>很不错 这个说真的，做工跟质量都是很不错的，显示效果也很棒，就是说明书全是英文，看不了</t>
  </si>
  <si>
    <t>比较合适，性价比高，略显大，不是很严重 比预想的要大一点点，葡萄牙产，做工还可以，有些细节上的不足。穿着很舒适，比图片要显得粗犷。关键是性价比高，国内2300</t>
  </si>
  <si>
    <t>赞美 裤子版型非常好，质量也不错👍。四季皆宜，舒适柔软。</t>
  </si>
  <si>
    <t>棒棒 年前买的，十天左右就到了。鞋子更是没话说，各方面完美。</t>
  </si>
  <si>
    <t>没有假货最重要 很好，物美价廉。</t>
  </si>
  <si>
    <t>不错！ 165高，140斤，穿小码正好！</t>
  </si>
  <si>
    <t>东西还不错，可以继续购买 东西还不错，会继续购买</t>
  </si>
  <si>
    <t>满意 非常适合满意满意全5分，店家服务很好，送货及时，质量真的超好。</t>
  </si>
  <si>
    <t>音质 不错的麦克风话筒🎙️</t>
  </si>
  <si>
    <t>花洒那么小！ 东西很有分量，花洒很小，说明书看的明白，果然那是霓虹国，漫画功底很厉害。</t>
  </si>
  <si>
    <t>第一次买，买错了版型 买错了，应该买B版的，买了W版，很宽，靴子质量很好。</t>
  </si>
  <si>
    <t>Lee 男式性能系列极度舒适修身长裤 质量可以，有点长，尺码有点大，我预小1码刚好。要打税和运费有点贵。</t>
  </si>
  <si>
    <t>不错 价格实惠，裤子质量很好</t>
  </si>
  <si>
    <t>特别好 即使是新生儿，建议买大号的，宝宝天天穿着睡觉，特别好。贵一点，一年四季都可以穿，使用率高</t>
  </si>
  <si>
    <t>很不错的购物 大小刚好，质量不错</t>
  </si>
  <si>
    <t>应该是真的 在亚马逊第二次购买，还没开瓶。以前都是某东上买的，感觉亚马逊更真一点吧；看包装瓶子都差不多，平贴粘得也不标准，唉……亚马逊自营不应有假吧！</t>
  </si>
  <si>
    <t>包装不一样 为什么跟我以前买的包装不一样</t>
  </si>
  <si>
    <t>颜色不错，码数偏大，皮质一般 鞋子的造工不错，皮质略硬，鞋底很舒服即使鞋垫很薄，鞋子码数偏大建议按平常脚买小一码，但穿了不够一个月鞋舌面的皮出面爆裂，这是三星评价的主要原因，不是海外购我还以为自己买到假货了</t>
  </si>
  <si>
    <t>有了这个杯子，宝宝爱上喝水 漂亮好用，小朋友拿杯子够轻，自己也能开盖喝</t>
  </si>
  <si>
    <t>32×30 尺寸合适，但裤腿底端有些肥。 裤子不是修身款，腰的尺寸合适。但裤腿偏肥，如果是瘦子就没法穿了。</t>
  </si>
  <si>
    <t>衣服过大，就像普通的衬衣 感觉与图片完全不符，图片看上去是一件有质感的夹克，写的发货中间两百四十几克。实际就是一件加大版的衬衫，白等这么多天，太失望</t>
  </si>
  <si>
    <t>没有用，吃和没有吃都一样 没有用，吃和没有吃都一样</t>
  </si>
  <si>
    <t>穿戴简单，容易调节松紧 有点小贵呀，今天到的货，已经在穿着矫正了，坚持坚持</t>
  </si>
  <si>
    <t>小 哎，比想象中的小，质量不错</t>
  </si>
  <si>
    <t>厚实的浅色西裤 感觉是西裤类型，裤型宽松，料子厚实。本意想买薄型。可是商品介绍中无相关内容，也没有店小二可咨询。</t>
  </si>
  <si>
    <t>刚用上就把被子蹬了 不到7个月的小朋友漏着脚，无法阻止小朋友蹬被子。</t>
  </si>
  <si>
    <t>效果明显，发货速度快 效果很好，打完球喝一勺，第二天基本不酸，巧克力口感也不错。 物流快发的ups</t>
  </si>
  <si>
    <t>符合描述 与价格匹配，质量正常</t>
  </si>
  <si>
    <t>挺好的 老公2尺4腰围，平常买裤子都是31w的，此款腰间有松紧，看其他人评价可以小一码，买了30w，穿上正好，料有点厚，春秋季穿合适。</t>
  </si>
  <si>
    <t>很好的耳机，就是脖圈小了 使用方便，音质也不错，续航时间也长，就是脖圈小了点。</t>
  </si>
  <si>
    <t>很好 质量好性价比高。穿起来很舒服。码数偏大一点。当内衣穿要小一号比较好</t>
  </si>
  <si>
    <t>不错 还不错，就是女孩带有点大！说明书没看到防水参数</t>
  </si>
  <si>
    <t>鞋子很帅啊 比正常运动鞋稍大半码左右。鞋型很帅，很喜欢。</t>
  </si>
  <si>
    <t>尺码过大，很薄 尺码过大170穿S还嫌稍微大了一点，欧美版的最便宜到过90多一件。不过急着买一件200会员免邮也不错。衣服很薄，保暖防风还可以</t>
  </si>
  <si>
    <t>好裤子 腿围稍微有点大，面料很好，物超所值。</t>
  </si>
  <si>
    <t>特别小巧 非常喜欢 最关键是很小巧 长宽跟2T容量一样 只厚了2毫米的样子</t>
  </si>
  <si>
    <t>Good Watch 好评 进口商品,比预期的到达快很多. 走时很准确,误差在使用的两个月中很小,不影响使用(大概1s左右) 很好看~女朋友买的,很满意</t>
  </si>
  <si>
    <t>价廉物美，值得购买 表很大气，价格也很实在，值得购买。</t>
  </si>
  <si>
    <t>满意 很快就收到了，包装完好，很轻，方便携带。</t>
  </si>
  <si>
    <t>声音 中规中矩声音平淡监听风格不会有7506的齿音但是总体不耐听反正听起来不喜欢</t>
  </si>
  <si>
    <t>相信亚马逊精选的商品 这次牛仔裤蛮可以，给大家一个参考，我178，重135斤，买的32W*30L，很合身，希望大家选好自己尺码，因为一旦选错，退货麻烦</t>
  </si>
  <si>
    <t>亚马逊买东西有点类似买股票 关注几个月买的，价格能相差大几百元，鞋比较宽松，配的半掌鞋垫穿不惯，单配一副正好弥补偏大问题</t>
  </si>
  <si>
    <t>可以买 我166cm，体重104斤，穿s码刚刚好。</t>
  </si>
  <si>
    <t>洗碗机可用 喜欢，挺好用的。dish wash safe。洗碗机可用，中国产</t>
  </si>
  <si>
    <t>good！挺不错的 感觉还不错 挺好用 速度比以往的U盘 要快</t>
  </si>
  <si>
    <t>合适 好，软</t>
  </si>
  <si>
    <t>轻薄舒适 轻薄舒适，3件装的性价比还是不错的，打底或单穿都可以。听说评论有积分奖励不知是否属实，哈哈尽管试试吧。听说评论有积分奖励不知是否属实，哈哈尽管试试吧。听说评论有积分奖励不知是否属实，哈哈尽管试试吧。</t>
  </si>
  <si>
    <t>很好 价位便宜，牦牛皮，不防水</t>
  </si>
  <si>
    <t>这个价格值得购买 国内没有这款，价格便宜，包装一般。</t>
  </si>
  <si>
    <t>薄毛圈不是厚绒 是毛圈，不是厚绒，翻译的不正确误导人了 而且是薄款，不能冬天穿</t>
  </si>
  <si>
    <t>参考尺码相当的不准确 参考尺码S的胸围是109cm,实测只有100cm!  另外输入身高体重胸围建议说83%选择的s码，完全就是误导人。  商品本身本挺好的，因为系统尺码错误导致不合适太闹心</t>
  </si>
  <si>
    <t>最差的购物体验，不能在亚马逊购买商品。 这么贵的耳机，质量实在对不起这个价格。 1、左耳罩的材料会导致与脸接触的部分有咯吱的异响，影响听音乐，原以为新品需要磨合，但使用一个多月仍无法解决。 2、头梁接触面在不到一个月的时间里已经开始自动脱落，塞回去无用。因为在亚马逊海外购，所以无法享受国行质保，又因刚好超过1个月，亚马逊不负责质保服务，且无留下商家的联系方式，只能自认倒霉。 3、为了省运费，购买PRIME会员，结果8月28日购买的年度会员，10月14日要求续费，已经被停用了。 总结，最差的购物体验，不能在亚马逊购买商品。</t>
  </si>
  <si>
    <t>鞋码偏大一个码的说法是对的 鞋的质量不错 穿40鞋  250的  这双鞋应该是41才对  255的  鞋码偏大一个码的说法是对的  国内生产  购买注意时看鞋的长度就不会错</t>
  </si>
  <si>
    <t>皮质很硬，有异味 皮质很硬，有异味，但使用效果尚可</t>
  </si>
  <si>
    <t>码数 购买时一定注意大小 这款是高腰款 非常大 收到后查看 大了两个码都不止！</t>
  </si>
  <si>
    <t>马马虎虎吧 比国内买的确实做工稍差 包装简陋 但也没那么不堪</t>
  </si>
  <si>
    <t>超级大颗 拿到了吓一跳，椭圆形的，长直径刚好跟一元硬币一样。。。。。。。。。</t>
  </si>
  <si>
    <t>物美价廉 物美价廉 英亚价格不要太美丽呀！我买的时候免邮还免税……很奇怪为什么只有这款特价 其他刷头都没这价格呢？我一直用这个刷头都腻了……</t>
  </si>
  <si>
    <t>东西很好 160左右买的，买了两个，一周到的，包装完好。</t>
  </si>
  <si>
    <t>赞 这个餐盘又萌又实用。不过我儿子还是很执着于把它翻过来哈哈！要再买个大的。</t>
  </si>
  <si>
    <t>很好 173体重140尺码正好 就是有一点低腰＇保暖相当好 内蒙现在单穿没问题</t>
  </si>
  <si>
    <t>精工手表 手表不错，不图片好看。</t>
  </si>
  <si>
    <t>保暖，舒服 很好，很舒服，保暖，买了两条</t>
  </si>
  <si>
    <t>音质很棒 20年前的产物至今仍然很好用，不得不服</t>
  </si>
  <si>
    <t>舒服 和想象的一样，特别好，关键现在亚马逊自营的正品保证，不像某宝，太多假货</t>
  </si>
  <si>
    <t>产品完胜LAMY狩猎者系列 先说物流，因为下雨，但是实在是慢，后面买的京东的物流准时快捷，亚马逊被完败，差点就退货了。 再说价格波动，虽然没降价多少，但是没有价格保护，购物体验比起京东不是差一点半点，但是价格比京东便宜。 最后说说产品本身，产品完全没话说，比起同价位的LAMY狩猎者系列好用到哪里去，实际LAMY价位还要高一点，无论是握感还是书写流畅感，体验都好于狩猎者，强烈推荐此款。</t>
  </si>
  <si>
    <t>很好 很适合，德国制造品质保证</t>
  </si>
  <si>
    <t>颜值爆表，值得推荐，完美 颜值爆表，无毛刺，光滑，好有质感，圆滚滚很适合宝宝的小手，颜色很清新，瑞士制造，盘子不轻 底部防滑，超级可爱，很值得入手。秒杀159两套</t>
  </si>
  <si>
    <t>音质不错 音质不错，很值得购买，应该是三寸音箱最好的了，只是有点担心万一坏了售后保修不知道怎么办，说明书都是英文，看不懂</t>
  </si>
  <si>
    <t>很好的享受 佩戴舒服，耳朵没有压迫咁。 蓝牙与手机配对速度快，与音频蓝牙转发器配对略慢。 虽然耳机按钮两个，但是整个耳机的设计与功能非常人性化。 低音较森海塞尔耳机突出，相应地高音就不够森海塞尔清晰，然后降噪功能也非常凑效，通勤路上或旅途上都很好。 是把科技应用与生活休闲的体现。</t>
  </si>
  <si>
    <t>值得购买 非常不错，冬天户外跑步一件打底衫➕这个够保暖了，本人181cm.81公斤，L号很合适</t>
  </si>
  <si>
    <t>很好 尊华黛墨，的确尊贵。适合优雅的人使用</t>
  </si>
  <si>
    <t>质量不错 不错，性价比还行</t>
  </si>
  <si>
    <t>Good good！</t>
  </si>
  <si>
    <t>建议购买 版型很好！很不错！质量也好！建议购买</t>
  </si>
  <si>
    <t>整体不错 值得购买 码数稍微大 国内皮鞋穿40码 选择39.5码比较合适，皮质看上去很好，鞋底很厚实 上脚穿着很舒服</t>
  </si>
  <si>
    <t>果然不错 好朋友介绍的，说带着舒服，于是先买了一个试试。果然不错！</t>
  </si>
  <si>
    <t>很合适 穿起来很舒服，希望有效果哦</t>
  </si>
  <si>
    <t>很舒适 穿着很舒服 无任何压迫感</t>
  </si>
  <si>
    <t>布料不好 布料不好</t>
  </si>
  <si>
    <t>护理剂该买那种？ 包装太简陋，就一层塑料袋子裹着，收到鞋盒整个压扁烂掉了，幸好鞋子微微有些压痕，忍了。</t>
  </si>
  <si>
    <t>计时秒针不归零 计时秒针收到就是对不正12点，戴了没一个月，直接就在58分那个位置了，走时很准，强迫症，没办法，只能退</t>
  </si>
  <si>
    <t>差评 快递送来，快递包装是烂的，手表盒子是烂的，手表也躺在盒子里的一边，非常糟糕的购物体验，猜想手表应该没问题，但如果是贵重的东西会怎样？想要购买的朋友瑾记，这是要博运气的。</t>
  </si>
  <si>
    <t>宣传尺寸与实际产品不符，过大，误导消费者 宣传尺寸与实际产品不符，过大，误导消费者</t>
  </si>
  <si>
    <t>服务烂，无售后 装修囤的，等装完发现缺一个垫片，有一个接头处会渗水，安装时收货早已超过一个月，亚马逊说没有售后。所有装修的东西和电器都不应该通过中亚海外购购买，除非买来马上装，否则一律没有售后，客服说我们就这政策，订单超过一个月别找我们。亚马逊号称无敌的服务在中国不存在</t>
  </si>
  <si>
    <t>还没试 国产的 不是奥产的</t>
  </si>
  <si>
    <t>是不是正品代购哈哈 应该是正品吧没有验过感觉质感不错</t>
  </si>
  <si>
    <t>舒服但是粘毛 很舒服就是爱粘毛 尺码偏大 国内m或者l码这件s合适</t>
  </si>
  <si>
    <t>一般 包装不是很走心。但还算可以。</t>
  </si>
  <si>
    <t>带子长了 带子长了</t>
  </si>
  <si>
    <t>听了就几天感觉不错 其貌不扬 内有乾坤 比我的索尼大法也不差 听了就几天感觉不错 其貌不扬 内有乾坤 比我的索尼大法也不差</t>
  </si>
  <si>
    <t>喜欢 好看！有特点！如果有个茶漏就更好了！</t>
  </si>
  <si>
    <t>这圆珠笔用着很好 让你爱上学习的感觉。</t>
  </si>
  <si>
    <t>彪马蝴蝶结 好看的，好看的，可以搭配小裙子，价格合理。</t>
  </si>
  <si>
    <t>价格优势 价格优势明显，现在用着还正常...</t>
  </si>
  <si>
    <t>合适 越南产，比专柜合适多了</t>
  </si>
  <si>
    <t>很轻很舒适，对脚底支撑也很好 北方就不要想着穿这双鞋去户外徒步了，肯定冻死。南方冬天零下一二度，应付一两个小时徒步没问题。</t>
  </si>
  <si>
    <t>很好看 没有很多评论说的那么夸张的不难穿 没压脚面到特别痛苦的地步 漆皮超级帅气亮眼 平时39这个也39正好</t>
  </si>
  <si>
    <t>物美价廉 很好，这个价格真是赚到了，今天刚到货就穿上了，本来预计是12月初才送到的，没想到提前了，估计最终还不是国外进来的，可能是调用了国内的货</t>
  </si>
  <si>
    <t>很漂亮的卫浴产品 大爱汉斯格雅的产品，做工好质量上乘，装在自家浴室很漂亮。亚马逊的价格还是很优惠的，关键不怕买假货。</t>
  </si>
  <si>
    <t>挺好的 表面简洁大气，质量也没有任何问题。挺好的~</t>
  </si>
  <si>
    <t>。 奶瓶收到。太可爱了。包装的很好，没有破损。大爱这款奶瓶</t>
  </si>
  <si>
    <t>擦得很干净 很好用的橡皮，擦得很干净</t>
  </si>
  <si>
    <t>水牙线值得拥有 性价比太高了，黑五买的，比某猫双十一的价格还给力！</t>
  </si>
  <si>
    <t>性价比挺高的，不过就是一分钱一分货哦，想有很好的音质还是得烧钱。 入门的可以买来玩玩 体验体验，我是业余玩玩录音用，其余作为娱乐，箱子基本也都够用了。官方快递速度，服务态度很好，好评。</t>
  </si>
  <si>
    <t>海外淘的光波表 关注亚马逊的卡西欧表一段时间了，发现性价比实际上比淘宝京东高，只不过亚马逊太低调了，好多超低的价格却让人感受不到，对比一下其他网店就知道了，英国亚马逊买的，我哈尔滨的，从下单到收货11天，非常快了，而且质量非常好，价位只有国内的一半，没想到哈尔滨对波这么容易，只要朝向东南（福岛）或者南就可以了，LT2-LT3波动，一次是中午12：45，一次是凌晨1：30接波都成功了，但是需要在窗户，室内不行。光能充电户外10几分钟就满了，非常满意。</t>
  </si>
  <si>
    <t>变色效果不错 勺子比我想象的要大，手感不错，变色效果也不错，我个人比较喜欢，希望娃能用它们好吃好喝，哈哈，不知道变色会不会吓到她呢！</t>
  </si>
  <si>
    <t>Strong recommend it to you~ I bought this machine in this Nov. Now it is one of my favourate kitchen machines. I made noodles, Chinese bread with it. Now I can enjoy health food in my kitchen everyday. Love it, and recommend it to you~</t>
  </si>
  <si>
    <t>合身 颜色好看！老公穿得正合适，帅气！</t>
  </si>
  <si>
    <t>质感很棒 大小合适，适合上下班通勤，非常方便！</t>
  </si>
  <si>
    <t>非常满意 放办公室用的，非常方便，体积也小，很满意了。</t>
  </si>
  <si>
    <t>喜欢 衣服很好丿不愧是美国的货</t>
  </si>
  <si>
    <t>失望 包装非常简陋，只有一个纸盒和几个透明小塑料袋。也没有具体说怎么清洗、注意事项等。产品外层是塑料，里层是不锈钢，都挺单薄的。不知道这个是假的还是国外买也是这样的质量，反正我挺失望的</t>
  </si>
  <si>
    <t>裤腿偏长 裤腿偏长，其余都适合，颜色也可以</t>
  </si>
  <si>
    <t>有点掉色 一般穿34的裤子，这条36正好扣到5个扣子的中间一个，白色标签上有染上皮带黑色的痕迹，估计这带子会掉色。</t>
  </si>
  <si>
    <t>有味道 一年了还有有味道，用的也不多</t>
  </si>
  <si>
    <t>这款不好用 很不好用，胸垫总会移位，不舒服！！！</t>
  </si>
  <si>
    <t>色差太大 尺寸和国内的相差太大，色差和图片相差太大，</t>
  </si>
  <si>
    <t>颜色怪怪的 为什么我的颜色是这样的！</t>
  </si>
  <si>
    <t>不是很耐用 用了一个多月，线就断了</t>
  </si>
  <si>
    <t>质量好 质量好，鞋底轻</t>
  </si>
  <si>
    <t>尺码选择 我只能用我的经历造福接下来买的人 186。70kg。买了l。偏大 应该m</t>
  </si>
  <si>
    <t>发错货啦 皮带质量很好，皮质不错，孔位准确，但是，居然发错货啦，买的棕色，发了同款的黑色，亚马逊也太马虎了吧，不过黑的也行吧懒得换啦，扣一星是为亚马逊的疏忽。</t>
  </si>
  <si>
    <t>还不错 没有原装钻石头好，但是也差不多。</t>
  </si>
  <si>
    <t>面料舒适 属于春秋季节穿的带绒的卫衣，面料很舒适，大小很好</t>
  </si>
  <si>
    <t>刷头怎么配 价格实惠，好像不能换刷头啊</t>
  </si>
  <si>
    <t>物美价廉，实用 东西已经收到了，很小巧，不奢华，材质有点像塑料(开玩笑的)，用了一天，误差不超过1分钟，透明底壳，夜光显示，还便宜</t>
  </si>
  <si>
    <t>很好，价格实惠，没有异味 很好，价格实惠，没有异味，宝宝很喜欢</t>
  </si>
  <si>
    <t>物美价廉又好穿 非常好！物美价廉，穿的舒服，只是3E的我以为我这种瘦脚会大了，没想到3E根本和平时没区别。</t>
  </si>
  <si>
    <t>好东西 东西不错，很厚实和结实，应该是正品</t>
  </si>
  <si>
    <t>超级喜欢 收到后仔细看了材料，大部分是美利奴还有30%的cashmere，材料很赞了，洗衣机羊毛档水洗后晒干毫无问题，很好打理。轻便暖和，可以说是100分了。</t>
  </si>
  <si>
    <t>鞋 有点沉，老公说了这是电工鞋，我的妈呀，我觉得很酷啊</t>
  </si>
  <si>
    <t>很好 大小合适，纯棉的，也没有之前评论说的扎人，穿起来感觉挺好的，物廉价美，工作服妥妥的</t>
  </si>
  <si>
    <t>质量不错！尺寸合适！ 版型适合！做工挺好！墨西哥产！</t>
  </si>
  <si>
    <t>不错的裤子 够肥啊 价格公道 不错 很喜欢 下次还来</t>
  </si>
  <si>
    <t>太阳能加电波GS系列同价位无敌 英亚下单，中国制造，五天漂泊到手。准确收波，更改夏时制为标准时制，每晚自动收波，分秒不差。纯黑GS系外观，百搭款。上手第一天就戴着下水游泳了。没有自动背光，没有秒针，夜间荧光够用。比小泥王有一定优势。</t>
  </si>
  <si>
    <t>非常好用的笔 这支笔挺好用的呀，f尖实测0.5粗细，适合写汉字，也出锋，价格还合适最主要的是很高大上</t>
  </si>
  <si>
    <t>好大呀！ 我以为是电动牙刷，原来是擀面杖。已经吃了几次牛油果奶昔，就为了吃这个买的。</t>
  </si>
  <si>
    <t>满意 944＋106一共1050元。让我神船还能挺5年。</t>
  </si>
  <si>
    <t>喜欢这种没有束缚的感觉 穿上感觉很贴身舒适！好像没穿一样！</t>
  </si>
  <si>
    <t>入门箱音质非常不错 大家都拿JBL305来作对比...一、黑五美亚一对305到手1200不到（VISA免邮+建行返现20%能做到）。二、305的低音不适合小空间近场聆听。305的底噪要比E5大许多，两个都有底噪（网上有牛人能做到屏蔽干扰降低底噪，比如屏蔽地线、不用无线鼠标、用技嘉的那个什么独立USB主板等等方法）。三、E5要比305杂食，人声好听大编制也不错电影游戏都能兼顾，更适合做电脑箱，当然最起码要有一个差不多的DAC或者独立声卡。</t>
  </si>
  <si>
    <t>非常满意，后续有问题再联系，因为还没有安装 很满意，比我买的国内科勒性价比高，不知道配件有没有少，好闪</t>
  </si>
  <si>
    <t>不错 穿过的ecco最舒服的一双，灰常不错，胖脚也还合适</t>
  </si>
  <si>
    <t>和面省事 很好用，就是买贵啦，最高点下单。和面省事啊</t>
  </si>
  <si>
    <t>海外购，我喜欢！ 尺码合适，国内26码，买的uk8！价格更合适！性价比很高，上脚以后感觉很舒服！第二双其乐的鞋子！很喜欢海外购！</t>
  </si>
  <si>
    <t>还比较满意 这快递，太慢了太慢了，太慢了，衣服186/180的穿最大号有点大，希望大家注意，其实衣服料子也不如ck</t>
  </si>
  <si>
    <t>龙头关不严漏水 &lt;div id="video-block-R19NPJTW9YURXQ" class="a-section a-spacing-small a-spacing-top-mini video-block"&gt;&lt;/div&gt;&lt;input type="hidden" name="" value="https://images-cn.ssl-images-amazon.com/images/I/A1QA1GTZF9S.mp4" class="video-url"&gt;&lt;input type="hidden" name="" value="https://images-cn.ssl-images-amazon.com/images/I/71z0oh+KXOS.png" class="video-slate-img-url"&gt;&amp;nbsp;买了两个龙头，一个很好，一个关不严实漏水，中彩！</t>
  </si>
  <si>
    <t>款式老旧，码很大！ 不适我国大众人群的款，客服建议的12S我还好买小了一号为10S整体仍大了一寸。款式老旧，穿上像大妈。不过面料是挺舒服的，且没有异味。退海外运费得50多，不划算，还是送人好了。</t>
  </si>
  <si>
    <t>价格便宜 价钱很便宜，衣服一般般，洗过之后扩大</t>
  </si>
  <si>
    <t>有效期不清楚 确实够大的一桶，唯一不足是生产日期有些模糊。</t>
  </si>
  <si>
    <t>Averypoorleatherbelt,thenormalwear willbescrapingflowersandpaintoff 非常差的一条皮带，正常穿戴都会刮花和掉油漆. Averypoorleatherbelt,thenormalwear willbescrapingflowersandpaintoff</t>
  </si>
  <si>
    <t>尺寸大，送货迟 7/24并未收到货。收到时已是7/28。这个尺寸比正常的xxl要大很多。我估计姚明穿正合适。</t>
  </si>
  <si>
    <t>非常满意 包装很新，出产日期也很新，不像一些评论说的都是旧的。奶瓶很好用，宝宝也喜欢抱着喝，基本没有什么味道。</t>
  </si>
  <si>
    <t>Calvin Klein 卡尔文·克莱恩 男式莫代尔平角内裤 黑色 S号 ... 物流比想象的快，内裤拿到手感觉挺小，穿上去正好，但是不得不说做工很一般，线头有两根超过3.4里面的，后面的接缝不整齐，这都无所谓，关键我没洗直接穿，里面全是布毛，弄的我腿跟私处全是黑点，地上也落了一地黑点。太恶心，没办法，退下来等洗过再穿，海外购初体验不好，不如国内30来块一条的内裤，质量神马的只能靠时间来检测了</t>
  </si>
  <si>
    <t>整体还行 比想象中的要宽松一些</t>
  </si>
  <si>
    <t>损坏 东西看起来不错，包装太简陋，收到时已损坏，处理问题很及时</t>
  </si>
  <si>
    <t>满意 喜欢 160/120穿S挺宽松的，样式也好看，价格也给力。值得买。</t>
  </si>
  <si>
    <t>很好！ 这个价格能买到，应该说非常超值了，亚马逊就是这样，有时折扣低得超乎相像，而且自营无假货。</t>
  </si>
  <si>
    <t>很不错的一次亚马逊购物体验 之前再三跟客服确认沟通说我的是快速配送只需要5-9工作日，但第二个客服给我说是普通配送要12工作日以上，结果还是很快拿到手了，非常感谢第一个客服。要是有优惠劵就好了~加上关税差不多750了</t>
  </si>
  <si>
    <t>性价比高 等了很近终于发货。东西很好用。价格很合算</t>
  </si>
  <si>
    <t>好用 轻薄，速度也还可以</t>
  </si>
  <si>
    <t>质感很棒！ 很棒，质感很好！跟牛排刀叉一起买的，相当满意！</t>
  </si>
  <si>
    <t>好看！ 好看！就是刚开始有点压脚背，但是多穿几天就好了</t>
  </si>
  <si>
    <t>适合宝宝出门的焖烧壶 颜色很漂亮，到手180左右，就是容量偏大了一点，焖粥很不错</t>
  </si>
  <si>
    <t>非常好 应该是正品！特别好</t>
  </si>
  <si>
    <t>还行还行 刷新了我对国产贝亲奶瓶没骨头的新认知……</t>
  </si>
  <si>
    <t>大家别贪便宜买到的都不会是崴货 我这个u盘买了好久，用了好久了，是一百七十几的时候买的，那时刚有全球购的活动。读取速度80m不跑写入20-30m可以接受 那些各种坏了怪rp的，自己贪便宜，别怪别人</t>
  </si>
  <si>
    <t>性价比还可以，比淘宝便宜。 束身裤的确穿着很舒服，没有束缚感，下面腿部也不卷边，如果胃部肉不多的话，也不会把肉挤到上面来。产后106斤，163cm，买的64，感觉穿不了几天估计就要买小码了。穿上瘦一圈，对腰部的塑形比肚子处感觉要好些。有点小郁闷的是，今早穿，发现上面写的中国制～</t>
  </si>
  <si>
    <t>看了别的买家的建议 果断买小2号，正好！</t>
  </si>
  <si>
    <t>是牛皮的，不知道耐不耐用 以前买过几条都没有用超过一年的，这次海外购看看美美的货好不好</t>
  </si>
  <si>
    <t>尺码差异 日本码，偏小，平时S号买M都偏小，建议购买时再大一号</t>
  </si>
  <si>
    <t>尺码偏大。 我170，80公斤，m码还是宽松了一点。不过宽容点自在，换换太麻烦。衣服本身没有问题。</t>
  </si>
  <si>
    <t>虎牌 很好的杯子，日亚够平。</t>
  </si>
  <si>
    <t>穿着舒适 挺好，蛮舒服的，本人身高180体重76偏瘦，穿m很合适。</t>
  </si>
  <si>
    <t>非常合适 非常愉快的一次购物。衣服虽然不是大牌，但是做工、材质非常好。我胸围９５公分，按尺码表推荐的买的Ｌ号正好~！</t>
  </si>
  <si>
    <t>值得购买 种草这个已久，本来想等英亚的活动时购买，那样就不用变压器了，结果美亚好价还是没忍住。关于这款机器各大论坛 各种帖子我也看了不少，说实话没有一篇详实的。有的帖子说美版的经过变压器后不能充分的发挥它的功效，因为电压转换后频率不能改变。很多晒单的帖子并没有详细介绍机子铭牌上的描述，其实这款机器的频率写的很清楚50-60赫兹，也就是说这两种频率都适用。变压器我买的景赛全铜2000w的，之前家里的舜红用了三年了，其实也挺好，连续使用几个小时都不会发热。这款景赛的好处是有三种电压输出，这样美日电器都有自己的插口。2000w带搅拌机是完全没有问题，但其实还是该选个3000w的，以方便后面购买大功率电器用。再说说这款料理机，高速十档时声音堪比装修，好在基本的榨汁 磨浆什么的一分钟足够，还能接受。冷冻的香蕉可以直接打成冰淇凌，口感细腻。煮好的各种豆子打成的豆浆非常绵密，口感甩豆浆机几条街。家里的豆浆机 原汁机 料理机都可以收起来了，有小v一个就够了。尤其早晨一分钟就能喝上或冷或热的各种果汁 豆浆，简直太方便了，而且很好清洗。最后分享个花生牛奶配方:煮熟的花生一把，六七个红枣肉，三分之二的牛奶加三分之一的水.喜欢喝凉的牛奶和水都用冷藏的，喜欢喝热的，把水换成热的加上奶，杯体温的就可以，因为打好后也就是热乎的了，无需加糖。有多好喝？你试试就知道了^_^</t>
  </si>
  <si>
    <t>偏大 非常舒服，有弹性。就是偏大。大两个号</t>
  </si>
  <si>
    <t>合适 对胖人很友好的尺码，收腹但不是让人透不过气的紧绷。163，75，84码</t>
  </si>
  <si>
    <t>性价比不错 还可以，价格不贵，做工因为产地的关系不特别精细，有点线头。</t>
  </si>
  <si>
    <t>邮寄包装还是不给力呀，还是烂掉了。。。 买前看了评论说商品寄来时没有外包箱寄过来破破烂烂的，但里面的包装没问题不影响使用，犹豫了再三还是买了。。。商品寄的很快，5天就收货了，而且有外包纸箱，但是。。。。可能因为重量比较大，外包纸箱收到以后已经烂了，里面的大包装一角也压烂了，打开以后很不幸的2个滤芯包装被挤破了。。。。3星全是给了客服小哥，沟通很愉快，发了照片过去确认，然后退了部分货款，剩下的没破的不影响用也就不退了，希望海外购产品能再重视下商品包装，毕竟漂洋过海来的，额外加倍小心些没毛病。。。</t>
  </si>
  <si>
    <t>戴了不舒服 戴在手上有不适感，不太舒服。最让人生气的是，订单被私自改了，布知道我的PL会不会被删，提示大家谨慎选择，特别是HWG，我原始订单是130RMB的表，过了几天查看进度，变成了另一块表，嗯，价值103，30就这么没了。还好只是30，要是我买了价值更贵的不得哭死。。。找客服没用，说是只能给你补偿10元的券，到现在也没有。不说了。默哀。以后不会再这里浪费金钱和时间了。</t>
  </si>
  <si>
    <t>乱发货，明明买的金色，价格贵很多，发一个黑色给我。 第一次亚麻海外购，如此不靠谱。乱发货，明明买的金色，价格贵很多，发一个黑色给我。</t>
  </si>
  <si>
    <t>很轻很柔软 602元到手，DHL晚上送到家的。选的小号，纠结一小会儿改下订单XS号，拿到手非常合适。162CM选XS</t>
  </si>
  <si>
    <t>太丑了，确实像工作服 背后还有混色，退了</t>
  </si>
  <si>
    <t>还行 这款比背心式哪个款强多了，穿上也不紧绷，还有我是孕妇，按平时尺码买的，罩杯略微偏大，如果平时买这个肯定大了。</t>
  </si>
  <si>
    <t>长袖善舞 按标注尺寸买下一号，袖子还是长出20厘米。美国人都是长臂猿后代？ 没法穿，哪天去找裁缝看看吧。</t>
  </si>
  <si>
    <t>还好吧 还好吧。袖子太长了。而且容易起球。</t>
  </si>
  <si>
    <t>评价 质量不错，正品，喜欢这个牌子的东西，价格有点贵，到货时间不算长。</t>
  </si>
  <si>
    <t>good good</t>
  </si>
  <si>
    <t>比较宽松 本人身高165cm，体重86kg，胸围106，买L号有些宽。</t>
  </si>
  <si>
    <t>身高170cm,体重60kg,胸围120cm，穿着合适。 身高170cm,体重60kg,胸围120cm，穿着合适。</t>
  </si>
  <si>
    <t>艾斯克斯好 26.5款脚面。合适。  320买了两双，到手涨到700一双。比较开心😃</t>
  </si>
  <si>
    <t>质量不错 鞋子质量很好，号拍大了，鞋号应该是正常号，跨境退换太麻烦，送人了</t>
  </si>
  <si>
    <t>推荐 174-70非常合适，面料透气舒服，推荐</t>
  </si>
  <si>
    <t>东西很不错，森记家的东西。 东西很不错，森记家的东西好评。</t>
  </si>
  <si>
    <t>给老妈买的，效果不错，有MSM 给老妈买的，效果不错，有MSM</t>
  </si>
  <si>
    <t>面料防水效果不错，是正品。 175身高，正常都是买M号，因为里面要套保暖衣服，所以L合适。</t>
  </si>
  <si>
    <t>很棒 非常棒的衣服</t>
  </si>
  <si>
    <t>不错 总体不错但是我8月1号拍下的要375元现在又便宜了有点小失望，由塑料包装，有一根笔芯断了，那么贵的东西希望快递小哥温柔一点。手感不错好上色。</t>
  </si>
  <si>
    <t>挺好的 挺好的 不过我平时穿别的鞋子都是43码的 这次买的9.5EE有点大！</t>
  </si>
  <si>
    <t>还不错 这个估计是CK最普通款，墨西哥产，比一起买的LEE差一点点，非水洗，过水会有正常掉色，平时32，这个31还大了点，但是可以接受，低腰直筒，款型颜色很喜欢，比起国内专卖店的坑爹的价格，太超值了</t>
  </si>
  <si>
    <t>good 样子很小巧，实际有115g，传输速度有待测试</t>
  </si>
  <si>
    <t>waiting for too long time waiting for too long time</t>
  </si>
  <si>
    <t>非常不错 品质非常好，物超所值，值得购买，亚马逊让人信赖。</t>
  </si>
  <si>
    <t>亚马逊购物新体验 BRAUN 博朗 系列3 300S男式电动剃须刀/充电式电动剃须刀，质量很好，剃须带劲。</t>
  </si>
  <si>
    <t>鞋码很好 不抗造 没想到这么快就收到货了 海外购唯一的缺点就是物流信息更新不及时。鞋是软皮的 穿着很舒服，但是我很倒霉 刚穿没几天 就被门框 戳坏了</t>
  </si>
  <si>
    <t>很实用 内胆不锈钢材质很好，不用担心高温了</t>
  </si>
  <si>
    <t>一次愉快的海外购 好品牌好质量不变型</t>
  </si>
  <si>
    <t>弹性好 这款挺薄，弹性大，尺码一定要算好了买，因为国外的尺码一般会偏大两码。</t>
  </si>
  <si>
    <t>so so 为数不多的认真评论 穿出去一个多小时脚踝处就磨破了，想着这是大家所谓的磨合期也没在意。后来仔细对比左右两只鞋，发现鞋的设计本身没问题但做工是真有问题，这个问题不是指什么线头多啥的那些表面问题，而是脚踝这一关键部位内部皮革接缝处严重不平整。你想想一块突出的且位置固定的硬皮革不停的抵触脚踝突出部位能不出问题吗，左鞋问题不大，右鞋问题严重，此部位两只鞋就不对称，而这些做工上本可以避免。由于皮革突出部位较厚且固定死了，至少现在我觉得想要长期穿“把皮子磨软”纯属扯淡，真要是坚持穿没准骨头都能露出来。总之看着皮厚结实是真，表面做工粗狂可以理解，但在关乎穿着质量的核心部位如此“粗狂”实在难以接受。  具体见图，尺码布上产地：MADE IN DOMINICAN REPUBLIC  多米尼亚 呵呵 说啥好呢</t>
  </si>
  <si>
    <t>偏大，无法穿着 质量还行，颜色也可以，毛里求斯生产的。对于我来说尺码太大了，海外退货太麻烦，去邮政问了，退货费就要200多，所以没退，搁着呢。。。</t>
  </si>
  <si>
    <t>磨脚 做工还是蛮扎实的  稍大  适合脚胖的穿 估计设计有点问题  鞋带全部系紧脚踝处磨的厉害  原因是脚踝包裹处就一层薄衬 导致面层皮革相接处的凸起磨到脚踝  不系最上面的那个扣凑合能穿  但总觉不跟脚</t>
  </si>
  <si>
    <t>太大 很大，我175正常国内穿40 或L。但是此款L超大，估计有国内的44码</t>
  </si>
  <si>
    <t>bad 外表是可以的。鞋子的后部镶嵌了铁片，所以第一次穿的时候走了没有十分钟就把脚踝磨出血了。鞋子很重。进口商品都很贵退货困难，希望大家不要盲目选购这款靴子</t>
  </si>
  <si>
    <t>卡脚 ecco的鞋子买了好多双了，卡脚这是第一次，后跟都磨破了～</t>
  </si>
  <si>
    <t>美国人都这么胖吗？ 想不到是这么厚的牛仔裤，而且100的腰围估计不是穿40的裤子，39足够了。想退货要自己打印标签，可是又无法显示图片，运费要125，想想都觉得麻烦啊。客服又只能邮件联系，不好，以后不来了。</t>
  </si>
  <si>
    <t>不错的鞋 外观不错，39.5码，245mm，长度正好，就是有点压脚背，进口鞋都这样吧，希望穿穿能宽松点</t>
  </si>
  <si>
    <t>没有玻璃瓶的踏实感觉！ 有一点点味儿，自己考虑不周，买了小号的150毫升，其实应该直接买227毫升的！底座小…</t>
  </si>
  <si>
    <t>还可以。就是物流太慢了。 质量不错，比较保暖，零下7度穿出去试了一下，还可以。就是码选小了。173cm，75公斤，里面一件保暖衬衣，稍微小了。还有就是海外购，物流太慢了，18天到货。退换后也不方便，退货邮费自付，退到美国100多邮费 ，购物三思！</t>
  </si>
  <si>
    <t>便宜 好用，便宜，最基础款式</t>
  </si>
  <si>
    <t>鞋子不错，偏大半码 泰国生产的，比国内的鞋码偏大半码，如果脚型较瘦，建议买小半码，鞋的做工不错。</t>
  </si>
  <si>
    <t>Timberland 添柏岚 经典款鞋 非常喜欢，性价比很高，平时37码至37.5码穿这款5UK合适</t>
  </si>
  <si>
    <t>东西不错 东西不错 物流也快</t>
  </si>
  <si>
    <t>好用 好，很好，太好了，质量不错，也方便，使用中</t>
  </si>
  <si>
    <t>非常美腻 感觉号码偏大一点，质量没的说棒棒哒，颜色好看</t>
  </si>
  <si>
    <t>满意的购物 挺好的，感觉物有所值！物流也很快！</t>
  </si>
  <si>
    <t>不错 女，37码，235cm，5.5码正好。鞋盒中无发票，发货清单等，一只鞋无鞋塞</t>
  </si>
  <si>
    <t>囤货 到手了，不错，给宝宝备着</t>
  </si>
  <si>
    <t>尺码标准，轻薄舒适。实物与图片无色差！ 尺码标准，轻薄舒适。实物与图片无色差！质优价廉！因第一件水洗后，掉色严重，故再次订购备用！</t>
  </si>
  <si>
    <t>HENBUCUO ~~ 很cool的颜色~~象印保温效果超好~~</t>
  </si>
  <si>
    <t>不错 挺舒服的，没有拘束感</t>
  </si>
  <si>
    <t>质量 买小了，不知道能送谁。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</si>
  <si>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超可爱的鞋！ 就是不耐脏……基本上每天都要洗也是醉了……</t>
  </si>
  <si>
    <t>中国生产，外国购得，价格竟然比中国便宜。 音效很好，中国产的，由海外购竟然比淘宝天猫便宜很多真令人匪夷所思，包裹外面没用胶布固定封口，望卖家以后为了产品安全可以封上在发货。</t>
  </si>
  <si>
    <t>衣服稍偏大 衣服有弹力，穿着舒适，按平常穿衣码数买的，感觉稍大了一点，满意。</t>
  </si>
  <si>
    <t>很喜欢 没有买入耳式，不喜欢听诊器的感觉，这个刚刚好，可以听很久。第一次连接手机需要一点时间，后面就好了</t>
  </si>
  <si>
    <t>量大实惠 喜欢大包装 两个人一起吃</t>
  </si>
  <si>
    <t>面料厚，版型修身 面料厚，版型修身，袖子相比普通T恤偏长</t>
  </si>
  <si>
    <t>好东西 上次买了五磅咖啡口味，运动后吃这个感觉效果不错，肌肉变得有点增大而且也紧实了，穿上衣服也更有型了，这次刚好看到秒杀价299，包邮333，真是物美价廉，日期还很鲜，等把第一桶吃完再补货</t>
  </si>
  <si>
    <t>海淘的，合适 加完税的价格也比国内商场促销价格低100，大小很合适，也适合脚偏胖的人士穿</t>
  </si>
  <si>
    <t>21k双色金尖你值得拥有 笔尖软弹，出水汹涌</t>
  </si>
  <si>
    <t>裤子很舒服 当时买的时候，客服说裤长跟我量的比稍微长了，但是拿到手里之后，对比了下确实裤子肥了点，但是穿上了之后显的很合身，真的不错，产地孟加拉，裤子很合适。</t>
  </si>
  <si>
    <t>不靠谱的鞋子 平时44的运动鞋，穿这个9.5的大一码。鞋底是真硬啊，阿三家产的。边上裁剪不齐，鞋面有摩擦，不整洁。前脚掌那有点折。包装简陋。除了一双鞋之外，啥都没有。两排的鞋带孔有点少，后跟不赶趟。退换货太麻烦，就和穿吧，但远穿段时间能变舒适。</t>
  </si>
  <si>
    <t>感觉凑合 布料非常柔软，换言之非常容易变形。穿了两次后，下摆已经变形了。 以后买polo，还是选择珠地棉比较耐穿。</t>
  </si>
  <si>
    <t>不太喜欢 不太喜欢这个颜色，实物颜色发红，所以没穿。很薄，谈不上保暖。</t>
  </si>
  <si>
    <t>建议入手日版.这件衣服不建议 这衣服掉绒比较严重..  我买了两件都是掉绒..  不过掉绒归掉绒..暖是没得说（不知道绒掉完了会不会不暖了）我建议买日行的..质量更高..虽然价格更高就是了..这件衣服码数S码是日本码的L码..自行注意</t>
  </si>
  <si>
    <t>不咋样 面料不咋地，太硬，很不舒服，还没9.9包邮的好</t>
  </si>
  <si>
    <t>质量极差，不建议购买 刷头的质量非常差，居然还能裂开。。。。图还传不上去，第一次差评送你了</t>
  </si>
  <si>
    <t>不推荐购买 看起来质量很次，版型宽松，没型</t>
  </si>
  <si>
    <t>我想知道怎么验证真品 曼喜欢这种简约设计风格，这个价位能够买到还是挺实在的。就是不知道是不是正品，心里没底啊！</t>
  </si>
  <si>
    <t>轻便 轻便，建议按皮鞋码买，我按NIKE运动鞋码买的，上脚略微长估计0.5厘米左右</t>
  </si>
  <si>
    <t>[[ASIN:B01D1XC4NI Clarks Women's Orinoco Club Chelsea Boots Brown (Dark Chocolate Leather) 6.5 UK]] 第一次尝试这个品牌的鞋子，看看是否适合。本人学生时代参与运动项目，所以脚比较厚实，脚背偏高，国内的正39码（24.5码）鞋有点紧，39.5 正码正好， 但大厦专柜都很贵，也很少有这个码。所以转向美码（九熙：8.5码的穿几天后会很松）或英码（有一双6码的凉鞋，夏天穿很紧，冬天试穿 正好） 。现在年纪大起来了，喜欢宽松了，所以都买40的码了。之前 看评论说脚背处可能会有点紧，所以就买大了一码，拿到手一看，英码6.5 ，美码是9码（看着9码，感觉自己买大了二码）。穿在脚上稍显粗旷。脚感：脚背处很紧，前撑处宽度足够，鞋子内里长度足够，脚背处卡住了，无法往前伸，所以前面还空着一截，有一厘米的样子。希望穿穿会松一点。我的好几双鞋两只鞋的前半部分看起来都不协调，不一致。不知什么原因，这双鞋子也给我这种感觉，两只不一样，仔细看还很明显，但我属于大大咧咧型的， 所以也就随它去了。个人感受，仅供参考</t>
  </si>
  <si>
    <t>评论 鞋子不错，只是接口处有点硌脚，鞋内会轻微掉色～</t>
  </si>
  <si>
    <t>没有预期的好 腰高，比较松，易起球。</t>
  </si>
  <si>
    <t>海外购优惠大大的，很喜欢，鞋型经典，颜色也很正 海外购优惠大大的，很喜欢，鞋型经典，颜色也很正</t>
  </si>
  <si>
    <t>推荐购买 非常喜欢!颜色，样式，大小都符合自己的要求。160/60，买的S，很宽松，长度刚好盖过屁股。跑步正好，不会太热。推荐购买!</t>
  </si>
  <si>
    <t>哎、没看仔细，国产 国产的，荷兰产这价格不够</t>
  </si>
  <si>
    <t>买过的最满意的一件衣服 质量很好，做工很好，173,68,肩宽41,稍壮，选的S，很合身。这个版型我很喜欢，优惠时550+80入的黑色，很超值。 填充料虽然是聚酯纤维，但是真的很保暖啊，10度的天热死我了 想问一下，手机亚马逊怎么发图片啊</t>
  </si>
  <si>
    <t>实物很好看 很喜欢这个颜色。</t>
  </si>
  <si>
    <t>面料很舒服 看评论说紧身版，买大一号，上身效果正好，面料真是舒服</t>
  </si>
  <si>
    <t>性价比高 皮子柔软，型好，老婆很喜欢</t>
  </si>
  <si>
    <t>赞一个 很轻，保温效果也好，送货也没有想象中的慢，很不错。</t>
  </si>
  <si>
    <t>性价比高 还是和之前一千多买的国产哥伦比亚不一样，做工和上脚的感觉差一点，不过这个价格还要啥自行车。</t>
  </si>
  <si>
    <t>很舒服推荐 回购的产品，质量很好，搞活动合着50多一条，两条包装，大码胖人穿，感觉很舒服很有安全感都抱住了，不薄，但是也不捂的上，不是低腰的中高腰吧，反正就是我感觉很舒服，推荐。中国制造</t>
  </si>
  <si>
    <t>太大了 买小2号才可以穿</t>
  </si>
  <si>
    <t>质量不错，但是商品描述不清晰 双面皮带，大气，看着不错。遗憾的是商品的描述缺少细节，到手才发现宽度是3.5cm宽，M号的长度感觉足有110cm，2尺5、6的腰都没问题，更像是男士皮带。之前刚退货了一个三无皮带，这次不想折腾了。</t>
  </si>
  <si>
    <t>海淘腰带比较靠谱 质量很不错，价格也很实惠。</t>
  </si>
  <si>
    <t>很喜欢这款产品 已使用这款产品多月，读写速度很快。</t>
  </si>
  <si>
    <t>舒适，合身，划算 质量可以，够舒适，颜色稍微深了点。但整体满意！</t>
  </si>
  <si>
    <t>感觉很好！ 东西不错，穿着很舒服，只是本人身高170，尺码36稍微大了一点，其它物流也很快，比较满意！</t>
  </si>
  <si>
    <t>裤子不错 好评，尺码准确，裤型不错</t>
  </si>
  <si>
    <t>挺好的 脚腕那穿脱时有点紧，鞋身不算厚，零度以下可能会冷，当然个人体验会有不同，但是不失为一双好鞋子。</t>
  </si>
  <si>
    <t>建议170cm 最好买m码 170/72  衣服s码太小了，不知道他们怎么穿下去的</t>
  </si>
  <si>
    <t>Gteat Awesome item</t>
  </si>
  <si>
    <t>衣服由点偏大 大家买衣服要相信自己的身材，别买大了</t>
  </si>
  <si>
    <t>印度产，质量还不错 趁着prime会员到期前再买了一单，这次型号是NP2167O的Trunk，比low rise的稍微长点，产地是印度，颜色是蓝色系三件，虽然没有美亚便宜，但比国内平台买还是优惠太多了。</t>
  </si>
  <si>
    <t>不推介 内衣乳晕部位设计有问题，两个凸起，穿起T恤就看到两个突突，什么逻辑，不推荐购买</t>
  </si>
  <si>
    <t>尺寸偏小感觉 因为是纯棉的，所以没有弹性，2尺2的腰围选了这个穿起来不舒服，只能放着了……</t>
  </si>
  <si>
    <t>追加使用后感受～ 收到的时候只有左右各一个贴纸，外包装没问题，里面白色塑料有破损。感觉贴纸时间久了不牢固再贴的也有可能，不一定都是二手的，还是看机器怎么样吧。不过旗舰店评论也有人收到过带着毛发的二手产品，感觉这牌子品控微妙。 海外购售后很麻烦，有预算还是建议其他品牌。客服说拒收的话不退运费税费，已经收到的担心二手的用酒精棉清洁一下吧。 用了三次，真的有效～</t>
  </si>
  <si>
    <t>不划算，蜡笔居多，底下一层两排重复 蜡笔居多，底下抽屉两排一样的颜色，性价比不高</t>
  </si>
  <si>
    <t>质量有问题 有质量问题，电源插头和音箱的链接特别送，基本上一会就掉下来了</t>
  </si>
  <si>
    <t>做工较差，线头多。 裤子的做工一言难尽，线头过多，内里很多细节非常糟心，要不是打折这价钱入得便宜，这钱可花得真不太值。大小倒是异常合适，裤型是偏那种宽松西裤的，而且高腰，可惜是单粒扣，要是双粒扣的就非常稳了。买来搭皮鞋非常ok。发的顺丰，感觉顺丰这次慢了些。</t>
  </si>
  <si>
    <t>还可以 8岁以下的宝宝用比较合适！中国制造！</t>
  </si>
  <si>
    <t>号略小 质量是没得说，hin好。但是这个倭国的码感觉比较小。好在能穿。165，59km，m码</t>
  </si>
  <si>
    <t>7分 使用率还可以，后来专门喝奶用吧</t>
  </si>
  <si>
    <t>囤货买着 看推荐买的、吴尊同款哈哈哈、60多两把好实惠</t>
  </si>
  <si>
    <t>很器用 虽然买来好久了，就绞过一次肉馅。速度力度都很好。肉馅很快就能绞碎碎。但是菜就算了，会变成蔬菜汁。😅</t>
  </si>
  <si>
    <t>质量好版型好，就是有点大了下次买小一号 买大了，不过可以送人不想换了，质量不错，版型也很好，价格合适</t>
  </si>
  <si>
    <t>很好很强大 平时选10M，44，都可以，刚刚好，穿着很舒服</t>
  </si>
  <si>
    <t>保暖神器 冬天穿去办公室后好热，能满足我的要求，薄而暖</t>
  </si>
  <si>
    <t>袜子很好价格美丽 日亚包装完美，一起四双一百多价格合适</t>
  </si>
  <si>
    <t>舒适 开始有些硬,软化后实在太舒服,通勤休闲都不错,适合长时间的穿着.谢谢亚马逊带来物美价廉的商品</t>
  </si>
  <si>
    <t>便宜 和在店里的一样，可是便宜好多呢。不过喝母乳的宝宝都不太会用奶瓶，希望这个宝宝用了能喝水喝奶吧</t>
  </si>
  <si>
    <t>很好 不错，便宜</t>
  </si>
  <si>
    <t>好评 衣服挺好的，但小了半个码，将就着穿吧。</t>
  </si>
  <si>
    <t>Lodge 洛极 制造公司铸铁方烤盘 终于解决烤牛排的问题了！加热均匀。</t>
  </si>
  <si>
    <t>质量很好 通风透气，白色较透明</t>
  </si>
  <si>
    <t>物美价廉，舒适大方 物美价廉。</t>
  </si>
  <si>
    <t>11 这样的价格买单lee 质量也行，非常满意！</t>
  </si>
  <si>
    <t>价格美丽，尺码正常 尺码按正常买就行，平常耐克阿迪37-37.5，这款买38大了一点，但系上鞋带或者穿厚袜子也行。没什么瑕疵，可以。</t>
  </si>
  <si>
    <t>超棒，暂时听不出来和kosspp有太大区别，毕竟物超所值，才99 我真的是忍不住好评，第一，物流超快，从美国洛杉矶，到江苏常州镇江，才7天啊，我就收到了！我自己都不相信啊，这速度堪比内地快递到新疆啊，希望亚马逊火起来，这么认真的做电商，值得大家关注和鼓励！，耳机很好，听起来和koss pp差不多，价格才99，很多人觉得外形不好看，这是硬伤，但是我不在乎！我就是听声音的！哈哈哈哈，开心！</t>
  </si>
  <si>
    <t>性价比还是可以的 大家有照片，我就不上图了，音质是比原来的苹果小白强，可以听出来很多细节，但是感觉没有提升很多，用的手机和电脑直推，隔音效果比较好，没用过别的耳塞，反正这个不算很舒服，还有就是线看起来好廉价啊，感觉一撤就会断，停诊效应很严重，应该是所有入耳耳塞的通病</t>
  </si>
  <si>
    <t>非常好用 很满意</t>
  </si>
  <si>
    <t>物有所值 面料柔软细腻，夏天穿着透气舒适</t>
  </si>
  <si>
    <t>算不错 衣服虽然不是全棉，但质地柔软，穿着舒服，本人比较胖，个子矮，衣服片长，稍微显得肥大。</t>
  </si>
  <si>
    <t>不错 走路很舒服</t>
  </si>
  <si>
    <t>虽然不是10061，也是款不错的大黄靴 虽然不是10061，也是款不错的大黄靴</t>
  </si>
  <si>
    <t>不建议购买 大小合适，只是实物比较丑</t>
  </si>
  <si>
    <t>漏发 少了勺子和动物标志，另外图片诱导人，有两张有水杯和袋子，下次一定要看仔细，漏发的还在和客服商量。</t>
  </si>
  <si>
    <t>慎重购买 总体还可以，可惜中国菜用不到这么多，一个炒锅足矣</t>
  </si>
  <si>
    <t>褪色 包装很糟糕，只用一个塑料袋包着。最让人生气的是褪色。洗了好几遍还褪色。我想退货。结果发现流程非常麻烦。</t>
  </si>
  <si>
    <t>鹿头毛刺太明显，孩子啃啃就哭，估计扎嘴。 鹿头毛刺太明显，孩子啃啃就哭。</t>
  </si>
  <si>
    <t>非常喜欢 好穿 我168cm、57kg 女 想要oversize的感觉 就买的m 袖子超级长 很肥大 其实s也是可以的 m穿起来很有感觉 建议小个子女孩子还是买s 我朋友 男 173、88kg穿m合适 可参考 略掉毛 有线头 不过这个价格来看很实惠了 内里带绒很亲肤</t>
  </si>
  <si>
    <t>裤型好看 31x30 身高173cm 70kg 合适 版型也好看</t>
  </si>
  <si>
    <t>可以撑很久了 下单后等了4周才发货，差不多一个月到手，噪音还行，写入速度很一般，刚到手就听闻特价到柒百多了，不开心</t>
  </si>
  <si>
    <t>掉色 款色、版型合身，美中不足是初洗掉色严重，一般子蓝水，也许以后都不敢放洗衣机了。</t>
  </si>
  <si>
    <t>实惠的价格 大小合适，价格也很实惠，就是感觉略薄了一些</t>
  </si>
  <si>
    <t>第一次购CK 款式很普通但穿着很舒服，满意。</t>
  </si>
  <si>
    <t>好穿 好穿 以前在美国买过 差不多款式</t>
  </si>
  <si>
    <t>做工还可以 大了很大</t>
  </si>
  <si>
    <t>不错 挺好的</t>
  </si>
  <si>
    <t>大小合适，质量好 我182，80公斤，买M正好，主要是看了前面朋友说号偏大，没敢买大号，这次正好，供后面购买的朋友参考。</t>
  </si>
  <si>
    <t>不错不错啊 不错，很软的奶瓶。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</si>
  <si>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什么时候穿 运动时穿或夏天在家或度假穿很悠闲</t>
  </si>
  <si>
    <t>弹性好 这条裤子太好了，牛仔裤弹性很足，185 185买了34×32大小刚刚好。</t>
  </si>
  <si>
    <t>音质不错 耳机音色很好！价格美丽！东莞产的</t>
  </si>
  <si>
    <t>biom就是舒服 舒服，舒服，舒服。biom就是舒服</t>
  </si>
  <si>
    <t>不错 很不错，做工不错，厚薄合适</t>
  </si>
  <si>
    <t>希望帮助想买的人 与期望相符，材质手感不错 170,75,s码合身</t>
  </si>
  <si>
    <t>尺码偏大 有点大了</t>
  </si>
  <si>
    <t>很好 3637的脚买了6.5加宽，冬天穿厚袜子正好，薄袜子听松的，脚脖子那里别把鞋带系紧就不会卡，价格很合适了，加税560好像</t>
  </si>
  <si>
    <t>质量非常好 质量非常好，天天被孩子摔，丝毫不受损，保温效果也很好。</t>
  </si>
  <si>
    <t>很好，做工也不错 鞋子质量不错，送给老人很喜欢，冬天穿即保暖也防水。性价比也高。</t>
  </si>
  <si>
    <t>音质不错，要求不太高的用户值得入手 平时对音质要求不是太高，只是平时电话会议比较多，这个耳机挺舒服的，音质也不错。</t>
  </si>
  <si>
    <t>挺好的裤子 收藏了一段时间，了解一下裤子的号码，买了38x30号的（1,76米，85kg，腰围100cm）。穿着正好，如果冬天穿的多的话不行。裤子的布料比国内买的柔软一些。物流10天，总体挺满意的。</t>
  </si>
  <si>
    <t>价廉物美的存储硬盘 3月11日下的单，3月16日就收到了。用来存储视频文件，传输速度从130-200 mb/秒。用的时候震动比较大，待机的时候很安静。打开看了，是氦气盘，希望能耐用。</t>
  </si>
  <si>
    <t>材质一般 身短 手长 肩部带类似运动装散热隐藏折 材质一般</t>
  </si>
  <si>
    <t>呵呵 呵呵，稍微大了一些!</t>
  </si>
  <si>
    <t>不是亚马逊自营的 不是亚马逊自营的，买的时候一定要看清楚！之前没看清楚，卖家也不给退，也懒得折腾</t>
  </si>
  <si>
    <t>暖和 小码，适合穿中码的我。7折入手，很划算。</t>
  </si>
  <si>
    <t>略粗糙 大小和国内码差不多，虽然是棉布，但面料摸着不舒服，松紧部位略粗糙，不建议购入</t>
  </si>
  <si>
    <t>损坏了 感觉发货前就损坏了，盖子没有掉，但是拿到手，盖子一边的插销就已经脱落了。。。用起来还好，没有用过其他的不好对比，只觉得一档就会有点疼了。</t>
  </si>
  <si>
    <t>不满意 12号下单，今天早上就到了，这么快正常吗？让我很生气的是才买了几天就降价一百多，这样真的没人有意见吗？笔还没有用，不知道好不好用，反正心里很不痛快</t>
  </si>
  <si>
    <t>这版型真心不行呀呀 这版型，太丑了！失望</t>
  </si>
  <si>
    <t>颜色偏粉 颜色偏粉，质量不错，如果能便宜点就好了</t>
  </si>
  <si>
    <t>还不错 很可爱的杯子 没有异味 质量放心 就是保温效果一般 不过给孩子用也可以了</t>
  </si>
  <si>
    <t>不太好用 跟风买的，不太好用。</t>
  </si>
  <si>
    <t>合适 鞋子比较喜欢</t>
  </si>
  <si>
    <t>不错，值得拥有。 不错，运动型手表，户外用值得拥有。送小朋友作为生日礼物不错。。。。</t>
  </si>
  <si>
    <t>推荐 朋友非常喜欢。值得推荐</t>
  </si>
  <si>
    <t>质量好 颜色比图片更艳一些，很厚实，看起来质量好</t>
  </si>
  <si>
    <t>好 好大好实惠，非常保暖</t>
  </si>
  <si>
    <t>颜色暗 刚收到，质量很好，对脚宽的人行道此鞋稍稍瘦了一点</t>
  </si>
  <si>
    <t>好 一如既往地好，大小合适，棉质</t>
  </si>
  <si>
    <t>性价比高 卫衣做工可以，薄厚适中，价格比天猫便宜很多</t>
  </si>
  <si>
    <t>喜欢～ 不错，比国内价格便宜啊，而且似乎支持全球联保。</t>
  </si>
  <si>
    <t>质感好 面料的手感好 做工精细。就是略微有点大。很好</t>
  </si>
  <si>
    <t>不黏腻 很好用 泡泡糖口味，彩条状特别吸引小孩子，作为大人我试用一次才给孩子使用，口感微清凉，泡泡细腻不黏嘴，泵型挤压造型有趣孩子喜欢用它刷牙~</t>
  </si>
  <si>
    <t>偏紧 胸围104，体重76，不锻炼时臂围38.5，L号上身有点紧，也许大一号上身会更轻松些。料子比较细腻，贴身穿很舒适，颜色也正，和图片展示的一样（同款买了2件，1蓝1灰，本款衣服没拍照，上传的图片是灰色款，质感和版型大小完全一样）</t>
  </si>
  <si>
    <t>看起来不错 看起来不错，天凉了，没穿</t>
  </si>
  <si>
    <t>DW5600E-1V 以前用的是双狮的自动表，防水但是不防震，所以一直想换一块防水防震的。在某包、某猫、某东看了好久，也在中亚找了好久，觉得还是CASIO的G表才适合我，但是价格偏高。这个型号一直加到购物车都没有下单。11月20几号美亚还是三百多，都准备放弃了，没有想到来了个大促，才一百八十多，赶紧下单。从11月27号下单，到今天中午到手，整整半个月！ 今天中午中亚送货员给我打电话说货到了（前天收另外一个货的时候给他说过，再次感谢中亚本地送货员王湘兵，这是一个很负责的人，跟他接触有好几年了）。 这块表跟预想的差不多，就是表带偏硬了点。3229，国产，说明书是马来西亚印刷的，无中文，表带上没有通常有的吊牌。设置操作简单，照着百度文库上的多搞两次就熟悉了。 简单、大方、耐用应该是最核心的体现，所以成为经典。 相关测评，网上能否找到很多，也就没有必要重复做了。</t>
  </si>
  <si>
    <t>好用 非常好用，孩子喜欢咬，咬断好几个了，有配的吸管，挺不错的，这样不用再买杯子了。</t>
  </si>
  <si>
    <t>非常超值的三瓣鞋，符合预期。 平时耐克阿迪之类的运动鞋是穿41，这双特意到Clarks店里试，发现是40码比较合适，寄过来果然和国内的尺码一样，价格能便宜接近一半，相当超值了。这鞋缺点是鞋底比较硬，走路太接地气，不适合长途跋涉的时候穿。</t>
  </si>
  <si>
    <t>划算 这个价格划算，质量挺好。邮寄很快。断电也能出水，挺好</t>
  </si>
  <si>
    <t>东西不错~ 亚洲人180.75KG M号就好</t>
  </si>
  <si>
    <t>再也不用担心硬盘不够用了 再也不用担心硬盘不够用了</t>
  </si>
  <si>
    <t>美中不足 空间太大很好用，但自带电源使用起来很麻烦。若果能自带无线WIFI传输数据就完美了。</t>
  </si>
  <si>
    <t>不错 不免运费，有点亏</t>
  </si>
  <si>
    <t>推荐购买 穿上很舒服，感觉没有穿一样，柔软！唯一不足就是屁股后面缝纫不是很精细，埃及产</t>
  </si>
  <si>
    <t>掉色严重 失望 为什么这么贵的衣服买来却是掉色？而且晾了起来还把毛巾染色了😠 真的掉色很严重！</t>
  </si>
  <si>
    <t>不要购买 没有国内买的好，振动感太大</t>
  </si>
  <si>
    <t>差 褪色掉绒，比安德玛差太多</t>
  </si>
  <si>
    <t>颜值大于实用的一款鞋 因为之前在实体店试过，所以鞋码还算合适。优点就是外观好看，很文艺，皮质很软，鞋很轻；缺点也很明显，北方灰尘大，白色很不耐脏，而且这种皮质沾上脏东西很难清理。鞋底比较薄，也比较硬，步行很不舒服，一定得再配一个比较软的鞋垫。透气性很好，大热天穿也不太出汗，总之可以体验一下三瓣鞋，应该不会再购买。看这个结构，估计穿不了多久就废了。</t>
  </si>
  <si>
    <t>很差，不好。 很差，不好。很差，不好。很差，不好。很差，不好。很差，不好。很差，不好。</t>
  </si>
  <si>
    <t>怀疑是假货二手货 拉链都是ykk的，铜扣子也锈了，还有消毒水味道，logo上没有x线。假的，二手的。赔我。</t>
  </si>
  <si>
    <t>外包装咧大口子，幸好笔还在 差评是给包装的，薄薄的箱子咧大半嘴，要吓死人啊！鞋合子变形了都，和笔合子粘一起，幸好没丢！</t>
  </si>
  <si>
    <t>注意尺码 172cm/70kg，买了m，穿上去大了很多，袖子长了一截。而且英国亚马逊只退不换，而且得自己去邮局寄回亚马逊。</t>
  </si>
  <si>
    <t>kvl8320s 产品送货快，但是开封的包装箱，机器是新的！</t>
  </si>
  <si>
    <t>稍微大，质量好.可以作为红翼的廉价版使用。 我亚瑟士穿42的，新百伦us8号，这次买us8号稍微有些大，一点不影响。可以穿厚袜子或者垫鞋垫。 品质不错，厚重，结实。粗狂，遒劲</t>
  </si>
  <si>
    <t>太大 182/70公斤，穿L太大，M差不多了，老外的尺码就是大</t>
  </si>
  <si>
    <t>正装衬衫 价格不错，下摆很长，只能扎裤子里穿</t>
  </si>
  <si>
    <t>买小了 高估自己了~试国内的36号还有点大 选了5.5，但是小了。应该买6/6.5以上。平常36.5 的脚~给大家做个参考</t>
  </si>
  <si>
    <t>多大 170，64kg，M正好，很满意</t>
  </si>
  <si>
    <t>一直用这款奶瓶 孩子挑奶瓶，这款还不错！</t>
  </si>
  <si>
    <t>Nice experience, very good! Really surprising excellent experience, only music around you while background noise are cancelled.</t>
  </si>
  <si>
    <t>Calvin Klein Men's Regular Fit Non Iron 颜色、款式、质量都很棒，不愧为CK品牌。</t>
  </si>
  <si>
    <t>保温效果好。 保温效果好，开水一般24小时后还有点烫。</t>
  </si>
  <si>
    <t>包装好 一直喜欢在亚马逊买东西，很靠谱。包装特别好，还没用呢，应该不错！</t>
  </si>
  <si>
    <t>不二选择 鞋底软，平时走路穿很适合</t>
  </si>
  <si>
    <t>这波可以 物流速度挺快的，手表感觉不错，就是表带有点硬</t>
  </si>
  <si>
    <t>非常舒服 合身 非常合身 平时穿27的 这条6号正好 如果要紧一点可以选择4号</t>
  </si>
  <si>
    <t>东西不错 包装完好！东西也没有任何损伤，完美！走时准确！就是配送时间超长，11月6日下单，11月19号才收到。</t>
  </si>
  <si>
    <t>好评 尺寸稍微偏大，性价比比较高。</t>
  </si>
  <si>
    <t>非常舒适 款式新颖别致，用料考究，穿上很舒服</t>
  </si>
  <si>
    <t>挺满意的 客服态度很好，问题积极解决，耳机收到了，感觉一般，看来我是木耳朵</t>
  </si>
  <si>
    <t>好笔，f尖顺滑无比 很有质感，很有分量，就是包装简陋点了，不过没啥，笔是好笔，</t>
  </si>
  <si>
    <t>好东西一定还会再来买 很好的质量尺寸也正好</t>
  </si>
  <si>
    <t>装不了吸管 还没开始用，装不了吸管，只能直饮</t>
  </si>
  <si>
    <t>嗯 样式很好看，就是有点大</t>
  </si>
  <si>
    <t>好评 不错，仔仔很喜欢，做工好</t>
  </si>
  <si>
    <t>块状彩铅 很好呀，细腻！</t>
  </si>
  <si>
    <t>物超所值！ 看了不少关于这个型号监听音箱的评论，最后还是决定下单，因为性价比太诱人了。送货很快，隔天就收到，其实没有超过24小时。外包装没有，原包装没有受损，还贴了封条。音箱仔细检查了一下，没有受损的痕迹，大小适中，对一个十多平米的空间来说适当。接下来试了各接线口和音质，接口简洁、恰好够用。开机后略有一点静音噪声，贴近耳朵才会听到，完全可以接受。应该说物超所值，特别是在播放无损格式音乐时，效果非常之好，超出预期，对这样价位的音箱，有这么好的声音表现，真是非常满意。为这个音箱点赞👍</t>
  </si>
  <si>
    <t>掉毛相当严重 我已经很多年没有穿过掉色（掉黑毛）这么严重的黑色内裤了。 手动smile。 上个厕所，不忍直视的掉毛。</t>
  </si>
  <si>
    <t>一般般颜色喜欢 一般般吧，感觉用料好轻薄的感觉</t>
  </si>
  <si>
    <t>建议大家买日版，美版其实很一般 这个价格这个质量还不如买国货，外国人的屁股不是应该很大吗？身高175 体重58Kg买的S码感觉下摆紧，肩膀脖子那里却刚好，而且衣服偏长，感觉很奇怪的版型。同时购买了一件日版的是这个价格的3倍多，但是质量好太多了，日版按国内正常尺码购买即可，美版的再也不敢买了很一般</t>
  </si>
  <si>
    <t>不值得这个价格 跟国内专卖店比较还是有差别，衣服穿两次变形</t>
  </si>
  <si>
    <t>不靠谱 物流运过来包装已经打开，可以随便拿出来，两瓶封装的包装袋已撕开，是不是给调包就不得而知了，不太靠谱。</t>
  </si>
  <si>
    <t>衣服轻，诚信重！ 一直喜欢这个牌子的衣服，这件衣服的样式和颜色均不错，但尺码与衣服的尺寸有出入，最重要的是自收到衣服至今都不敢穿，浓郁的化学气味非常刺鼻，洗后仍然如此。失望的购物经历一言难尽、。愿看到此评论的供应商召回检查并处理已售衣服上的气味，如存在有害物质也可让忠实顾客免于受害。</t>
  </si>
  <si>
    <t>正品 很假看起</t>
  </si>
  <si>
    <t>. 有点大，将个烂就</t>
  </si>
  <si>
    <t>一双好鞋 各方面都比较满意，大一点穿着也挺舒服，只是做工略有点糙，外面的PRO标略歪，不过整体不错，价格比专卖便宜太多了，也值得等10多天的国际快递。</t>
  </si>
  <si>
    <t>CK品牌新产品 休闲慢跑裤</t>
  </si>
  <si>
    <t>鞋面偏窄，有印子 38的脚，买的5UK，鞋子刚刚合适，建议瘦脚购买，一只鞋面上有多条深色印子，感觉是瑕疵品，四百多的鞋也就懒得退了</t>
  </si>
  <si>
    <t>值得推荐 又买个四季的两条，薄的4.5在有暖气21度的暖气房盖着正好，10.5的适合没暖气的房子，被子柔柔的暖暖的，没有响声和钻毛，值得推荐，就是做工差点。对于尺寸买时研究了好久，把尺寸照片发给大伙参考</t>
  </si>
  <si>
    <t>完美 放了购物车好长时间的鞋子，等到黑五终于降了几十块，心里觉得总算便宜了，立马下单，收到试穿后简直觉得完美，真想多买一对^_^^_^好喜欢好喜欢</t>
  </si>
  <si>
    <t>还不错，价格也还OK，就是物流有点久，能理解毕竟从美国直邮，好评！ 还不错，价格也还OK，就是物流有点久，能理解毕竟从美国直邮，好评！</t>
  </si>
  <si>
    <t>杂食的耳机 听任何类型的音乐歌曲都行，杂食，低频很猛</t>
  </si>
  <si>
    <t>k240s 一个声音很正面的耳机，音染少 人声真实，还在煲~~</t>
  </si>
  <si>
    <t>ecco很好 鞋底挺软，鞋型好，防滑耐磨</t>
  </si>
  <si>
    <t>159.48kg 159 48kg穿m码合适。衣服偏薄适合秋天穿。整体偏宽松，但是袖子很窄，我的手臂是算瘦的那种，袖子那还是非常紧贴。面料质感都很好。</t>
  </si>
  <si>
    <t>好 这就是明星产品，质量顶呱呱。</t>
  </si>
  <si>
    <t>挺好 骨盆带挺好的，用着也挺方便的</t>
  </si>
  <si>
    <t>很好 很好，以前从不去评价，不知道浪费了多少积分，现在知道积分可以换钱，就要好好评价了，后来我就把这段话复制走了，既能赚积分，还省事，走到哪复制到哪，最重要的是，不用认真的评论了，不用想还差多少字，直接发出就可以了</t>
  </si>
  <si>
    <t>做工不错 白色的好看，做工也可以，龙头很重，好</t>
  </si>
  <si>
    <t>建议买大两码 看过大家评论不是太好，但还是买了两条。不是便宜吗，而且样式不错，另外我觉得天木兰的质量不会太差的。收到货，包装果然简陋，皮带有些粗糙，不过很符合户外的风格啊。皮带不是很厚但是挺宽，反正我觉得很好。这个价钱，再选我还是买它。</t>
  </si>
  <si>
    <t>物美价廉 声音还原真实，三频都不错，尤其低音弹性有力！耳罩柔软～</t>
  </si>
  <si>
    <t>很不错 棒棒哒，物有所值 而且特别重</t>
  </si>
  <si>
    <t>荷兰产，价格有点贵， 荷兰产这个是可以确定</t>
  </si>
  <si>
    <t>尺寸准 32腰围合适，长度长了一点要去改裤脚。</t>
  </si>
  <si>
    <t>有一点小，还好我头小 颜色正点，漂亮，喜欢</t>
  </si>
  <si>
    <t>181,80,穿L合身 不是中国产的，181,80,穿L合身。同款，中国产的在欧洲专柜折后大概也500+。</t>
  </si>
  <si>
    <t>的确不错的硬盘，运行也安静~~~ 这是一块的确不错的硬盘，运行也安静~~~发货和包装都比较满意，包装这是其它电商要好好学习的~~~</t>
  </si>
  <si>
    <t>很好 这个好喜欢，价格便宜尺码合适，男票180，140上身壮L正合适</t>
  </si>
  <si>
    <t>喜欢就好 真的，不要在意所谓的测评。既然大家都在装逼，说这不好那不好，3W以下听个响云云。。。不如按照最简单的感觉，自己喜欢就好。。</t>
  </si>
  <si>
    <t>鞋子穿起来比较舒服 在国内一般穿41.5的，买的EU42的，大小合适，穿起来比较舒服</t>
  </si>
  <si>
    <t>实测白色比黑色大一码 172/75kg同样买的是s，健身，喜欢修身款贴身打底，白色很好紧身正好可穿，黑的比白色小一个码像xs很勒，发现还破了x黑色退了。建议用身材喜欢宽松的买m码。</t>
  </si>
  <si>
    <t>表罢工了，不走了 用了不到两周就不走了，不知道是不是没有电了，运气不好。</t>
  </si>
  <si>
    <t>怀疑不是海外购 袜子有点厚，看上去质量还好，不过发货到收货才用3天时间，有点怀疑是否是海外购咯</t>
  </si>
  <si>
    <t>海外购无售后，买东西好坏全凭手气。 收货整整两个月，使用没几次就充不了电了，试了好几个好用的线都无法充电，指示灯不亮，问了客服海外购商品收货30天内可以退货，超过30天就不管了，没有任何售后了，看了他们说的退换货说明是30天内保证产品完好不影响二次销售的情况下可以退货，如果东西是坏的是不是只有自认倒霉？看来亚马逊海外购就是完全没有售后的，这符合相关规定吗？</t>
  </si>
  <si>
    <t>假货 假货，国条都被黑笔涂了，买了4瓶，吃了两瓶了才发现，晕死，不敢吃了，还不能退货</t>
  </si>
  <si>
    <t>质量一般 质量一般，掉色，穿一次就线头就掉了，腰带的皮筋都断了</t>
  </si>
  <si>
    <t>衣领洗过后变大 灰色水洗2次后，领子变得异常的大啊，完全没型了，有点尴尬。黑色看起来还行。白色还没洗过，待检验</t>
  </si>
  <si>
    <t>很实惠 很棒的商品哦！适合市场使用。而且平均下来的价格比在国内常用的电商平台还要便宜。</t>
  </si>
  <si>
    <t>还不错 买大了一码，正合适，做工不错，值这个价格。</t>
  </si>
  <si>
    <t>满意 日码会偏小一点的，不过样式好看，很满意</t>
  </si>
  <si>
    <t>很满意的购物 非常不错，大小合适，是正品</t>
  </si>
  <si>
    <t>非常好的产品，非常省心的海外购 硬盘很好用，传输速度保持在80m-110m，发热和噪声都很低。硬盘声音几乎听不到，插在电脑上一整天，只有一点热 外形小巧，不到两个普通香烟盒大小，红黑的色彩显得朴实不张扬，但也很醒目，很容易找到。 这是我用过的最好的一块硬盘。</t>
  </si>
  <si>
    <t>便捷 使用非常便利。3分钟之内能喝到一杯口味纯正的意式咖啡。办公室神器。</t>
  </si>
  <si>
    <t>鲜奶+蛋白粉 用鲜奶冲泡，非常好喝。</t>
  </si>
  <si>
    <t>挺好的东西 不错哦，买的第三个了</t>
  </si>
  <si>
    <t>Nature Made 天维美 高浓度辅酶Q10心脏养护软胶囊 80粒 保质期很长，美国品牌应该不错，亚马逊应该是正品，会继续回购的。</t>
  </si>
  <si>
    <t>尺寸合适 身高177体重145买的L号尺寸刚刚好，颜色比较正！</t>
  </si>
  <si>
    <t>LEE T恤 品质不错的商品，物美价廉</t>
  </si>
  <si>
    <t>不错 买了M号。183cm，100kg的朋友穿正好。。然后送他了。质量不错，轻薄且保暖。</t>
  </si>
  <si>
    <t>很好用 很好用，用了一档和二档冷风，室内温度24度，不会吹的太干，需要转换头</t>
  </si>
  <si>
    <t>价格真心是购买的最大诱惑力 软件读取硬盘转速为5425转每分，8001GB，折合7.27TB。购买时建议多跟踪一段时间，有时价格会很低。做过盘片读取扫描，耗时15小时12分，速度从190MB每秒到80MB每秒。噪音我觉得正常，这个是放在外面的，比起机箱内的硬盘声音感觉要大些，毕竟少了机箱的降噪。说说缺点，国内保修时间短，只有1个月，也就是从预计到货时间后一个月，根据经验实际会早一些收到，也就多几天。包装单薄些。这款比起Seagate Backup Plus Drive的电源体积要小一些，电源是硬盘寿命的关键保证之一。给各位买家参考下。</t>
  </si>
  <si>
    <t>质量做工不错 做工还挺好的，176cm，80kg穿M号感觉略小，袖子没有像其他牌子的美版一样长。</t>
  </si>
  <si>
    <t>质量很好，煎肉神器！推荐！ 买来煎牛排用的。裸锅一百四入，用的时候一定一定记得戴手套。分量很足很沉，所以基本不用用手固定住锅。 没有涂层每次用完要刷一下油不然容易生锈。如果热锅不充分的话一定会粘！还有千万不能用来煎鸡蛋（不要问我怎么知道）。。 总之，还是物超所值的。煎出来的牛排很漂亮！</t>
  </si>
  <si>
    <t>安全快捷 非常快，從米國到天朝只是五天而已！包裝很紮實，亞馬遜的體驗沒問題，充電是採用磁吸式的，很意外，也很安全！如果再買一隻的話，我會選購直流電大容量的。</t>
  </si>
  <si>
    <t>东西很好，放心使用 韩国产的，买来给宝宝平时吃饭用的，无异味，内胆不锈钢的，可以直接微波炉加热了，最看中该品牌的安全性，会继续支持，非常好</t>
  </si>
  <si>
    <t>下次还会再来买的，太棒了 真的超棒了，虽然等快递的每一天都很煎熬，但是UPS快递真的服务不错啊，不是百度上说的那么恶劣，一个星期不到就到了，真的超美的鞋子，真的真的真的！！</t>
  </si>
  <si>
    <t>Move Free维骨力超强三重机能联合补充剂  含II 型胶原、透明质酸和Boron  ... 第一次使用，感觉一般</t>
  </si>
  <si>
    <t>两用裤，可拆成短裤 买来第二天去外面玩，37度天，第一次感觉到了裤子的舒服，不粘身防晒，喜欢上了这个牌子，准备再入手，身高176，体重85KG,腰围2.9，买的L，合身</t>
  </si>
  <si>
    <t>好评 价格实惠，正品行货，物流快捷，好评！</t>
  </si>
  <si>
    <t>稍大 162cm，65kg，L码稍大，可能M更适合。</t>
  </si>
  <si>
    <t>看好奶嘴型号 好用，就是用了好久才知道奶嘴得看好型号</t>
  </si>
  <si>
    <t>健身首选的麦斯泰克新优极品。 价格实惠，麦斯泰克新优极品。健身首选。此品乳清蛋白含量较高、支链氨基酸、谷氨酰胺、肌酸等营养成份齐全。值得反复回购。推荐购买。感谢亚马逊。感谢麦斯泰克。感谢卖家。</t>
  </si>
  <si>
    <t>别指望能喝到煮出来的粥 烫杯，把净泡过的大米放进去，加入开水，过一遍，马上倒掉再加开水，做出来的粥像豆腐渣，没有浓香味道， 鸡蛋加开水，第二天起来是水煮蛋不错， 不知道是我的问题还是杯子的问题，算了。就当保温杯用吧，我觉得保温效果还是没有同品牌的保温杯好。</t>
  </si>
  <si>
    <t xml:space="preserve">最客观真实的评论 自诩最客观真实,,,,各位看官请看吧：   首先，我从包装盒中刚拿出机器，右手无名指就被机器上的铁屑，或者叫刚屑，给扎到了，因为这个我本来要给一星，或者要是在国外是不是可以申请ａｍａｚｏｎ，或者厂家的赔偿呢。我被扎到了，而且在无名指上看到了扎到肉里的铁屑，准确的说大概有２－３个毫米那么长。   心有余悸后，我非常仔细察看了机器，，，非常不可思议的是，真的只有这一个钢屑，只有一个，为什么我这么幸运呢。。。。。。。   但是有至少３－５处，边缘粗燥，划手，不知道为什么厂家作高端的产品，出厂不检验或者打磨一下。这些粗燥的地方，虽不至于划破手，但是还是要很小心使用。   这个面条机的钢板不是模具一次成型的，而是钢板冲压出来的，因此会有划手的边缘。模具一次投入大的话，拜托可以出厂前打磨好啊。   因为这个真心想给一星，之前给五星的朋友，不要告诉我，你的没有这个问题，鉴于总体还可以吧，给各三星。给大家参考，国外买的，我也懒得折腾，再换估计也是一样的。还要等好久好久。   哦，需要补充一点，很重要的，就是压出来的面条，还是不错的，给以后的买家参考，客观，要客观哦   </t>
  </si>
  <si>
    <t>黑色，安德玛 旅游，穿着轻巧，抓地感强，满意购物</t>
  </si>
  <si>
    <t>柔软爱掉绒 头一次穿时、里绒象棉花一样很爱掉、不如国内的质量好、一般般吧、谁买谁后悔</t>
  </si>
  <si>
    <t>破了 不太开心。一穿。指甲就给穿个洞</t>
  </si>
  <si>
    <t>品论 感觉好象少个配件</t>
  </si>
  <si>
    <t>南方15度可以 比较不抗冻，15度的无风天穿还是舒适的，长度168能穿，不适合胖的</t>
  </si>
  <si>
    <t>收身，仔味 身高178体重75kg，里面一件T恤刚刚一穿，收身型的，布料中薄型，洗一水颜色更正，产地孟加拉，做工一般，木有china造的好，右侧内囗袋有一处拉扯得很薄的地方，用力拉一下就会破，这件主要是买款式，上身不错仔味十足</t>
  </si>
  <si>
    <t>东西还可以 身高178，重78选择M码刚刚合适，但是前面有些折皱，就和宣传图上的一模一样，真人穿上去这些折皱还是一样存在。不过布料非常舒服。。。</t>
  </si>
  <si>
    <t>软管和线材收纳是唯一减分项，其他很不错 蒸汽量很不错，对比了评论区推荐的特福的，感觉特福插线和蒸汽管能收回去收纳上更方便，但博朗造型红点奖没得说，银黑色比较硬朗。 没有中文说明书，那个出水我一直没明白咋搞。 专门还跑德亚用翻译器看德亚上的评论，特福买的多博朗买的少但很多特福的一些机型说买了第二年出质量问题啥的。 最后还是买了红点奖设计，以前只熨过挂熨，不是很会用，感觉搭配熨衣板使用更好</t>
  </si>
  <si>
    <t>尺码偏大，鞋底较硬可垫鞋垫增加舒适性 买的时候注意尺寸，这款鞋子是偏大的。鞋底比较硬，买大一些可以垫一个鞋垫更舒适。</t>
  </si>
  <si>
    <t>合适 梦露款，颜色很不错，版型一如既往的好，买了稍短的一款，长度刚刚好，不用再去加工剪短了，面料比想象中的柔软一些，很满意。</t>
  </si>
  <si>
    <t>好东西，要推荐！ 满满一大瓶，室温保存，一天一片，吃饭的时候吃，感觉很好！打开盖子的时候要稍微往上拔一下！</t>
  </si>
  <si>
    <t>GUNZE 郡是 内衣 Tuche INTIMATE 穿在身上的护肤品 100%纯棉 8分袖... 质量好，做工细。还会再买的。</t>
  </si>
  <si>
    <t>好快 好  快 好快好快好快好快</t>
  </si>
  <si>
    <t>还不错 182高68KG，M合适</t>
  </si>
  <si>
    <t>主听摇滚的话600CNY价位必须是它！ 瞬态真的是优异啊！太刺激了整个人跟着直上直下，摇滚神器，感觉这个价位非常非常的值，但国内卖1300我觉得是上头了。出街很酷，有时甚至会鄙视乖张的beats😂缺点就是耳机略小，我这种大头宝宝一次不能爽很久。买之前最好看看播放器支不支持aptx，别到时候怪耳机音质差👎</t>
  </si>
  <si>
    <t>贴身百搭内衣 贴身穿着的内衣,很舒适,尺码刚好.非常不错.</t>
  </si>
  <si>
    <t>包包的气质可以的 包包真的很有眼缘，希望可以得到很好的体验，谢谢！</t>
  </si>
  <si>
    <t>挺不错的，性价比很高 挺不错的，性价比很高</t>
  </si>
  <si>
    <t>很好，正品 非常方便，分装辅食必备！</t>
  </si>
  <si>
    <t>良心店家 东西很好，快递很给力，一个赞字了得，谢谢店家！</t>
  </si>
  <si>
    <t>关税问题没搞懂 第一次在亚马逊海淘，包装很简单，东西也完好无损。 有没有被税也没人通知我，这点有些奇怪。</t>
  </si>
  <si>
    <t>好！好！好！ 太棒了！手感，有时非常好。</t>
  </si>
  <si>
    <t>品质非常好 用身高选择尺码不一定适合，我使用腰围数据选尺码非常合身，我的腰围是90CM,选32W*34L后牛仔裤非常合身，材质不错，做工也好，物流也快，一次非常愉快的购物经历，希望亚马逊不要缩小中国的业务</t>
  </si>
  <si>
    <t>速度很快 速度很快，德国直邮的。就是不知道电源插头是可以直接用还是需要买转换器才能用。</t>
  </si>
  <si>
    <t>4.54TB 价格合适，比较小巧，包装完好，4.54TB可用，还不错</t>
  </si>
  <si>
    <t>非常不错 我很喜欢，一块好声卡是你必须的</t>
  </si>
  <si>
    <t>一点体会 老婆用品。注重安全卫生。老婆喜欢用这个牌子，舒适安心。</t>
  </si>
  <si>
    <t>安德玛一如既往地好 柔软贴身，非常合身。健身装备一直安德玛</t>
  </si>
  <si>
    <t>很喜欢 非常好👍</t>
  </si>
  <si>
    <t>东西不错，就是美国运过来盒子，破损的太厉害。 画笔不错，大方，实用，有个拎手就更完美了。 就是包装产品保护，急需加强，太对不起这个产品了！！！！！！！</t>
  </si>
  <si>
    <t>牛仔裤 这个版型也许真不适合中国人，松松垮跨</t>
  </si>
  <si>
    <t>耳机 对前段推力要求太高，感觉一般。</t>
  </si>
  <si>
    <t>偏小 172/67kg，s码偏小，但袖子偏长。退货费劲。</t>
  </si>
  <si>
    <t>洋垃圾 这件明显就是旧衣服，洋垃圾，没有吊牌就算了，衣服上还有明显的油迹，一股印度人的狐臭味，退货。</t>
  </si>
  <si>
    <t>起球严重，不建议购买 质量很差，表面起球严重，穿了没两天已经局部起球到无法外穿，影响美观的地步。不建议购买。</t>
  </si>
  <si>
    <t>残次品，联系不上售后 衣服有伤，残次品</t>
  </si>
  <si>
    <t>质量很好 买小了，但也怪自己长胖了，身材不好不怪衣服，质量不错的</t>
  </si>
  <si>
    <t>音质干净通透。 品质不错，声音很中性，无渲染，音质值五颗星。只是不可以折叠，不方便旅行携带。</t>
  </si>
  <si>
    <t>尺码 尺码不标准  偏小</t>
  </si>
  <si>
    <t>价格和质量都不错 质量不错，皮质很有质感，大小也合适，略微感觉鞋子后跟中底有点低，有种前高后低的感觉，不知是否这样设计的。</t>
  </si>
  <si>
    <t>钢笔 这个是海外购，国外确实是不注重包装啊，就这么随意装着，都不怕丟啊，没有礼盒和笔袋，有点小失望，包装也太随意，笔盒都压成那样了。笔杆比较轻。这笔是送人的，倒有点尴尬，就像假货</t>
  </si>
  <si>
    <t>辅酶Q10，相信莱萃美。 再次购买正在吃，感觉可以！就是物流有半个月多月才到。</t>
  </si>
  <si>
    <t>好 保湿，很好，无香的，很滋润，给宝宝用的，效果很好</t>
  </si>
  <si>
    <t>送人 送人的，暂时不知道好坏，但外观挺不错</t>
  </si>
  <si>
    <t>每年都买，便宜又舒适 这款每年都买，又便宜又舒适</t>
  </si>
  <si>
    <t>推荐购买 杯子很有质感，轻巧方便携带，保温效果好，日亚直邮，好评，推荐购买。</t>
  </si>
  <si>
    <t>很满意 质量不错，价钱便宜，发货快。对产品和服务都很满意。</t>
  </si>
  <si>
    <t>不错的鞋子 穿着舒适，样子很好看</t>
  </si>
  <si>
    <t>好用省事的东东 超好用的咖啡机，能方便快捷地泡好一杯香浓的咖啡，还不需要清洗。</t>
  </si>
  <si>
    <t>非常喜欢满意 非常喜欢满意就是买贵了，该等价格低些再入手太心急</t>
  </si>
  <si>
    <t>好 看别人的评论才看到有积分兑现活动 感觉错过了一个亿 买太多了一一评论不过来干脆复制这段话好了</t>
  </si>
  <si>
    <t>栗色好看 栗色挑的好hhh，感觉挺棒的</t>
  </si>
  <si>
    <t>满意 和之前老婆给买的一样，好穿，耐穿，穿了这个内裤再也不想穿别的了</t>
  </si>
  <si>
    <t>好！ 20号下单，今天就收到了！而且真的好用！刷毛软且细，刷头面积大，感觉刷得很干净！</t>
  </si>
  <si>
    <t>还 质地不错，就是有点短</t>
  </si>
  <si>
    <t>超级棒 除了钙片的片剂太大了以外，没什么不好，250粒，每天2粒，可以吃一百多天</t>
  </si>
  <si>
    <t>非常合适 非常美好的一次购物，本来担心会买大了，收到后惊喜，特别合适，而且并没有别人所说的磨脚，完美</t>
  </si>
  <si>
    <t>值得信赖 值得信赖</t>
  </si>
  <si>
    <t>划算 性价比高 一共买了三包，有一包划了个口子 不过不大就算了吧</t>
  </si>
  <si>
    <t>东西很好 东西很好，只是价格太贵了，不过物有所值吧。</t>
  </si>
  <si>
    <t>相信贝亲 相信贝亲，东西不错</t>
  </si>
  <si>
    <t>合适 比较合身</t>
  </si>
  <si>
    <t>小白鞋 鞋挺好很轻，皮面也可以</t>
  </si>
  <si>
    <t>一般 试了一下，衣服大了不少，里面掉绒毛，脱下来内衣上全是绒毛，下摆没弹性，松松垮垮的，和想象差距不小，松松垮垮的。</t>
  </si>
  <si>
    <t>不可以高温消毒 活动三件六折买的，62.1，颜值很高，但是不可以高温消毒，勺子用消毒锅蒸过一次以后，图案全部翘起边儿了……喂饭刮苹果喝汤都很好用，整体手感啥的都很棒，于是就继续翘着用了。等娃以后会自己用了要换掉。</t>
  </si>
  <si>
    <t>尺码太大 质量可以，属于较软的布料，尺码比国内的要大一个码，转送人了</t>
  </si>
  <si>
    <t>鞋子码比国内的小致不能穿 尺码徧小半码以上，太紧不能穿</t>
  </si>
  <si>
    <t>鞋头处脱胶 左边鞋子有一处1cm左右脱胶</t>
  </si>
  <si>
    <t>一般 这个型号还行，比较暖和，可惜起球真是烦人</t>
  </si>
  <si>
    <t>便宜，但是是欧版的，不是很适合东方人 便宜，但是是欧版的，不是很适合东方人，特别是瘦小的东方女人</t>
  </si>
  <si>
    <t>IDX 200 送货太慢了，下了订单20天才送到。声场比较宽，低音下潜足，但是高音部分比较杂。而且品控不太好，我这副拿到手，接触有点不良。</t>
  </si>
  <si>
    <t>好评 保温及其它都满意，但焖的效果稍逊一点点，总体满意！</t>
  </si>
  <si>
    <t>号码大很多，面料质量好，比较合适，有色差。 第一，不要参考亚马逊给的海外购参考码，不合适。我190cm 105kg 大腿较长比较粗。买了42×34。回来试穿，腰围大一些，裤长直接长的不是一点半点，裤大腿肥的没边了，裤小腿可以当大腿用。建议瘦一些腰围买小两号，裤长小两号。胖一些的腰围买小一号，裤长买小一号。 第二，面料非常不错，很结实，比较厚。不像国内的时尚装，像工装裤子。 第三，颜色买的纽曼，和图片和描述差不少。</t>
  </si>
  <si>
    <t>可以 性价比高，不到200购入，国内中通不行。</t>
  </si>
  <si>
    <t>非常不错 很不错，师傅直接按上了，非常省水，还有一个防热的塑料壳，做工很细</t>
  </si>
  <si>
    <t>实惠好用，没得说 错过了primeday 的活动价格，看到这个新款还是全球通用电压，价格也很给力，就果断下手！收到后也不负所望，蓄水量很大，也便捷。非常稀饭。</t>
  </si>
  <si>
    <t>弹性腰围材料是惊喜 非常好！布料厚实，腰围居然是松紧的，设计贴心，对于中年男人的肚子是惊喜</t>
  </si>
  <si>
    <t>国内38，美码36，偏大 国内38，美码故意买小36，刚刚合身，质量很好，新裤挂浆有点硬，穿穿会好</t>
  </si>
  <si>
    <t>還可以 剛剛好合適，平常版！</t>
  </si>
  <si>
    <t>美好的购物 衣服质量很好，老公特别喜欢，给赞</t>
  </si>
  <si>
    <t>好用 最好用的辅食储存盒，没有之一，真是太方便了</t>
  </si>
  <si>
    <t>好评，适合夏天穿 非常好，夏天穿不热很舒适，透气性好</t>
  </si>
  <si>
    <t>好 象印的东西，一如既往的好。</t>
  </si>
  <si>
    <t>合适 尺码推荐，个人认为穿大好看，重点看胸围，衣服给的胸围尺寸基本准确。我常年s码，女，穿m宽松l更有范。老公172  130穿l合身，其实合身不太好看，xl看起来宽松舒服</t>
  </si>
  <si>
    <t>这个牌子的码数太乱了… 前段时间买了双Sorel带毛的雪地靴，平时穿37.5或38的鞋，想着冬天要踩雪会穿厚袜子，那双鞋的内部空间由于是有夹层的也应该会比较小，看评价有人说确实小半码，我就买了38.5的，收到之后刚打开鞋盒就被吓到了，目测像40的鞋，穿上之后果然，我觉得可以塞一个拳头进去，由于亚马逊不能换货只退货就算了留着了，然后又发现这双鞋不错，于是又买了一双38的，今天收到后打开又被吓到了，目测只有36-37，穿上后又果然.... 光脚试的刚刚好，没有一点富裕的空间了，穿袜子就挤脚了，我真的是心累。。。</t>
  </si>
  <si>
    <t>溶解度好，味道不错。 溶解度好，味道不错。</t>
  </si>
  <si>
    <t>质量一般 在国外可能就是一般的工装，期待过高，心里会有落差</t>
  </si>
  <si>
    <t>略大，但不影响穿着 177,100公斤，略大，感觉适合190斤左右的人。袖子与衣服略长，不影响穿着。质量很好，虽然有些薄，比较适合初秋、春天这样的时节。总体上还是满意。</t>
  </si>
  <si>
    <t>一般般 不是全棉的，所以夏天穿脚有点臭。</t>
  </si>
  <si>
    <t>不错 穿着跟没穿一样，面料清爽、柔软细腻，就是吸湿透气性不大好，还有就是胸垫不固定会移动！</t>
  </si>
  <si>
    <t>质量好 鞋子的质量很好，很轻，穿着舒适</t>
  </si>
  <si>
    <t>非常好保温杯 非常好的保温杯，孩子上学用，很保温。日亚很便捷。</t>
  </si>
  <si>
    <t>质量不错 很好，172，75kg，L size合适。看来小日本的身材还是比我们要小一些</t>
  </si>
  <si>
    <t>好 这次总算尺码买对了，质量没得说。</t>
  </si>
  <si>
    <t>perfect 很好的手表，物美价更美</t>
  </si>
  <si>
    <t>外观时尚，鞋内空间略空。 底比较平坦和单薄，鞋垫很软。走路走多了会觉得就像套了个鞋套在脚上。我个人觉得适合短时间穿着。</t>
  </si>
  <si>
    <t>次品 偏大，主要是衣领都做歪了。</t>
  </si>
  <si>
    <t>太透 手感很好！只是比较透，不太合适，只能穿在长裤里面当秋裤穿。</t>
  </si>
  <si>
    <t>精致，翅膀也太大啦，当钥匙扣是非常戳手了 精致，翅膀也太大啦，当钥匙扣是非常戳手了</t>
  </si>
  <si>
    <t>包装都烂了 盒子都破了。关键里面没有使用的说明，到现在也不知道怎么去修改日期</t>
  </si>
  <si>
    <t>棉料差 不要买 棉料比马爸爸9.9包邮的还要差 还不如高仿的呢 一百多不值得 建议购买日本亚马逊的</t>
  </si>
  <si>
    <t>穿了两天鞋面出现裂痕 穿了两天鞋面就开始有裂痕</t>
  </si>
  <si>
    <t>面料评价 裤型非常好，只是面料太过硬且不够透气不吸汗，也许是面料的原因。</t>
  </si>
  <si>
    <t>质量 针脚都不整齐，面料一般，不像正品</t>
  </si>
  <si>
    <t>不错👍👍 穿着舒服，是正品，推荐</t>
  </si>
  <si>
    <t>不错的衬衫 是期待的样子，大小颜色都很好，好评</t>
  </si>
  <si>
    <t>非常不错，非常满意 这是第二口lodge锅，第一口很好用，所以又买一个，但新买这一个有两种价钱分别销售，一个是380左右，我这个260多还送一个硅胶隔热把手。但这口新锅锅壁左右两边不一样厚，薄的那边锅沿儿外侧毛边，比较锋利，锅里面是平整的，不影响炒菜，所以我并不很在乎。在这里跟大家说一下，可能便宜的这个质量稍差。用了一段时间回来，按标准开锅后，的确不粘，超喜欢。另更正一点，之所以便宜，是因为是海外自营，这是在我一口气又买了几个其他款式的才发现。</t>
  </si>
  <si>
    <t>海外购哥伦比亚很超值。 173-72.中号很合身。现在上身试一下感觉很热，但愿冬天最冷时也很暖和。</t>
  </si>
  <si>
    <t>囤货 囤货，还没拆包装开始使用，实物比图片小，看上去可爱</t>
  </si>
  <si>
    <t>保暖吸汗 用料绝对扎实，比较厚，北方刚立冬，穿着脚发热</t>
  </si>
  <si>
    <t>好 超级开心，合适，价钱还便宜，大爱</t>
  </si>
  <si>
    <t>尺码 这鞋偏长，不是宽脚建议小一码购买</t>
  </si>
  <si>
    <t>非常好 非常适合夏天的v桖</t>
  </si>
  <si>
    <t>实惠 四个装，很划算了，比冰雪奇缘的要便宜，哈哈</t>
  </si>
  <si>
    <t>没味 7月8号下单，19好到。看到网店都说有味。我收到的没味，材料不懂，看着干净。摸着舒服。奶嘴要比贝亲软。</t>
  </si>
  <si>
    <t>满意 第一次买这品牌的内衣，看了评论挑的码，非常合适，内衣很舒服，开心！</t>
  </si>
  <si>
    <t>外观做工精良，音质可圈可点。广受好评不是没有道理的 很赞，还在磨合中。但大致能听出一些风格。上一个入手的hifi是森海的hd598，跟这个相比风格很迥异。m100广受好评业界好评正是在其相对均衡性，保持优质的做工和潮派的外观同时，音质同样可圈可点。低音是很棒的，这点和hd598对比很明显；让人很惊喜的是他的人声同样很出色，到手之前我一直以为只适合听电音，没想到在很舒缓的曲风上也能处理得很出色。一个字棒！</t>
  </si>
  <si>
    <t>东西很好，建议可以换个花洒，太简陋 东西很好，建议可以换个花洒，太简陋</t>
  </si>
  <si>
    <t>尺码合适 看评论说偏大，就买的小了一码····结果稍微小了····</t>
  </si>
  <si>
    <t>质量杠杠的 质量杠杠的 非常棒哟！</t>
  </si>
  <si>
    <t>我的评论 身高176，体重80公斤，32W X 32L合适，毛里求斯生产</t>
  </si>
  <si>
    <t>号码较大，不是太合适 号码较大，不是太合适</t>
  </si>
  <si>
    <t>价廉物美 仅仅200元左右，质地却出乎意料的好。欧版，宽大，习惯亚洲版的慎买。</t>
  </si>
  <si>
    <t>第一次海外购 第一次抱着试试看的心态做了一次海外购，当然时间花费的是多了些。不过东西拿到手还是很不错的。之前查看了别人的评论特意买小了一号。最终看来是正确的选择。穿着也还挺舒服的。应该说这是一次不错的购物经历。今后也会试着做更多的尝试。相信亚马逊的正品保证。</t>
  </si>
  <si>
    <t>不错 东西不错，工艺材质都很有质感，一分钱一分货。值得购买。</t>
  </si>
  <si>
    <t>建设买大二个码 今天终于收到货了，32裤头买了36的皮带，质量是刚刚的，个人建议买大二码，最多打个孔好过刚刚好够长，太短了也不好看！</t>
  </si>
  <si>
    <t>质量 觉得可以，信任亚马逊！希望一如继往卖真货，质量第一！做良心商家！</t>
  </si>
  <si>
    <t>WMF水壶质量杠杠滴 WMF水壶质量杠杠滴，烧水很快，没有异味，就是烧水的声音有点大</t>
  </si>
  <si>
    <t>孔很少，无打孔器 之前买了一双女鞋因退货被扣了一百多的运费，所以给了一颗星，评论审核不通过~~。好吧，一枝独秀你最大。这条皮带皮味儿比较大，硬，买的这款只有4个孔，只好又买了一个打孔器，噗</t>
  </si>
  <si>
    <t>还没两个月，开胶了，有客服吗？ 还没两个月，开胶了，有客服吗？</t>
  </si>
  <si>
    <t>尺码对照表严重失实！！！ 看尺码表对照买的，尺码表是骗人的，买小了，穿上太修身了，胸围根本不够，这款尺码对照表比实际衣服小一码，版型没问题，买m的小了，还是得穿l的，平时穿170/92的码，给后面做参考。有买大的和我换一下的没？求L码</t>
  </si>
  <si>
    <t>颜色不对 颜色不是我订单的颜色，送错了。应该可以换？</t>
  </si>
  <si>
    <t>海淘梦破灭 第一次海淘就买错码，穿都穿不了，退又麻烦，算了……</t>
  </si>
  <si>
    <t>外观略显旧，可能是颜色原因 样式不错</t>
  </si>
  <si>
    <t>我的阿玛尼 加上海淘，这是第二次购买阿玛尼的T恤，穿上很合身，而且价格比国内购买划算得多，推荐喜欢穿T恤的同学拔草</t>
  </si>
  <si>
    <t>品牌质量、设计不错！ 以这个品牌来说，做工精细程度可以再好点的，有的细节做工有些粗糙，相信是国产后的缘故。</t>
  </si>
  <si>
    <t>愉快的购物过程，但还是有瑕疵 已收到皮鞋，大约一星期时间，大小合适，样式和网上的照片相符，遗憾的是鞋后面有一块皮革摖坏了，不知道有什么办法处理，如有，请指教。</t>
  </si>
  <si>
    <t>黑色的冷水手洗掉色厉害 黑色的冷水手洗掉色厉害</t>
  </si>
  <si>
    <t>很好的一双鞋 穿着很舒服。</t>
  </si>
  <si>
    <t>很合适很舒服。很喜欢。 很合适很舒服。很喜欢。</t>
  </si>
  <si>
    <t>超级舒服 女友超级喜欢。  虽然包臀，但穿起来很性感哦。</t>
  </si>
  <si>
    <t>不错！ 穿着舒适，只是拿到手有皱纹，需要熨烫</t>
  </si>
  <si>
    <t>怒赞✧❝ཻ͋≀ˍ ̗❝ཻ͋˶ 完全符合我的期待 东西很不错</t>
  </si>
  <si>
    <t>喜欢的 好用～喜欢，东西正。</t>
  </si>
  <si>
    <t>保暖内衣 该款保暖内衣保暖性能好</t>
  </si>
  <si>
    <t>好碗 这碗非常好看和实用，我非常喜欢，我给个赞!好！</t>
  </si>
  <si>
    <t>价廉物美！ 达到期望，价廉物美！</t>
  </si>
  <si>
    <t>超值 尺寸非常准，版型好，面料手感舒适，再买一条</t>
  </si>
  <si>
    <t>好 很好很好，过滤杯很方便，去哪里都有纯净水喝啦！</t>
  </si>
  <si>
    <t>舒适，不脱落 柔软舒适，不会脱落，长度也很好，到小腿肚往上一点。</t>
  </si>
  <si>
    <t>狮王 牙膏 温和薄荷130g×10 效果不错，一直用这款牙膏。</t>
  </si>
  <si>
    <t>很愉快的一次海购 大概等了半个月的时间吧！本人是穿41码的大小刚好合适，鞋子穿起来很轻很舒服。鞋子很轻很舒服</t>
  </si>
  <si>
    <t>质量不错，值得购买！ 质量不错，值得购买！</t>
  </si>
  <si>
    <t>尺码合适 很喜欢，穿着舒适 尺码合适。</t>
  </si>
  <si>
    <t>正宗的声音 不加修辞 听而不厌 难得遇上Z实惠 果断入手 果然是监听品质  声音清洌而真实 实在是听而不腻 好品质 谢谢亚马逊提供！</t>
  </si>
  <si>
    <t>第一次购买Lee 怎么和国内的Lee有区别，第一次见裤腰有松紧，裤子的标识也不同</t>
  </si>
  <si>
    <t>很喜欢的小土锅 超级喜欢，一合也不小~焖饭做煲仔饭都好棒~</t>
  </si>
  <si>
    <t>板鞋 鞋子是正品，相当不错。</t>
  </si>
  <si>
    <t>滤芯 新款，过滤速度快，炭渣也少了</t>
  </si>
  <si>
    <t>这种文胸才是女人的好朋友 穿着超级舒服，像没穿一样，而且胸型也很好，又好看。老公说这条的蕾丝很有风情，爱死了，立马回购囤货。</t>
  </si>
  <si>
    <t>老长的一根线 无线功能在哪 额 无线功能在哪(⊙o⊙)？ 老长的一根电线</t>
  </si>
  <si>
    <t>大失所望 声音太尖，刺耳，大失所望</t>
  </si>
  <si>
    <t>不确认是否是正品 跟我托同事从美国买的味道，颜色，浓稠度都不一样，怀疑不是真的</t>
  </si>
  <si>
    <t>洗大了。。。 衣服料子还是不错的。但是，洗完以后，变大了至少一个号。。。这是什么原理？不都是缩水么。。。</t>
  </si>
  <si>
    <t>美德乐飞韵双边充电接触不良 十分垃圾，客服态度恶劣，11月有活动觉得合适就囤货了，收到后试了试机器可以用，2月生孩子第一次用，才发现充电屏幕不显示，客服直接说超过1月份时效后就不负责售后了，让直接联系美德乐官网，自己解决，再也不会来亚马逊买这么贵的电器了，没有任何保障，3个月就不理了，这么大的平台没有自己的一套售后！</t>
  </si>
  <si>
    <t>太大啦 太大啦，160以下的女生不要考虑了！！！单身的我要送给我爸！！！</t>
  </si>
  <si>
    <t>国外码数果然不能信，和国内大了好多 鞋子偏大，刚买第一天就蹭掉了一块，很难受</t>
  </si>
  <si>
    <t>tnf初体验 181cm 72kg m号妥妥的 第一次买tnf 保暖性挺好的</t>
  </si>
  <si>
    <t>好 尺码适中，皮很软，但样式一般</t>
  </si>
  <si>
    <t>还行 不知道为什么没有擦墨水的纸</t>
  </si>
  <si>
    <t>相机用的 原来卡的容量小了，换个大的，质量不错</t>
  </si>
  <si>
    <t>冲力不小，使用很好 给老公买的，冲力也不小，蛮好的。</t>
  </si>
  <si>
    <t>喜欢 快递比想象中的好，从发货到现在用了8天，从下单到现在用了14天，包装非常高级，印度尼西亚产的，37.5码脚穿5码特别合适，很满意很满意</t>
  </si>
  <si>
    <t>尺码标准 质量不错，我平时穿40的皮鞋，脚长25.5mm,选ECCO UK7.5刚好，鞋子显示41码，尺码标准。其他一双ecco皮鞋也是同样尺码，非常合适。供大家参考。</t>
  </si>
  <si>
    <t>尺码 还好，料子不错</t>
  </si>
  <si>
    <t>又薄又轻，就是不知道以后会不会变形。 裤子还可以，超薄，颜色也正，适合夏天穿，本人178/75，买M号正好吧，修脚裤，显着大腿修长，身材好。如果想穿着宽松一点就L号。</t>
  </si>
  <si>
    <t>超值!! 颜色正是我所希望的，裤子样式正适合我们这个年齡段。总之一切都超过了我的预期。</t>
  </si>
  <si>
    <t>内部隔断实用 非常实用，颜色也不错</t>
  </si>
  <si>
    <t>总体感觉不错，绝对正品！ 物流不慢，一周左右就收到了。号码合适，鞋子质量很好，第一天上脚感觉不错，就是鞋底稍微硬一些</t>
  </si>
  <si>
    <t>好 舒服175，75kg，m非常合适</t>
  </si>
  <si>
    <t>还是很认可这个品牌的产品的，希望别辜负广大消费者们 一直都用这个，身边朋友也是</t>
  </si>
  <si>
    <t>鞋子稍微有点小，肉肉脚就要买大一码 鞋子不错，很是轻巧，很适合女生穿，可惜就是有点小。我准备继续买一双</t>
  </si>
  <si>
    <t>有效 用了三个月了 有效果</t>
  </si>
  <si>
    <t>真货！划算！ 会员试用期免运费买的，250多到手，超极划算，虽然等了10天，关键是真货！某宝怕买到假货，比某京便宜不是一点二点！</t>
  </si>
  <si>
    <t>大小合适 175cm，75kg，M码合适。 参考评论选的尺码。  为减运费凑单货，稍显老气，给老人了。</t>
  </si>
  <si>
    <t>物有所值 包装完好  无瑕疵  合脚  穿着很舒服  最主要是比国内的同款便宜了近一半  值得入手</t>
  </si>
  <si>
    <t>五星 价格太贵！性价比基本为0。但是爆款，老婆迷的不行，这就足够了。</t>
  </si>
  <si>
    <t>小一号 小一号</t>
  </si>
  <si>
    <t>正品質量好 穿了大半個月才過來評論，這鞋是正品，質量好，比實體店便宜多了。海外購退貨很麻煩，建議大家在實體店試好再上網買。我們去實體店試過，有些款式不合腳，這一款很合適。</t>
  </si>
  <si>
    <t>样子很好 皮质很好，很厚，属于耐磨的牛皮。内里带毛，冬季保暖。穿起来大小合适，脚包裹舒适！</t>
  </si>
  <si>
    <t>值得推荐 有点小，但是感觉还是不错的，值得推荐。</t>
  </si>
  <si>
    <t>值得购买 刚刚收到了，各种功能都试过，很好用。价格比国内专柜便宜很多。就是缺少榨汁机和中文说明书、中文菜谱。但是总体来说还是很棒，值得入手</t>
  </si>
  <si>
    <t>还不错 国内的跟日本的真的差一些，最起码日本版的打开没有任何味道！不过也是MADE IN CHINA</t>
  </si>
  <si>
    <t>耗电 太耗电了！</t>
  </si>
  <si>
    <t>一点都不修身 和照片看上去小直筒不太一样，感觉就是直筒，不是修身小直筒。</t>
  </si>
  <si>
    <t>小 好小，也没有勺子。  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</si>
  <si>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太大 大了太多，没有办法穿</t>
  </si>
  <si>
    <t>做工太粗糙、尺寸太大了 皮带工艺太粗糙了、是不是真货哦、尺寸和标注的尺寸不符合。</t>
  </si>
  <si>
    <t>不怎样 还是有水诟  使用不理想</t>
  </si>
  <si>
    <t>售后无保障，购买需谨慎！！ 9月12日到货，10月15日就出现冲不了电的情况，海外购不能国内保修，要返厂维修，费用220一次，太坑了！！</t>
  </si>
  <si>
    <t>还可以 菲律宾产，做工一般，音质尚可，听音乐时间3～4小时。有2副硅胶耳套</t>
  </si>
  <si>
    <t>hansgrohe 汉斯格雅PuraVida单把手面盆龙头110带按压落水 白色/镀铬 ... 龙头挺好的，就是当时买的时候没留意，下面是陶瓷白色的只是面是不锈钢颜色，如果是全是不锈钢就好了。</t>
  </si>
  <si>
    <t>没有码 将就的，大了一点点。但是好便宜</t>
  </si>
  <si>
    <t>味太大 哪都好，就是买回来味太大了，显得廉价感十足</t>
  </si>
  <si>
    <t>comotomo质量很好 没有异味，质量很好。两个几乎是天猫一个的价钱。亚马逊美国直邮质量还保证，爱不完。</t>
  </si>
  <si>
    <t>略长 175，150斤 这个号略长</t>
  </si>
  <si>
    <t>值得购买 这款CK的打底衫穿着非常舒适，感觉和AMANI的那款差不多，但是价格比阿玛尼那款便宜点，很好，我又回购了。我爱亚马逊海外购（破音！）</t>
  </si>
  <si>
    <t>效果没法检测，口味不错 小熊糖口味不错</t>
  </si>
  <si>
    <t>不错 拷入速度120左右，声音也不大。</t>
  </si>
  <si>
    <t>凯斯博士漱口水 很好的一款漱口水，功效不错！</t>
  </si>
  <si>
    <t>漂亮，完美 很好看，不错，美国发往中国的，比国内的便宜，就是快递慢，很漂亮的手表。建议购买。</t>
  </si>
  <si>
    <t>描述有误 是带储藏盒的替换装 不是空盒子 之前及其送的头一只没地方放，下决心话100买个收纳盒，结果寄来打开里面塞满了替换装。。。 我的原有刷头还是不知道放哪，不知道是开心还是难过。。。</t>
  </si>
  <si>
    <t>38.5码，5.5uk合适。 clarks一直5.5uk，我的脚国内38.5码。</t>
  </si>
  <si>
    <t>质量还行 一般的价格一般的衣服，没毛病。</t>
  </si>
  <si>
    <t>送给自己的 自己表示很喜欢 点赞 送给自己的 自己表示很喜欢 点赞</t>
  </si>
  <si>
    <t>挺不错的 挺帅的一块表，挺喜欢的</t>
  </si>
  <si>
    <t>质量挺好，尺寸偏大 178高，95千克重，XXL的衣服，大了差不多一号，XL的应该就行了。</t>
  </si>
  <si>
    <t>满意 收到了特意过来评价下，平时39买的41非常合适，稍微大一点点是我想要的大小，材质应该属于软皮，但没有在商场里试的女款软皮那么软，也没有男女同款硬皮的那么硬，总之我觉得软硬适中，还是很有型的。希望对大家有帮助</t>
  </si>
  <si>
    <t>货真价实 这个颜色实在好正了！TB或者DG又怕假货，这里保真，而且真的好便宜~</t>
  </si>
  <si>
    <t>值得拥有 脚感很棒，配牛仔裤很漂亮，就是有点焐脚，适合春秋季节穿</t>
  </si>
  <si>
    <t>比国内鞋码小半码，买时一定要加半码 比国内鞋码小半码，买时一定要加半码，另外脚底比较紧，脚宽的人最好是选4E。鞋底支撑不错，跑起来减震好。</t>
  </si>
  <si>
    <t>好👌 收腹效果很好，提臀效果不是很明显，穿着舒适透气，上围略有下卷，总体来说还是很不错的，值得买。</t>
  </si>
  <si>
    <t>合适 合适，小小大</t>
  </si>
  <si>
    <t>很好 价钱很合适，不过国内用需要转换器</t>
  </si>
  <si>
    <t>裤子不错 亚马逊第一次购物，但是很满意。裤子和想象中差不多，就是不得不感慨歪果仁都是大长腿，裤长有点长，建议177身高150斤的同志们要买32w31l的</t>
  </si>
  <si>
    <t>用了2天，坏了 本为宝宝买的，专用，所以也舍得花这个钱。使用情况如下：刚开始烧水，塑料味道大，烧过几次，味道也淡；昨天（1月29日）开始使用，今天就坏了，烧水时盖子上下组件坏了，裂开了。国产不国产无所谓，最重要是质量要好。客观的说，瓶身不锈钢还是不错的，但是那些塑料呀，组装呀，可能有点问题。</t>
  </si>
  <si>
    <t>@@@@@@ 大小差不多，我选的是宽版的 穿在脚上很有力度 只是不知道货物是不是次品，有损坏 要找客服</t>
  </si>
  <si>
    <t>尺码偏小 身高170，体重65kg，m码严重偏小。 退货125元手续费，呵呵。</t>
  </si>
  <si>
    <t>还行吧 铸铁锅很结实，热得比较慢（比不粘锅慢多了），就是柄略有点短，握住胶套的时候不容易着力，再往前握点又担心烫伤。</t>
  </si>
  <si>
    <t>冲牙器使用不了了 购买使用不到一年，现已用不了了，不知道是冲牙器还是充电线的问题</t>
  </si>
  <si>
    <t>希望能解决 手表发头坏了，进水</t>
  </si>
  <si>
    <t>安装没有问题 附带有一些小配件橡胶垫什么的，说明书也有对于各种类型水龙头的安装方法。安装应该没有任何问题，只是过滤效果未知。</t>
  </si>
  <si>
    <t>还可以，这个价位的橡皮国内的也很好用！😄 用起来也还行吧！最大的感觉就是贵😂，比某网贵！</t>
  </si>
  <si>
    <t>高颜值，高质量 BB的东西颜值超高。就是冲着可爱的外形买的，用了一下盘子觉得还不错，可以4星，盘子稳，宝宝吃饭也不会打翻。缺点是不能超过90度消毒。能放在洗碗机和微波炉加热这两个功能不实用，毕竟宝宝的食物都是现做现吃的，餐盘也是单独洗的</t>
  </si>
  <si>
    <t>挺好的 和我想象的差不多  贵是贵了点  但是不错</t>
  </si>
  <si>
    <t>轻薄保暖还行 薄款，比较保暖。不错 。</t>
  </si>
  <si>
    <t>值！ 比较保暖了  8---10度的天  内秋衣 搭这ma1外套 完全够用 而且都不用拉拉链  若5度以下 同样两件衣服拉拉链 完全能度过。至于外观 身边的人 欣赏不了  我也觉得后背鼓鼓的  但是那又怎么样呢  自己觉得舒服就好了</t>
  </si>
  <si>
    <t>配件 非常喜欢，很快就收到货了，唯一欠缺配件不好配</t>
  </si>
  <si>
    <t>很多人推荐的入门级麦克 看了很多对比视频，处于资金的要求，只能买500元以下的，但是又不想质量不好，看了youtube上N多的视频后决定买啦，拿回家能很明显感觉到两点，第一是指向性，第二是声音被放大的成都是很满意的</t>
  </si>
  <si>
    <t>宝宝超喜欢 设计非常好，鲨鱼鳍、鲨鱼尾巴、鲨鱼头宝宝都能房子啊嘴巴里咬，大小也比较合适</t>
  </si>
  <si>
    <t>有点重，录音效果不错。 有点重，不太能放架子上，只能放桌子上，很敏感，录音效果不错。</t>
  </si>
  <si>
    <t>质量很好 质量很好，就是买小了哎，建议买大一点，不然它会难受的😢</t>
  </si>
  <si>
    <t>好评 好穿，有发热感，舒适。</t>
  </si>
  <si>
    <t>挺不错的皮带 还可以  整体比较做旧 lee牛仔裤买32w。皮带95略宽松</t>
  </si>
  <si>
    <t>做工不錯 很合適，1.77/80購買的32/32，希望對朋友們有幫助。</t>
  </si>
  <si>
    <t>靴子虽有瑕疵但服务态度和处理方案很满意。 马丁的切尔西靴，不用说英伦范儿十足。发过来的靴子右脚脚背有很多折皱，给亚马逊发了邮件，客服很快的来电话进行了处理，几种方案都很令人满意，国际大平台就是不一样，凭这个就给五星。</t>
  </si>
  <si>
    <t>好，舒适 好，舒适。</t>
  </si>
  <si>
    <t>音质不错 听过软银的那个2016年的，差不多了多少，那软银的是250+</t>
  </si>
  <si>
    <t>很好 大小合适，质量很好，不错</t>
  </si>
  <si>
    <t>喜欢 略有点弹性，非常合身，很喜欢</t>
  </si>
  <si>
    <t>品质好 品质好 面料舒适，透气，下次需要还来</t>
  </si>
  <si>
    <t>很好的棉衣 很好的棉衣，做工不错。</t>
  </si>
  <si>
    <t>低价！实用！ 漂亮！超值！正是我想要的电子表！价格便宜防水有夜光！正品！说明书没有中文！我一直在亚马逊买卡西欧手表，没有一个有问题！而且走时准！亚马逊不足之处是介绍商品不够详细，害的我还要去淘宝看！希望改进！</t>
  </si>
  <si>
    <t>满意购物 175cm, 72kg，L码正好。快递速度也挺快的，产地德国，质量也满意！</t>
  </si>
  <si>
    <t>对于这个品牌，价格很不错。 质量很不错，感觉做工很细。</t>
  </si>
  <si>
    <t>尺寸是最困惑的！ 尺寸是最困惑的！看了很多关于尺寸的说法，搞到最后感觉还是小号可以，但最后发现小号实在又有点小了！</t>
  </si>
  <si>
    <t>很好 很好，买了又买，也介绍朋友买了</t>
  </si>
  <si>
    <t>L码跟我在日本店里买的要大两号，完全不理解都是日本市场同一品牌怎么会差距这么大。而且网络单明显品质要比门店的产品质量差 L码跟我在日本店里买的要大两号，完全不理解都是日本市场同一品牌怎么会差距这么大。而且网络单明显品质要比门店的产品质量差</t>
  </si>
  <si>
    <t>大小不一 这双鞋样子款式都不错，但我收到的这双鞋，左脚合适，右脚明显偏小。</t>
  </si>
  <si>
    <t>长了！ 面料一般，挺薄的。裤子165,m码还是比较长。需要改一下才能够合适。</t>
  </si>
  <si>
    <t>一般 穿着舒服，就是鞋面有刮痕及皱纹！</t>
  </si>
  <si>
    <t>不能高温消毒盖子扣不上 拿去用消毒锅消毒，然后没有一个盖子盖的上了</t>
  </si>
  <si>
    <t>还算合适 尺寸基本合适，裤腿稍宽点 颜色也对，但是有一点似乎没有水磨过。</t>
  </si>
  <si>
    <t>好 不错，特价买的，运行良好。</t>
  </si>
  <si>
    <t>偏大 买了最小码的，发觉还是有点大了，就重新打了两孔就完美契合了。皮革味道有点重，须晾置一两天。</t>
  </si>
  <si>
    <t>织物内衬 轻便舒适，尺码准。皮质没有其他belle好，不太喜欢织布内衬，感觉稍次，如果全皮内衬就好了</t>
  </si>
  <si>
    <t>没有鞋垫，号码偏大 没有鞋垫，号码偏大，女儿现在还穿不了，鞋子有味道</t>
  </si>
  <si>
    <t>好看，质量好，舒服 大小合适，就是衣长稍微有一点点长。质量很好，柔软舒服</t>
  </si>
  <si>
    <t>小半码、或1码就完美了 布质厚，适合冬天穿，就是欧码大了些－－－－－很有形的裤子，车工质量超好。</t>
  </si>
  <si>
    <t>好是好。就是打不开啊？ 这个盖子我转了20分钟都没打开。我真的醉了。</t>
  </si>
  <si>
    <t>无 完美</t>
  </si>
  <si>
    <t>再贵点儿.仍然购买 拜耳柠檬酸钙.靠谱。效果区别：国内碳酸钙居多.如吃白灰石。工艺区别：入口含服.颗粒融化口感很不同。</t>
  </si>
  <si>
    <t>商品很不错，海外购好方便。 商品很棒，正品无疑，速度也很快！亚马逊的服务真的没有话说。</t>
  </si>
  <si>
    <t>评价 衣服很棒，很合适，质量也很棒</t>
  </si>
  <si>
    <t>很不错的营养品！已经买过几瓶了 很好的营养品，母亲腿疼，吃了两周就见效了~之前拖朋友从美国买过，现在亚马逊美国购很方便，也很快！</t>
  </si>
  <si>
    <t>嗯 还行，我带着有点紧。</t>
  </si>
  <si>
    <t>尺码 6.5码37码脚合适，穿着很舒服</t>
  </si>
  <si>
    <t>商品质量和性能 非常喜欢。自己用或送人都很好</t>
  </si>
  <si>
    <t>挺好的 喜欢哈哈</t>
  </si>
  <si>
    <t>码数过大 Lee的码数确实不好掌握。我买的这个做工一般，买的L居然大。我1.83体重90kg</t>
  </si>
  <si>
    <t>是我想要的，但或许有些大 做工上看起来没有什么瑕疵，还算精细，表面的皮触起来感觉比较细腻。然后肯定也不可能是假货，再联想到实体店里高傲的价格，总之拿到手后觉得这是值得的。10月30号下的单，貌似11月6号就到了，虽然说页面上显示的是什么预期11月18号到，相当的快，这个要点赞。 然后说下尺码，网上购物总是会面对这类问题，在下平时全部穿运动鞋，乐途或者李宁，尺码有42码，42又1/3码，43码，43又1/3码。脚长260mm不到，亲测似乎257mm。较小尺码穿起来后就基本没有什么空间盈余，但是走路跑步没什么问题，较大尺码当然在前后就会有额外的空间，系紧鞋带后走路跑步也很合适。这款买的8.5 2E，上脚后其实还算合适，脚指顶到头后脚后跟的间隙刚好是一个拇指勉强竖着（不是平着）放进去。但是我估计是由于在下脚整体比较廋的缘故，总觉得有些许松垮，不多。我试了好几个鞋垫，发现加了鞋垫后脚尖太憋屈，没法穿。所以，我在想，可能这个尺码确实稍大了些，无论是前后还是左右，可能8.5D 或者8 2E会更加合适。接下来划重点了，买了8.5D or 8 2E但是稍微有点小（总觉得买小的可能性不大）的朋友请私信我，无论steel-toe or soft-toe两款都可以，让我们各取所需，互利共赢。。。 最后是这款和我常穿的李宁两款鞋的比较，大抵可以看出的是脚底长度上和李宁43 1/3差不大多，宽度上这个要比李宁的稍加更宽些，当然，这个是工装靴，李宁的是跑步鞋，理念本身就不一样。大抵8.5 2E脚底类似于李宁43 1/3的云二代，而后在脚背脚踝处可能略大些，如上，谨供参考。 附图1. 小麦色是本款；宝蓝色是李宁42 1/3；蓝绿色是李宁43 2/3 附图2. 最左边是本款；中间是李宁43 1/3；最右是42 1//3</t>
  </si>
  <si>
    <t>好用 超级好用，比大宝的贝亲研磨套装好用。贝亲的容易染色，也没有这个容易清洗。那种全自动的辅食机蒸煮磨一体的最好，但是预算不够的用这款也很好啦，毕竟使用时间不会太长</t>
  </si>
  <si>
    <t>很棒但是偏小 自打第一双亚瑟士跑鞋，就爱上了，减震效果非常好，膝盖疼也渐渐消失了。我买的42.5码，对比图是Nimbus19，43.5，感觉日码的鞋子偏小，只能穿薄袜子了。</t>
  </si>
  <si>
    <t>这个价位很值 送了很多耳套，可以根据需要调整声音 高音较为通透，低频有力，横向纵向声场都很不错</t>
  </si>
  <si>
    <t>亚马逊值得信任 太棒了！质量非常好！亚马逊值得信任！价格在全网最低！质优价廉！</t>
  </si>
  <si>
    <t>最爱ECCO 鞋子穿着比较舒服，确实是从英国寄出的，因为买过一双鞋，码选择大了，就给寄回英国亚马逊了，值得购买，就是鞋码需要注意，如果国内的鞋子穿42的那就选择7-7.5UK的就OK</t>
  </si>
  <si>
    <t>鞋号，颜色 首先说一下个人感觉鞋号应该比国内号大，我运动鞋穿40.5的这个7D(M)US有点大不过穿双厚袜子加个鞋垫应该没问题，做工不错皮质很棒，提示一下这鞋和图片两个颜色买的时候要注意，海外购不能换货，美中不足就是鞋上有划痕和预期的颜色不一样，不过亚马逊给了我很好的解决方案。</t>
  </si>
  <si>
    <t>棒棒哒 好宽松的裤子，适合胖子哦！</t>
  </si>
  <si>
    <t>外形可以，泰国的，价格很实惠 外形可以，泰国的，价格很实惠</t>
  </si>
  <si>
    <t>硬，号大 这裤子确实是超级超级超级硬，建议谨慎购买。另外很肥大，本人172cm，65 kg平时穿32的都很瘦，会有轻微勒肚子的感觉，但是穿这个32的，还很肥大。还有一个毛病就是粘毛😭</t>
  </si>
  <si>
    <t>一款好的商品从材质和设计上必须相辅相成！否则则反之！ 福腾宝的烧水壶里面塑料太多！再好的塑料想吃也是塑料吧！福腾宝价格有的也有上千了！壶身材质或许还不错，可为什么盖子那里却不能设计是不锈钢呢？干嘛偏偏要以塑料代替，塑料好吗？个人认为，唯有好马配好鞍才是真的好！而且福腾宝的壶口处一圈那里设计的也不整洁，感觉就是层层叠叠的！因此看了许久也没有购买福腾宝！但愿以后福腾宝再出新的作品了再重新考虑它！呵呵</t>
  </si>
  <si>
    <t>不合算 国内骆驼牌四百多元。样子颜色相同就牌子不一样。做工不输它！</t>
  </si>
  <si>
    <t>有严重异味，外观极差 产品有异味，外观极差。以后不会再在亚马逊买衣服</t>
  </si>
  <si>
    <t>慎重选择 刚刚使用半年，就坏了，所有资料都没有了，读不到盘。</t>
  </si>
  <si>
    <t>码号应该买比运动鞋小一号 除了偏大  其他都好。单鞋的尺码买的时候 还是应该比运动鞋要小一码。运动鞋41，单鞋应该买40差不多。40.5偏大了。  快递速度还是挺快的。</t>
  </si>
  <si>
    <t>舒适 贴身，柔软，保暖</t>
  </si>
  <si>
    <t>做工一般，音质很好 好东西，对商品本身很满意。 第一晚送两天， 第二包装有所损坏，导致宝贝表面有轻微划痕。想想来都来了十几天，这点小事没有退货，但是心里多少有点不爽。</t>
  </si>
  <si>
    <t>感觉只适合走路使用 东西质量很好，现在是产前，收到的时候用了一下子，只适合走路，不太能坐下，所以没有再用了，等生完再继续用吧。</t>
  </si>
  <si>
    <t>孩子的零食而已 要当营养补剂是错误的，就是充当孩子的零食而已，吃这个总比吃垃圾食品好，就是价格不美丽。</t>
  </si>
  <si>
    <t>不错的购物体验 5月2号下单手速慢了。。。等备货等了大概有10天，预计到货儿童节，😄结果今天就到了，物流速度其实还是蛮快的，东西入手感观很好，就是包装有点low</t>
  </si>
  <si>
    <t>超好听！ 塞子很轻，外观很好看，声音听女毒真的很好听，取消了低频，延伸了中高频</t>
  </si>
  <si>
    <t>退换货比较麻烦 100kg174看来应该买xl的，xxl太大了</t>
  </si>
  <si>
    <t>质感很好 质感很好，喜欢！</t>
  </si>
  <si>
    <t>运动袜子 底子加厚，颜色舒服。我是穿36码鞋子的，袜子尺寸很合适。</t>
  </si>
  <si>
    <t>boon 非常好用，弯曲度刚好</t>
  </si>
  <si>
    <t>不错 孩子喜欢，质量目前看着好可以</t>
  </si>
  <si>
    <t>用后感 下单到到货刚刚20天，大牌子质量不用质疑的，美帝的出品是稍粗糙点的😜，自从手腕发炎做不了面食就只能买机子了。做馒头包子花卷揉10分钟足够了，面包还没尝试。美中不足就是机子胶垫少了一个，站不稳，要另外找东西垫着。</t>
  </si>
  <si>
    <t>不错 不错，内另附一根鞋带，不知道是多给了还是少给了</t>
  </si>
  <si>
    <t>很好，会一直买 已经是第二次买了。孩子以前用小婴儿无氟的牙膏，一直不爱刷牙，改用这个，明显积极多了。</t>
  </si>
  <si>
    <t>好 130斤穿10号就行了。12号有点宽松。</t>
  </si>
  <si>
    <t>很好很好很好 非常舒服好穿，满分。</t>
  </si>
  <si>
    <t>国内专柜750 从下单到手4天。国内专柜750，而且我们商场冠军开业第一天粉色就卖断货了。日亚360到手。日亚的包装真是感天动地，衣服叠好塑封固定在箱内。</t>
  </si>
  <si>
    <t>不错的外套，牌子货，哈哈！ 按照评论说的减小一码下单，很适合。178，99kg，L码。</t>
  </si>
  <si>
    <t>太棒了 活动价，24寸的，包税包邮850多点，算很便宜了，有点瑕疵，珐琅锅应该很难避免，不在面子上，绝对良心了。质感相当棒，颜值即正义啊，厨房为之动容。烧了几次排骨和羊肉，无需加水，在炒锅里预炒加盐加佐料后，倒入珐琅锅，最小火一两个小时搞定，老婆孩子都说比以前烧的好吃多了。</t>
  </si>
  <si>
    <t>尺码一致，质量很好 尺码和ecco的皮鞋一致，质量很好，价格实惠，赞一个亚马逊</t>
  </si>
  <si>
    <t>小贵 有点小贵，不过东东还可以</t>
  </si>
  <si>
    <t>可以 还行吧，测温度的不太准，明明宝宝可以吃的温度了却还是变色的</t>
  </si>
  <si>
    <t>码偏大，不过我个人挺喜欢的 之前美亚转运回来的这款就比其他的舒服，N次回购了。</t>
  </si>
  <si>
    <t>东西很好 很不错，非常喜欢，适合休闲装</t>
  </si>
  <si>
    <t>略大 看了很多评论说鞋子偏小，结果一咬牙买大了半码，大了。。。</t>
  </si>
  <si>
    <t>年轻人的第一双添柏岚 年轻人的第一双添柏岚，这双鞋买来的主要用途是骑摩托车，因为经济原因，所以计划防摔衣牛仔裤护甲式护膝的搭配。这样需要一双耐用，防水，防油(踢离合，这地方有时候会蹭些机油)，有一定防护性能的鞋，于是选定了这双添柏岚Pro的工作靴，本来是应该买钢头靴的，结果买错了，不过到手感觉支撑不错，也就可以了。鞋到手穿了一整天，虽说算是添柏岚家鞋底支撑好些的，但是也挺硬的，跑医院，逛街下来脚掌有些痛。脚是44~43的，特地去了实体店试了爆款10061，9.5w正好，不挤脚，有略为空间，跟脚方面鞋带一定要绑紧一点。另外最上边这两个固定鞋带的东西真的很好用，方便脱穿。以上。</t>
  </si>
  <si>
    <t>很薄，不保暖 很薄，不保暖，在南方17度的天气穿冷得直哆嗦，平均每条46元一点都不划算！</t>
  </si>
  <si>
    <t>所谓的法兰绒，就是一层布～ 本来是买来冬天穿的，所谓的神马法兰绒，就是一层布，不算太厚实～</t>
  </si>
  <si>
    <t>尺寸 偏肥</t>
  </si>
  <si>
    <t>号码偏小 号码有些偏差，比我在美国实体店买的要小。</t>
  </si>
  <si>
    <t>服务差 很不爽，5月4号的订单，5月30号才送到，客服联系不上，也没主动告知延误原因，包装盒也破损了，差评</t>
  </si>
  <si>
    <t>质量不错 买了很多厚木的袜子，很不错</t>
  </si>
  <si>
    <t>锅手柄掉了！ 实在是不咋滴！邮寄来锅手柄掉了，里面只有一张纸包裹，介大老远，米国邮寄来当然不行了！太次！不会再再亚马逊买东西！</t>
  </si>
  <si>
    <t>180、70KG，32x32，料子有点硬，穿着还行，就是裤脚有点大！ 180、70KG，32x32，料子有点硬，穿着还行，就是裤脚有点大！</t>
  </si>
  <si>
    <t>又笔又恨 刚开始很期待，到手后就觉得一般般了，试写了一下还挺顺滑的，就是EF尖还是感觉的粗了，写英语和数字很好，写汉字的话不如日本笔，因为出水量大，不容易出笔锋，不好控制，一不小心就写粗了，买来练字注意下，买来在书本上做笔记那种也粗了，但是手感很好，握笔舒服，唉、又笔又恨…</t>
  </si>
  <si>
    <t>还可以 还不错，孩子穿着出去旅游，天天走很多路也没说不舒服，就是穿了几天鞋头的胶就起来了一点， 自己粘一下算了，唉</t>
  </si>
  <si>
    <t>笔尖越用越粗了 笔尖越用越粗了</t>
  </si>
  <si>
    <t>基本满意 做工不精细，跟好高啊，穿上增高4至5厘米</t>
  </si>
  <si>
    <t>薄款 棉质，偏薄，很舒服！</t>
  </si>
  <si>
    <t>很舒适 非常合适，没有违和感</t>
  </si>
  <si>
    <t>杯子很好啊 杯子很好，比想象中要大</t>
  </si>
  <si>
    <t>价格实惠 价格实惠，洗碗机的消耗品，囤货</t>
  </si>
  <si>
    <t>高效，方便 很不错，省心，省力。</t>
  </si>
  <si>
    <t>尺码标准 帅气的徒步鞋非常好，与图片完全一致。有看见评论说码数偏大，在这里我郑重说一下：完全正常尺码，按自己的码数购买就会，之前买小一码结果是退货重买。给后来者提个醒以遭到不必要的麻烦。亚马逊购物放心舒心，商品正宗价格美丽，会继续。</t>
  </si>
  <si>
    <t>还不错的商品 128G足够日常用途了</t>
  </si>
  <si>
    <t>鞋码偏小，建议最少大半码！ 下单前看评论说鞋码偏小，我穿美亚的阿迪，美码11.5合适，这次就拍12码，下单后担心不够，马上想退，退不了，只好认了，到货很快，上脚合适，个人脚型大半码合适！</t>
  </si>
  <si>
    <t>裤子不错 这个和Lee 男式 现代系列修身锥形腿牛仔裤, Brazen，有点类似，或者说可以是稍微水洗版，颜色深点，也是埃及制造。虽然也是30×30，但是比那个腰部要紧的多。很修身，裤腿大小也合适，既不紧缩，也不邋遢，比例正好。176，70kg，30×30合适。</t>
  </si>
  <si>
    <t>很好的耳机，质感不错，续航真nb 不得不说亚马逊的商品图片压缩的都太厉害了看起来不是很起眼，拿到手质感还是很好的，蓝牙比较方便，声音也不错，续航是真nb，充满电连续用两天没问题</t>
  </si>
  <si>
    <t>量体裁衣 xs码，胸围94，衣长66。供参考，相当于国内s码</t>
  </si>
  <si>
    <t>舒服 舒服到想扔掉所有内衣</t>
  </si>
  <si>
    <t>勺子很划算 遇见热的会变色，不当心宝宝会汤着，4只装也很划算。</t>
  </si>
  <si>
    <t>物超所值 到手不到600，货到用了4天，东西没问题！价格应该不是最低的，但专柜价的三分之一不到，非常超值！鞋码可以去专柜试，但爱步的鞋就按运动鞋码小1号买就行。非常愉快的一次购物体验！</t>
  </si>
  <si>
    <t>很满意 挺好的。就是包装有点low。如果不是转运进来，我还以为是假货，哈哈哈哈。</t>
  </si>
  <si>
    <t>还行 还行吧，保温效果一般</t>
  </si>
  <si>
    <t>反应很好 帮同事买的，反应很好</t>
  </si>
  <si>
    <t>质量不错，过大 身高182.体重200多斤，穿4x的大。</t>
  </si>
  <si>
    <t>葡萄籽精华片 坚持吃一段时间，肤色真的有变好。会坚持继续吃</t>
  </si>
  <si>
    <t>很好 黑色很漂亮，杯子很轻，漆面珍珠色里面有类似五彩挺好看。。日本发来转的ems，大概1-2星期就到了。</t>
  </si>
  <si>
    <t>为什么没有上墨器？？ 非常满意，笔很好，书写很舒服，确实没有选错</t>
  </si>
  <si>
    <t>购买体验不错，虽然有些波折 刚刚收到，只能先评价一下购买体验。 第一次购买是11月3日，后因为过海关延迟（10日左右提示，但具体原因不明），发生退货退款（在过关出问题后约3天退款到账）。 因为不明原因，客服建议重新订购。 第二次购买11月13日下单，预计到货时间为11月30日，实际提前了一周，23日就收到了产品。 可能是因为长途运输的关系，外包装有破损变形，内包装完好，产品无暇。 依据说明书调试（包装内无中文说明书，通过官网取得），反应灵敏，顺利调试开始使用（主要是设置所属时区，自动对时）。 表盘内径33mm，外径约50mm，确实比较大，我手腕较粗（手腕宽约55mm），自觉还算合适。 初始电量显示H（高），调试一小时后降至M（中）。室内操作，还没有晒太阳充电。 如图。 以上，供买友参考。</t>
  </si>
  <si>
    <t>实物与图片有差距。 很明显的瑕疵，退货了。实物与照片有差距，退货很麻烦，购买需谨慎~给同好者参考。</t>
  </si>
  <si>
    <t>裤子 裤子颜色完全不一样。</t>
  </si>
  <si>
    <t>前面膝盖处漂白了 不知道是不是故意做旧漂白还是 则么回事。本来好好的纯黑色，居然膝盖处看上去漂白的，跟黑色裤子，穿过一阵子后，褪色一样。或者可以理解为故意做旧，漂白的。黑色的裤子这样一样弄，感觉不好看。穿了更加显瘦。</t>
  </si>
  <si>
    <t>太大了! 质量还不错,就太买大了,平时国内XL正好,身高180,体重190,穿XL长出一大截,建议买小一码!</t>
  </si>
  <si>
    <t>没有国内保修！！！ 国内不能保修，才3个多月就坏了，不知道能否退Prime会员。</t>
  </si>
  <si>
    <t>假货 假货的不要买</t>
  </si>
  <si>
    <t>略有瑕疵。 左脚鞋头部分的翻毛皮上有一点擦痕，做工感觉不如以前的精致，再就是鞋盒有点旧。</t>
  </si>
  <si>
    <t>黑色掉色 黑色洗了几次都掉色 不知道是否因为我用专门的内衣洗液的原因m m</t>
  </si>
  <si>
    <t>尺码略小 168cm，92斤，买的26，正合身紧身贴着腿，建议大一码，宽松点穿着舒适度会高一点</t>
  </si>
  <si>
    <t>优缺点 操作方便，音质对我而言很不错。很清晰。 缺点1 降噪一般 在房间里只能过滤风扇 空调一类的噪音。对人声过滤的很一般。 缺点2 不够紧，戴上只能不动。要不感觉会掉，可能我头比较小吧 缺点3 声音有时候会突然自己变大一点。 缺点4 无线模式无论开不开降噪。在观看视频时 暂停和播放 耳机里面都会轻响一下。</t>
  </si>
  <si>
    <t>薄，起球 还不错，就是有点薄，里面的绒很容易起球</t>
  </si>
  <si>
    <t>爽啊 比狗东便宜1/3。够大。家里nas整个备份下来了。</t>
  </si>
  <si>
    <t>基本合身 不知道是不是美国亚马孙发的货，反正到货很快，完全超出了我的想象。裤腿太长，肥瘦还可以。</t>
  </si>
  <si>
    <t>推荐 好看的。这顶是简单款，虽然说是m码，但是头小的人还是可以带的！推荐！</t>
  </si>
  <si>
    <t>不会漏墨 不会漏墨</t>
  </si>
  <si>
    <t>认可好评 品质优良、衣码太大，本想退货，想想还是收了，是自己没有搞懂码数，责任在自己，希望亚马逊继续保持这样的品质管理与服务……</t>
  </si>
  <si>
    <t>日立的企业盘 买了2个白标盘，都是日立的企业盘，7200转64M缓存，放在nas上用。型号是比较老的，应该是企业硬盘改用途的库存，0上电时间。读写速度测试比WD的买了3年的红盘更快，当然企业盘的动起来声音也比较客观，不过前几年的7200转硬盘都差不多，属于正常范围。 从这个价格上说，简直太白菜了，基本上半价还不到，加上是亚马逊自营海购，比较放心。</t>
  </si>
  <si>
    <t>做工精细，设计经典 玻璃纤维的笔身，比较轻，整个笔杆就是储墨器，设计比较精巧。整支笔做工精细，基本没有什么瑕疵，包括笔尾的旋转部分，在旋紧后几乎和其余部分融为一体，看不出缝隙。最特色的是整只笔的重心在虎口部位，加上笔帽后依然如此，写字的时候很舒服。</t>
  </si>
  <si>
    <t>好用 这款的震动频率确实很高，却没有博朗的那么生硬的感觉，对于习惯电动牙刷的我来说还是挺温柔的，清洁到位</t>
  </si>
  <si>
    <t>尺码偏大，颜色出众 有点稍大了，但颜色和质感很好，权当是oversize了，很不错。</t>
  </si>
  <si>
    <t>推荐买这个 质量特别好，买了两个，价格比天猫便宜太多了，早就应该在亚马逊买东西了，以后还会常来的。</t>
  </si>
  <si>
    <t>合适入 尺码合适，我是高脚背宽脚丫子，平常穿36码，选的35（36EU），很合适，脚尖一个指头空余，两侧稍微有一点点挤，本来想入棕色款，但只有黑色有号，到货打开一看也很不错，皮质软软的，穿着舒适。</t>
  </si>
  <si>
    <t>值得入手 五星好评，值得入手，产地印度，手感做工都不错，上身比较舒适，性价比非常高。尺码标准，165-65 s码很合身。</t>
  </si>
  <si>
    <t>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 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</si>
  <si>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材料重，扎实！非常好用！配方好做出来的面条也相当好！ 材料重，扎实！非常好用！配方好做出来的面条也相当好！</t>
  </si>
  <si>
    <t>一分钱一分货 东西没话说，龙头有重量，手感不错，花洒比想象中大</t>
  </si>
  <si>
    <t>据说可以当眉笔 买了一整盒，还没用呢，感觉肯定很好。</t>
  </si>
  <si>
    <t>170/60 S号 170，60公斤买的S号正合适，质量和设计都不错，兜里还有耳机穿线孔，细节设计比较好，在亚马逊买东西大家相互多评论，海外的衣服码数确实不好把握，希望对大家有帮助</t>
  </si>
  <si>
    <t>录音效果还不错 效果不错，就是外观漆面一般，有点廉价</t>
  </si>
  <si>
    <t>与预期的一样 大小正好合适，东西很不错</t>
  </si>
  <si>
    <t>功能强 看上去没有什么惊奇之处，但是用了之后，就知道它为什么是厨房用剪排名第一了。</t>
  </si>
  <si>
    <t>nice 性价比很高质量也很好</t>
  </si>
  <si>
    <t>很好哦 很好，以前从不去评价，不知道浪费了多少积分，现在知道积分可以换钱，就要好好评价了，后来我就把这段话复制走了，既能赚积分，还省事，走到哪复制到哪，最重要的是，不用认真的评论了，不用想还差多少字，直接发出就可以了</t>
  </si>
  <si>
    <t>有些失望，不是很满意。 先说优点，样子不错，左右对称，响应速度很快。缺点也有很多，最大的问题是系统提示音很大很吵，而且不可调。对于我的耳朵有些大，带三十分钟左右耳朵会疼.</t>
  </si>
  <si>
    <t>质量不好 为啥s码下摆如此小，肩膀如此宽？！然后口袋真的是歪的，薄绒掉毛，买的红色的，粘的衣服上都是，不过挺暖和的，洗了掉色不严重，就是掉毛，130斤穿，下摆小。</t>
  </si>
  <si>
    <t>假冒伪劣产品 假冒伪劣产品</t>
  </si>
  <si>
    <t>是全新？ &lt;div id="video-block-R2V2G56EY7E4NE" class="a-section a-spacing-small a-spacing-top-mini video-block"&gt;&lt;/div&gt;&lt;input type="hidden" name="" value="https://images-cn.ssl-images-amazon.com/images/I/81FGJL+gBJS.mp4" class="video-url"&gt;&lt;input type="hidden" name="" value="https://images-cn.ssl-images-amazon.com/images/I/B1snUTXgntS.png" class="video-slate-img-url"&gt;&amp;nbsp;还行吧 什么都没送 连个小改锥啥的都没有 整的时候还得去找小工具 还有表带 有摩擦痕迹  不咋的  跟掉颜色是的</t>
  </si>
  <si>
    <t>求回复 为什么调不了24小时制度，右上角按钮点不了</t>
  </si>
  <si>
    <t>偏长偏大 好看是好看的，不过确实偏长偏大。</t>
  </si>
  <si>
    <t>还可以，挺好用。 还可以，挺好用。</t>
  </si>
  <si>
    <t>大一点 尺码比之前的另一款偏大</t>
  </si>
  <si>
    <t>还可以 我也是醉了，怎么亚马逊发个评论都这么麻烦，怪不得好多东西评论都没有，你们这样可不行，评论少，客服又找不到，让我们怎么买东西呀，哎，为了大家我就在试一下写评论吧，正常穿40的，这个买的6.5uk的，稍微有一点大的，但是个人还是觉得性价比挺好的，能穿，200多买的，便宜，就是感觉皮子容易起皱</t>
  </si>
  <si>
    <t>冬靴好 送给妈妈，自己也有一双！非常适合冬季穿！</t>
  </si>
  <si>
    <t>物有所值 出水柔和，开关拨片够大，水量能再大点就好了</t>
  </si>
  <si>
    <t>轻便防水 材质超轻，宝宝挂着无负担，也防水，很好</t>
  </si>
  <si>
    <t>满意 很漂亮，小巧。用起来也方便</t>
  </si>
  <si>
    <t>赞 哈哈哈，不错的袜子，有了前两次的经验，这次尺寸很ok，到货时间也快，就是日本人对颜色的定义有点奇怪，不是黑色，是带点棕和深灰，总之很难形容的颜色，或者是翻译的问题，本来就不是黑色</t>
  </si>
  <si>
    <t>非常喜欢 看电影啥的音质好</t>
  </si>
  <si>
    <t>评价 很好，以前从不去评价，不知道浪费了多少积分啊。现在知道积分有如此大的作用，就要好好写评价啦 身体乳味道很香很香，也很滋润，坚持使用能有很明显的美白效果，期待。</t>
  </si>
  <si>
    <t>舒服 很舒服 。真的好像没穿一样，除了价格有点贵缺点外都是优点：）</t>
  </si>
  <si>
    <t>很好哦 宝宝很喜欢这套餐具！</t>
  </si>
  <si>
    <t>便宜就是硬道理 相对于国内版本，就是商标印刷模糊些，其他差不多！海外购到货也极速，满意！</t>
  </si>
  <si>
    <t>森海塞尔945 正品 第二次在亚马逊购买了 非常满意</t>
  </si>
  <si>
    <t>非常柔软舒适 略微大一点，但是再小一号可能会小，游泳的时候穿，不用带拖鞋了，真的非常非常舒服，这个牌子名不虚传。</t>
  </si>
  <si>
    <t>合适 送货速度很快，裤子质量还行，薄的那种，适合夏季穿。</t>
  </si>
  <si>
    <t>点评 挺好用的</t>
  </si>
  <si>
    <t>一直用WD的硬盘，这款作为总备份 也就五天就收到啦，超快。硬盘很漂亮，运行的时候有咯咯哒哒的声音。因为只在mac系统用就格式化了。</t>
  </si>
  <si>
    <t>表防水不错， 实体和图片没有区别 1，  手表 的编号是3157  可以在搜索上查找到此表的说明书  适合男的带 2，  手表功能  1 世界时间  每个世界城市都有 北京时间是bjs 2 时区  3 DST  3 显示  年月日  星期  时分秒  4  带有 温度  5  指南针  6 一秒钟照明  7 秒表  8 闹铃功能 ； 3，  无气压计 4， 防水性能好  洗热水澡带没问题， 准备游泳带试试 ； 防水200米； 5，指南的效果还可以  分的比较细； 6，防水性  实验到了将近 3周时间，</t>
  </si>
  <si>
    <t>轻，保温 比较轻，保温效果好能用一天</t>
  </si>
  <si>
    <t>还可以 东西还可以，替芯不错</t>
  </si>
  <si>
    <t>好用 力度够大，倒是不会刷出血，有一次给孩子刷疼了。总体来说不错，比手动刷的干净</t>
  </si>
  <si>
    <t>穿起来很舒服 所有champion的裤子比起其他一些牌子都有点长，或者是我的腿太短</t>
  </si>
  <si>
    <t>不错 黑五唯一最便宜的，其他东西有很多都涨幅达几倍，亚马逊现在也不诚信了，对亚很失望</t>
  </si>
  <si>
    <t>质量很好，就是裤脚有点大，很喜欢 质量很好，就是裤脚有点大，很喜欢</t>
  </si>
  <si>
    <t>衣服偏大，且质量不好。 衣服有些偏大，质量不是很好，摸起来感觉不值这个价格，还不如100左右的LINING</t>
  </si>
  <si>
    <t>尺寸没有标明尺寸码， 我不喜欢这件商品。考虑到消关再换非常麻烦，所以找人送给别人了，</t>
  </si>
  <si>
    <t>一般 较厚的春季卫衣，比较硬。</t>
  </si>
  <si>
    <t>还行吧，感觉没照片的好看！ 穿着总感觉哪儿不对劲，没穿几次。</t>
  </si>
  <si>
    <t>质量差！ 质量太差了！！裤子后面有一个破洞，想退货还要打印票据，我没有打印机，出去打印又是麻烦，只好自己找家店补一下了，发货前都没人检查吗？？？？我也是醉了</t>
  </si>
  <si>
    <t>该产品是瑕疵品，建议亚马逊下架。同时提升客服人员的素质 真的是垃圾！！！用了3个月机器坏了，找亚马逊，第一个客服让我找洁碧中国售后，并且还说不到万不得已千万别说在海外购上买的。中国方面称商品写的是WP-560，商品实际是560C，中国维修说560C的没有机型配件维修不了！耍我啊！垃圾！再找亚马逊方面，第二个客服拽得一塌糊涂，不仅让我自己去美国洁碧官网联系售后，在我提出连tb都有售后服务时，还反过来质问我为什么要中亚上面买。并且告诉我商品评分低只是因为小部分人的评价，我根本不知道这个产品销量是多少。说来说去就是一句：我们所作所为都是在法律范围内的，是合法的。我就呵呵了，这是我第一次在亚马逊上买东西，也是最后一次，真的是垃圾。</t>
  </si>
  <si>
    <t>力气很大 爸爸反映劲儿贼大</t>
  </si>
  <si>
    <t>表不错，物流很快 表不错，物流很快</t>
  </si>
  <si>
    <t>还算满意的工装鞋 脚长255，穿7号正好，做工也还可以，鞋头有保护片，应该是塑料的，鞋跟内有稳定稳定器，鞋面偏薄，鞋底超厚，穿着还可以，稍微不满意的是右脚外侧脚踝处有点磨脚踝，摸起来像是logo的地方…</t>
  </si>
  <si>
    <t>还不错 衣服袖子很肥，是参考欧美人的身材设计的，布料也一般。刚开始不入眼，时间久就好了，不同的风格，就算是买个牌子，这个价位国内很难买到。</t>
  </si>
  <si>
    <t>还不错 给奶奶买的，不过她可能是关节问题比较严重，吃这个没有明显效果。</t>
  </si>
  <si>
    <t>年轻时髦 给弟弟买的，欧美牌子买的多，所以熟悉美码和中国尺码的差异，选的号码刚刚好好。在亚马逊总能出人意料地遇到美国品牌衣服鞋子的好价，买买买！超级棒！很减龄的一个款，质量款式都好得没得说~</t>
  </si>
  <si>
    <t>很好喔 很好喔，很喜欢，很好用，终于买到</t>
  </si>
  <si>
    <t>尺码正 尺码正，很舒服很轻便，非常满意</t>
  </si>
  <si>
    <t>好鞋推荐 故意买大一码，雪地靴大一点才舒服。不错！</t>
  </si>
  <si>
    <t>很好无味道 很好，没有味道，颜色无色差</t>
  </si>
  <si>
    <t>复古 外观很漂亮，烤起来也很快，很好吃</t>
  </si>
  <si>
    <t>希望有效果 骨盆带拆了，还没有使用，刚生完宝宝，不过质量好</t>
  </si>
  <si>
    <t>陷入海外购无法自拔 感觉稍微小一点点，其他都好，价格美丽</t>
  </si>
  <si>
    <t>心塞 笔的质量是没得说的，但是仔细看了一下，同时买的两一套人像24色一套48色，发现里面有15支笔都是重复的，好贵的呀！心塞…</t>
  </si>
  <si>
    <t>挺好，就是跌价太快 挺好的，舒适，好看，就是底实在太滑了，另外，价格实在跌的太快</t>
  </si>
  <si>
    <t>性价比高，声音舒适的好耳机 到手的是2011的微风版，耳机的音质出乎意料的好。刚到手时，耳机的第一声很闷很燥，让人想吐；让它自己玩了48小时，耳机声音开始变得开阔，声音很舒适，那些解析度什么的我就不分析了，很多大牛都写过很多东西了，耳机现在用就是要舒服，声音有感染力和渲染力就行。性价比很高，算是我在亚马逊上买的很合算的耳机了。</t>
  </si>
  <si>
    <t>偏大一码 我178cm，体重93kg，买了xl正合适。</t>
  </si>
  <si>
    <t>颜色和质感都好的飞起 好看的飞起来，就是压脚背。不过这几天穿下来已经不压了，泪呀，都是用脚给它撑大的。喜欢，准备入一个同色的切尔西。</t>
  </si>
  <si>
    <t>高端大气上档次 第一次买这么贵的剃须刀，以前就买过300左右的，用过飞利浦两个头的，感觉还不错，不知道这次能有多提升，我还没用，邮过来物件看着都是完好的，底座的电源跟剃须刀电源手机通用的，用力插进去就行。</t>
  </si>
  <si>
    <t>性价比高 喜欢穿直筒裤，裤头刚好，裤脚长了。一星期到货。身高180，体重90</t>
  </si>
  <si>
    <t>尺码 很喜欢，和常规尺码一样，平时Clark12码 ，这个也是12码，46号</t>
  </si>
  <si>
    <t>正品 直邮到中国非常方便.</t>
  </si>
  <si>
    <t>合适 还没用，但是听说不错，价格美貌的时候购入。</t>
  </si>
  <si>
    <t>超级满意。 杯子质量很不错，轻巧，材料质感很好，越南生产。</t>
  </si>
  <si>
    <t>冠军 价格合适，质量不错。</t>
  </si>
  <si>
    <t>朋友很喜欢 第一次亚马逊海外购，感觉不错。</t>
  </si>
  <si>
    <t>超值！ 真皮超值漂亮！宽度适合身材粗一点的男生。</t>
  </si>
  <si>
    <t>（郡是） Gunze CFA （西法【清爽】纯棉长袖内衣日本制造 粉色 M 衣服太薄，不好，没有纯棉的感觉。</t>
  </si>
  <si>
    <t>薄，不显胖，像旧的 适合春天或者夏天刚热，颜色很旧。</t>
  </si>
  <si>
    <t>还算可以的日常表 做工一般，尤其表带感觉不太好，很松动。整体感观也就7、8百元档次。性价比一般</t>
  </si>
  <si>
    <t>充电杯冲不上电 为什么充电杯冲不上电？充12小时也就能用一次！</t>
  </si>
  <si>
    <t>太大，款式一般 太大了，买的37，感觉像39，穿了像雨靴……退款也不方便，只能认栽了</t>
  </si>
  <si>
    <t>颜色不一致 货号一只是9917另一只是9914，色差明显，已申请退货。</t>
  </si>
  <si>
    <t>手柄太短 太tiny mini了～手柄太短不适合操作</t>
  </si>
  <si>
    <t>鞋子略大 平时穿41结果这个7.5UK大一码，退换麻烦，凑合吧</t>
  </si>
  <si>
    <t>一般 和批发市场百十块钱的没啥区别</t>
  </si>
  <si>
    <t>尺寸正好 还算不错，有点牛津纺的意思。</t>
  </si>
  <si>
    <t>偏大 偏大 整体不错 舒服很好</t>
  </si>
  <si>
    <t>内裤质量很好 和国内专柜的基础款一样，面料薄而结实，美亚价格良心，很值得购买</t>
  </si>
  <si>
    <t>不错 挺好用，出门带着也方便</t>
  </si>
  <si>
    <t>很好用 没有任何异味 好用！辅食必备 没异味</t>
  </si>
  <si>
    <t>非常舒适精致。 日本的内衣确有独到之处。非常舒适，无感。</t>
  </si>
  <si>
    <t>水壶 很喜欢，就是有点贵</t>
  </si>
  <si>
    <t>外套 款式正统，很适合！</t>
  </si>
  <si>
    <t>亚马逊的客户体验是一流的 第一次在亚马逊中国海外购，体验超好。首先，货品是正品。老婆有一双女版的情侣款国内专柜买的花了2100元。对比了一下，我这双绝对是正品，但价格还不到一半。鞋子穿在脚上舒服的想哭。亚马逊自营海外购商品质量没问题。其次，亚马逊的服务质量一如既往的好。这次买鞋，由于想尽快收到货品，选择了速递加急服务并支付了加急费，但当查询快递进度时发现到货时间未按照加急处理。随后致电客服，客服了解情况后表示可能是他们操作失误，然后退还全部运费超过百元作为补偿。这样的客户体验绝对是一流的。不禁让我想起去年在某东购买物品，后因不喜欢退货竟然被收了8元快递费。而在亚马逊上退货从未收取过任何额外费用。这也是我为何一直支持亚马逊的原因。</t>
  </si>
  <si>
    <t>喜欢 挺舒服的，春秋加个冷热，颜色比图片略不同，</t>
  </si>
  <si>
    <t>我的裤子 小腿处有点稍小 不过无大碍</t>
  </si>
  <si>
    <t>价廉物美 皮革表带，深蓝色表盘很好看，走针声音比之前买的一块天美时要小，晚上睡觉放旁边还能接受，虽然平常都带手环了，偶尔有需要带带还是不错</t>
  </si>
  <si>
    <t>很好 比想象中的快很多就收到了，质量很好，开锅两次就煎了牛排，不粘锅，就是单手拿不动，非常有分量。电磁炉也能用。</t>
  </si>
  <si>
    <t>保温 很不错了杯子，保温在12小时以上，已经很不错了。</t>
  </si>
  <si>
    <t>时髦 尺码大了，但是意外的很好看 穿上是想要的感觉 喜欢 😘第一次在亚马逊购物 愉快的交易 正品无疑</t>
  </si>
  <si>
    <t>刚收到，正品 刚收到货，等吃完了看效果吧</t>
  </si>
  <si>
    <t>东西没收到，退款了 东西没收到，退款了……  很好，以前从不去评价，不知道浪费了多少积分，现在知道积分可以换钱，就要好好评价了，后来我就把这段话复制走了，既能赚积分，还省事，走到哪复制到哪，最重要的是，不用认真的评论了，不用想还差多少字，直接发出就可以了</t>
  </si>
  <si>
    <t>非常好 颜值很高，电量很足，用了两个礼拜还不用充电，比oral B强很多，另外这个是新版的</t>
  </si>
  <si>
    <t>很好看 用了一分钟的时间调整时间日期并戴上了，刚拿出来是不会走动的，接触光源照射差不多一会儿就转动了，目前还是两秒走动一次，看前面评论，还是因为电量不足，对吧，总体还是蛮喜欢的，嘤嘤嘤</t>
  </si>
  <si>
    <t>还可以 比国内价格便宜很多 吸力还可以 颜色鲜艳 不错</t>
  </si>
  <si>
    <t>大小正好 大小正好，蛮好看的。，母上大人蛮喜欢的</t>
  </si>
  <si>
    <t>好 舒服 就是穿白色衣服时有点透</t>
  </si>
  <si>
    <t>鞋码建议 平常穿Nike、Adidas都是255，这个穿245合适</t>
  </si>
  <si>
    <t>凑合 女鞋男穿，平时运动鞋40.5码左右，8W的尺码长度合适，只是前脚掌稍微有点挤，大小穿久了也还可以。这个物流也还不错，七八天就到广州了，然后3天到手。不足之处虽说是防水鞋，但下雨穿容易甩泥水到后脚跟及小腿，是真的很容易，这就让人有点尴尬了。穿了一个多月鞋面感觉不是很耐操，但也没出现什么问题咯。整体评价中规中矩吧，估计没cat耐操。</t>
  </si>
  <si>
    <t>差评 外形不光滑，有瑕疵，包装简陋</t>
  </si>
  <si>
    <t>尺码不好掌握啊 175cm，90kg，M号，小了。L应该合适，已退。而且退货非常麻烦，海外购还是算了吧，以后不会买了</t>
  </si>
  <si>
    <t>鞋帮有些磨脚。 鞋子本身比较重，鞋帮处有些磨脚。不知道什么原因，这鞋连吊牌都没有。天热穿还是比较捂脚。</t>
  </si>
  <si>
    <t>尺码的确大了一号 之前看评论有人说大了，我买的也是比5条的大一号，而且感觉做工不如5条的，不过料子还是可以的</t>
  </si>
  <si>
    <t>保温太差 看着那么多评论说保温好才买的，用了几天，比我几十块钱的保温还差，12点的开水，4点就不热了</t>
  </si>
  <si>
    <t>上当受骗 上当受骗了怎么办 不知点样退货</t>
  </si>
  <si>
    <t>舒服 非常舒服，到手价320，好划算</t>
  </si>
  <si>
    <t>简单得体 简单便携，虽然有点小，装A4纸大小的文件妥妥的。</t>
  </si>
  <si>
    <t>包装都没有封条吗 15号拍下，20号就送到了，神速。不过快递小哥来电话说是天猫快递，有点懵啊。拿到货后看到有易客满的货运单，还有张芝麻开门的运单贴在上面，之前亚马逊购买商品的购物清单这次也没有。包装箱封口没有封条，不知道是否本身就这样。 产品打开大致看了下是完好的。还没使用，希望一切正常，黑色的颜色也不错。 made in china</t>
  </si>
  <si>
    <t>合适 这个非常棒，本人173，体重140，大码合适</t>
  </si>
  <si>
    <t>大小合适，有点薄 身高168体重 60kg买S号刚好合适，不过有点薄，不适合很冷的时候穿，另外衣服有点小瑕疵，正面有个小洞，不过懒得换了，这个价格还是比较满意。</t>
  </si>
  <si>
    <t>合适 172，72KG穿S码，合适。</t>
  </si>
  <si>
    <t>提供的贴纸很便利 这种是单层拉链的，储存母乳之后需要使用可以黏贴的标签，很方便记录日期之类的</t>
  </si>
  <si>
    <t>划算 可以，价格划算</t>
  </si>
  <si>
    <t>已成功转移质保到大陆地区 产品很好，噪音低，已经申请延保和转移到中国大陆地区质保。还多给了1个半月质保，服务很好！</t>
  </si>
  <si>
    <t>宽头 宽头，但也没觉得刷的特别干净。</t>
  </si>
  <si>
    <t>个人觉得是正品 奶瓶很好用，手感也很好，跟韩国买到的一样！</t>
  </si>
  <si>
    <t>很好 非常好用，很轻。保温效果也超好。</t>
  </si>
  <si>
    <t>水杯晃动有声音 买了两个，绿色的这个晃动时候会有声音，红色的那个就没有</t>
  </si>
  <si>
    <t>好东西 看起来不错 颜值高。 问题在于比较厚，穿脱困难一点</t>
  </si>
  <si>
    <t>舒适性 不错，穿着很舒服</t>
  </si>
  <si>
    <t>奶瓶很好 奶瓶很好，发货速度快，卖家服务也很好，强烈推荐购买！</t>
  </si>
  <si>
    <t>好评 面料舒适有延展性，版型有国内买不到的大尺码，全五星好评！</t>
  </si>
  <si>
    <t>完美！！！ 鞋子收到了，非常不错，简直太棒了，用完美来形容，一点也不过分！</t>
  </si>
  <si>
    <t>这款好 看了很久了，这个表就觉得商务休闲都行，设计超大气。 太好了！！！</t>
  </si>
  <si>
    <t>质量不错 made in China，转一圈有回来了，呵呵。不过质量真是不错呢，已戴了好一阵子了，时间准确，误差很小。</t>
  </si>
  <si>
    <t>好 鞋码正常 鞋比正常码宽一点点 但看起来很秀气 穿着很舒服 就是右脚外踝有点磨 很好看</t>
  </si>
  <si>
    <t>很好 给二宝买的，已经用上。比给大宝买的下面多一个扣子，很软很透气，要是有再大一些的该多好。从日本发货的东西，到货速度非常快，会经常购物</t>
  </si>
  <si>
    <t>德龙咖啡机真的蛮好 机器到后使用至今，完全符合我的期待，虽然还有个别功能用得不熟悉。目前最多的就是制作卡布基诺，每天都使用，最大感觉就是自从买了咖啡机，咖啡豆的用量大了好多，虽然浓缩咖啡出来那么一点点，实际上使用了蛮多的咖啡豆了。所以不知不觉，一天几杯都喝下去了。这个机器价格在几个平台相差好大，甚至亚马逊上都相差近一万，我这个亚马逊上海淘的，机器价只要四千多，加税也就六千不到，跟其他对比便宜一万呢。</t>
  </si>
  <si>
    <t>非常舒适的材质，大小合适 非常舒适的材质，大小合适</t>
  </si>
  <si>
    <t>ecco的这款靴真不错 非常好舒适，还想再买一双 断码</t>
  </si>
  <si>
    <t>满意 版型超好，面料舒适。</t>
  </si>
  <si>
    <t>无法蓝牙连接 这台机器根本无法跟手机通讯</t>
  </si>
  <si>
    <t>说实话不太推荐 购买初衷是出于伦敦雾的名气，加上这款美亚人气较高，国内也不少人穿。  实际入手之后大失所望，与之前入的Perry Ellis Microfiber相比，不论款式、剪裁、面料都相去甚远，能勉强说的也就比较轻薄，9月天（20度）也可穿而已。  总的来说盛名之下，其实难副。不推荐购买。</t>
  </si>
  <si>
    <t>感觉一般 我觉得我这块表一般，首先秒针走时没有对准刻度。而且镜面上还有一点小疤（塑料突起），有点想退货。但还是算了。我同学说是水货，担心的。</t>
  </si>
  <si>
    <t>怀疑假货 好不好用还是未知数，但包装非常简陋让人不满，就一个塑料袋套着，塞顺丰箱里就来了，我要送人的好吧，这怎么送？严重怀疑非正品，我之前在亚马逊买了至少8个膳魔师虎牌的杯子，每个都有配套纸盒包装的。</t>
  </si>
  <si>
    <t>发现有烂洞。 发现有烂洞。</t>
  </si>
  <si>
    <t>三个月就坏了 用了三个月，突然充不了电，换了充电器和线，也充不了，眼看着没电开不了机了。不能迷信国外品牌</t>
  </si>
  <si>
    <t>还可以吧 河北的天气不让烧煤 人挨冻 不知道空气会好不好 还行吧！还行吧</t>
  </si>
  <si>
    <t>34的号码，稍微比预想紧一点 做工还是可以的，面料加了莱卡，微弹。中规中矩的裤子，值得买</t>
  </si>
  <si>
    <t>会推荐给别的朋友 鞋子很帅，性价比比美淘的要高。美中不足，这次的国际快递太慢了</t>
  </si>
  <si>
    <t>外观漂亮，有些许小问题！ 下单后三天发货，从发货到收到一个星期。机子挺漂亮的，也很重用来揉了两次面，2档约40分钟出膜。第一次用有一丢丢掉黑粉，第二次用的时候没有了。声音挺大的，还能接受。工作时机头有些晃动，第一次用还挺紧实的，但二次用就有些晃，不知道为什么。</t>
  </si>
  <si>
    <t>为什么商品名称之为水杯？ 容量是真的太大了，不是水杯，是水壶啊！！</t>
  </si>
  <si>
    <t>尺码 面料舒适，略薄</t>
  </si>
  <si>
    <t>没注意买大了 质量还可以，自己买大了一号</t>
  </si>
  <si>
    <t>很好 黑五很便宜，180cm，89kg，衣服、裤子均买的XL，穿起来比较宽松，体会不到修身，感觉买小一号应该正好。</t>
  </si>
  <si>
    <t>还不错 只有国内的板块大，洗洗碗可以，洗茶杯差一点</t>
  </si>
  <si>
    <t>通关太慢 六天到中国海关，通关十天，二十天到手。身高153体重45腰围稍大。</t>
  </si>
  <si>
    <t>很满意 很好的商品，完全没问题</t>
  </si>
  <si>
    <t>鞋子偏大 鞋子偏大,买之前就想垫先垫穿的.结果内部高度不够垫鞋垫.总的来说还是舒服的,尤其适合像我这样脚宽的.简易买小0.5uk</t>
  </si>
  <si>
    <t>非常喜欢！ 专业课老师推荐的，用过之后就离不开了！几年前在淘宝买过一套，现在国内整套的基本没有了，所以来亚马逊买嘿嘿嘿～</t>
  </si>
  <si>
    <t>Calvin Klein 平时穿26码的裤子，这款穿s码刚好合适，比基尼款也不是很低腰，中腰的样子，好穿。</t>
  </si>
  <si>
    <t>赞一个 感觉穿着有点硬，稍重，不过价格还是很给力的，赞一个吧。</t>
  </si>
  <si>
    <t>满意 尺码刚好，面料柔软有弹性，很舒适。</t>
  </si>
  <si>
    <t>推荐 速度很快，五条就到了，手表的颜值比图片好看。</t>
  </si>
  <si>
    <t>很喜欢，先屯着 第一次收到的叉子上面有划痕，申请了换货，第二天就收到了，很喜欢，先屯着</t>
  </si>
  <si>
    <t>还可以啊！ 大小合适，衣服也不错。  但是以后可能再也不会买ua的东西了!</t>
  </si>
  <si>
    <t>物有所值 物有所值，这个价位，这样的做工，国内同等品牌肯定买不到。安装方便，控温效果也很理想，值得购买！</t>
  </si>
  <si>
    <t>旗舰就是旗舰 刚开始拆包的时候还觉得样子很丑 很古板 现在感觉越来越好  做工非常优质不愧是德国原产 乐器分离度高 也没有像传说中的那么难推 激情澎湃 刚插上耳机就觉得非常不错 跟我的HD600想比一点都豪不逊色 真的是被低估的好耳机</t>
  </si>
  <si>
    <t>面料非常舒适，尺码准确 174cm/64kg穿S妈非常合身，面料柔软厚实，做工精细，这个颜色上身效果很好。总之是买的最满意的一件衣服</t>
  </si>
  <si>
    <t>不错的手机耳机 高音很棒，而且关键一点也不夹耳朵！隔音不错，代价是长时间佩戴比较热。颜色没有图片里那种高光效果</t>
  </si>
  <si>
    <t>不错的 不错，就是表带不舒服太硬。</t>
  </si>
  <si>
    <t>满意的购物 皮质挺好。很让人喜欢。</t>
  </si>
  <si>
    <t>不错 很舒适，料子手感不错</t>
  </si>
  <si>
    <t>迷一样的尺码！ 同款至少买过七八条，29比31还肥，最合身的一条是31的，再后来买30再买29就像碰运气！只有两条算是比较合适</t>
  </si>
  <si>
    <t>面料太硬了 版型不错 就是面料过硬 洗了一水也没有软太多。下次还是要买棉的</t>
  </si>
  <si>
    <t>尺码严重不合 尺码非常不准！根本穿不了！大了好多好多</t>
  </si>
  <si>
    <t>非常假的东西 这是我在amazon上的最差的一次购物，刷头是两个一个包装，装在一个塑料袋里，共有5个袋，塑料袋就是非常粗糙的那种，打开后刷头上的那排字明显不清晰，原来使用的正品上的字是非常清晰的，刷毛也与正品完全不一样，这个刷毛不整齐并有弯的，只有刷头的保护盖看着还像真的，但没毛用。刷头是英国邮寄的，可是包装盒内却是香港的保护膜，是香港重新包装的吗，真的不理解。这是一次失败的购物，不会有下一次了。</t>
  </si>
  <si>
    <t>真的垃圾，买的几个8t送来4t的 真的垃圾，买的几个8t送来4t的</t>
  </si>
  <si>
    <t>鞋子没色差 光面皮适合大陆国情，下雨一地泥水，好打理反毛皮真心伤不起。生胶底的好，软且防滑。价格合400来块钱人民币比百丽集团的鞋子便宜。建议亚马逊包邮商品种类多推出一点，现在包邮的商品种类太少了。购买会员价值不大。</t>
  </si>
  <si>
    <t>性价比可以 腰稍小。能穿。版型还好。颜色属于比较特殊，蓝色，比较特别的蓝。料子厚</t>
  </si>
  <si>
    <t>GT2000是寬的 這雙又窄又長 GT2000比較寬 穿42碼的 這雙相比窄 長 買42碼的感覺有點大</t>
  </si>
  <si>
    <t>很好的裤子 身高173，体重85公斤，买了3*630合适。</t>
  </si>
  <si>
    <t>还好 会抽丝，功能是还不错，等了很久</t>
  </si>
  <si>
    <t>还不错，大气 外观比较满意，有质感，挺喜欢。后面用着再看质量吧</t>
  </si>
  <si>
    <t>帮 种草很久了，身边都在用这个，关键写起来还很顺滑，但是自带的墨管是蓝色的，大家要注意了！ 我唯一的遗憾是忘了买上墨器了，啊啊啊我笑死我了</t>
  </si>
  <si>
    <t>舒服性感 我老公178cm，168斤，穿LL刚好，稍微一点点宽松，不厚，穿着很舒服。适合年轻时尚的男子。这件穿上蛮性感的</t>
  </si>
  <si>
    <t>说下感受 第一次海淘，等了整整半个月才到的，外观很低调，显示比较简洁的。唯一不喜欢的就是表带略硬，刚开始带不是很适应</t>
  </si>
  <si>
    <t>感温勺 遇很热的东西舌尖一下子就变白了，稍微凉一点就会跟着变颜色，很好用的东西，快递也很快。</t>
  </si>
  <si>
    <t>稍微长了一点 以后不愁没有这样的裤子穿了，很舒适，就是稍微长了一点，但是更改方便</t>
  </si>
  <si>
    <t>喜欢 质量不错，不专柜便宜很多，穿着很舒适。</t>
  </si>
  <si>
    <t>尺码合适，质量不错。 身高1.75米，体重75公斤，m号正合适。裤子质量不错，现在亚马逊改由顺丰送货，比原来的什么通快递好多啦。</t>
  </si>
  <si>
    <t>赞 170cm120斤刚刚好，男票喜欢就是真的好</t>
  </si>
  <si>
    <t>Worth buying Solid-state hard drives are so light that they almost think they have nothing in them, so they can read it out. It's just over 460G. Hope to use it for a long time.</t>
  </si>
  <si>
    <t>煮粥省时清洗麻烦 第一次买的锅送过来，锅盖摔两半了，又重新下单了一个，一直以来一直用的LC和staub 的铸铁锅，土锅还是第一次买，觉得煮粥确实很快，很快就能够让粥变浓稠，五合的煮粥、煮汤正好，太小了容易扑锅。缺点是不好清洗，热锅的时候不能用凉水洗，等锅凉了就不好洗了，特别是中间的那个盖子。还有每次洗完都要晾干，麻烦。</t>
  </si>
  <si>
    <t>不错 看着质量不错，摸着软软的，囤货中，希望宝宝哭的时候愿意吃。</t>
  </si>
  <si>
    <t>容量很大 容量很大，接口够用，性价比很高，完美契合Mac os。说句题外话，亚马逊海外购都保价和退换货政策实在是麻烦，跟其他友商比明显竞争力不够啊。</t>
  </si>
  <si>
    <t>萝卜白菜，个人所好。 超值，声音是我要的，很好，中高音很好，细腻不刺耳。低音厚了一点点。还好，可以接受。</t>
  </si>
  <si>
    <t>家用值得推荐 不错，性价比很高，就用咖啡粉是使用有点繁琐，水盒也有些小。不过家用挺实惠的！</t>
  </si>
  <si>
    <t>不错的衣服 听了客服关于同品牌别的衣服的推荐，买了S号，有点小了，174cm，74kg，M号应该正好。衣服质量很不错</t>
  </si>
  <si>
    <t>舒适，紧实，轻盈 鞋样不细说了，个人感觉还算简约大气，低调美观。上脚感觉舒适，平日都是穿43的鞋，正常码，长短正合适，本人脚背稍高，鞋子包裹紧实，贴近袜子一侧的皮子特别柔软，穿入鞋的时候感觉舒服，总体来说鞋子算比较轻便的，试着走几步路感觉挺轻盈</t>
  </si>
  <si>
    <t>很好 勺叉很萌，孩子喜欢，</t>
  </si>
  <si>
    <t>奶瓶 贝亲的奶瓶不错，奶嘴很柔软，适合婴儿使用吮吸不费力，很棒</t>
  </si>
  <si>
    <t>老大用的这个碗，超级实用，老二继续买起来 老大用的这个碗，超级实用，老二继续买起来</t>
  </si>
  <si>
    <t>买皮的买皮的 这款鞋口是真的小，穿脱賊费劲，这款是非皮的，材质不如皮的好看，这个穿了之后褶子賊不好看，推荐大家买皮的。</t>
  </si>
  <si>
    <t>划算、坚固 一直穿ecco的鞋，这款有点压脚面，是型号选错的原因？</t>
  </si>
  <si>
    <t>评价 长短合适，大腿部横肥，没法穿，还是送给胖子吧</t>
  </si>
  <si>
    <t>一般吧 有点短，肥度还可以，颜色和面料均比图片显示的要差，面料很单薄，显得没档次。</t>
  </si>
  <si>
    <t>不错 手表这种东西关键要用的久，时间长了才能检验出它的质量，我去年买了走时一直挺准确的，镜面是树脂的但平时稍微注意一下也不容易刮花。这款手表这个价位，值了！</t>
  </si>
  <si>
    <t>风力不强 国内用要转换头，原设计电压是250v，国内只有220v风力不够强。</t>
  </si>
  <si>
    <t>实惠 好便宜一罐那么大的，就像吃QQ糖一样，一天吃两颗完全忍不住啊。不知道效果怎么样，先吃吃看吧，之前是吃21金维他和善存的。</t>
  </si>
  <si>
    <t>Lee牛仔裤 质量差，不像真品。后悔购买。</t>
  </si>
  <si>
    <t>还可以 除了里边的表盘安装的有点歪外，其他还行吧。</t>
  </si>
  <si>
    <t>没试用过得建议先试用再购买。带上后头又大又圆。 没试用过得建议先试用再购买。带上后头又大又圆。</t>
  </si>
  <si>
    <t>声音棒极了，但佩戴舒适度真的。。。咳咳 看到这个包装，心凉了一截；把耳机戴在头上，那个夹头啊，心又凉了一截！但是，但是，当声音响起的一刹那，简直陶醉了。试音用的是歌神学友的歌，声音分辨率很高，甚至连呼气出来击打牙齿的声音都很清楚，立体感也比先前用的歌德SR80E强很多（好吧，我承认grado被秒了）！注意，注意，这还只是没煲的心机，期待煲开后的效果！</t>
  </si>
  <si>
    <t>有点像家居裤 有点偏家居裤，但真当家居裤穿也不合适。</t>
  </si>
  <si>
    <t>不错，就是码数偏大 175CM/53KG，胸围86cm，穿XS刚好，喜欢紧身的也可以XXS了，面料较舒适，这个价位十分不错，就是码数偏大，而且XS码很少</t>
  </si>
  <si>
    <t>不错的购物体验 很好，脚感不错，啊非要凑字数吗</t>
  </si>
  <si>
    <t>好评，谁买谁知道。 1500左右的鞋，这个价格买到真的很划算。6cd刚刚好，她平时穿37运动鞋。做工一流，皮质一流。秀气。不臃肿。不失粗犷。好评。</t>
  </si>
  <si>
    <t>尽如人意 UPS的物流预计时间非常准确 产品很好 口味满意 之前喝的是ON他家24G的香草味 可可的味道很浓郁 因跨国运输 盒子包装基本已经要碎开</t>
  </si>
  <si>
    <t>值得 版型好，修身，值得入手。</t>
  </si>
  <si>
    <t>物流很快，咖啡机很漂亮！ 在网上看了几天，选择这个型号，主要是家里领导用，物流很快速，不到一周就到邮到，拆开看，外表很漂亮，而且包装也很严实，就是没有中文说明书，另外是罗马尼亚产的，不是意大利的原产，这让我有些遗憾。除此之外 ，就等着品尝新鲜的咖啡了。</t>
  </si>
  <si>
    <t>刷牙好助手 造型可爱，充电款还是比电池款好用，重要的是，从小要保护好牙齿，真的很重要。</t>
  </si>
  <si>
    <t>感觉不错 东西看着还不错，音质挺好，比京东便宜很多，专门问了下客服国内有保修，好评</t>
  </si>
  <si>
    <t>舒服 这双很舒服，尺码跟puma平时鞋子一样</t>
  </si>
  <si>
    <t>正品 正品无疑，做工很细致</t>
  </si>
  <si>
    <t>冲洗力度 冲洗水压大小合适，外观漂亮，充一次电感觉可以用一周</t>
  </si>
  <si>
    <t>喜欢💕，质量保证 裤子还不错👌，就是码大了点，但是还是很喜欢，值得拥有</t>
  </si>
  <si>
    <t>很棒 太舒服了，像没穿一样</t>
  </si>
  <si>
    <t>实际商品比图好 图片的颜色是真实颜色，看起来一般，但入手后还是比较耐看的。而且穿起来效果不错。建议入手。</t>
  </si>
  <si>
    <t>蓝牙功能是干嘛的 不知道这个蓝牙功能是干嘛的</t>
  </si>
  <si>
    <t>很好用 很好用，烤得牛排比用平底锅煎的要好吃，汁水多且嫩</t>
  </si>
  <si>
    <t>尺码偏大 这款衣服尺码偏大了最起码2个码呢，只能送给别人穿了。</t>
  </si>
  <si>
    <t>Ao 很厚也暖和的，有点紧</t>
  </si>
  <si>
    <t>不错。 质量很好，款式简约而不简单，超喜欢。</t>
  </si>
  <si>
    <t>很好看 很好看</t>
  </si>
  <si>
    <t>经典中的经典 中规中矩的一支笔，没有花里胡哨的装饰。笔尖雕刻工艺不如德系日系，有点对不起它的身价。 到手发现是用蓝墨水写过的，不确定是出厂检测，还是退返的货。试用下来，没问题。</t>
  </si>
  <si>
    <t>质量好 还行 图个荷兰制造 希望质量好 能用长久点</t>
  </si>
  <si>
    <t>很不错 手感很好，书写很顺滑，当然我以前还是初中喜欢用自动铅笔，当时都几块钱的，现在都研一了，心血来潮买了个这个，感觉很满意，当然也可能是我没用过好的自动铅笔的缘故。。。</t>
  </si>
  <si>
    <t>颜色不对 颜色和图片颜色相差太大，图片显示浅蓝，实物深蓝，快递时间将近20天。</t>
  </si>
  <si>
    <t>严重粘毛，没法穿啊！！！ 严重粘毛，没法穿啊！！！</t>
  </si>
  <si>
    <t>质量一般 偏大一码，质量好像一般</t>
  </si>
  <si>
    <t>M尖，粗，没吸墨器。 早看评论就不买了，迷信这个牌子，一下入了两支，没有吸墨器，就一直墨囊，吸墨器在哪里买？墨囊在哪里买？还有就是M尖，日常书写不适用，只能签签名练练字，退货运费退不起。。。 以后买东西一定要先看评论。</t>
  </si>
  <si>
    <t>第一次亚马逊购物，体验极差 整个商品页面就两张模特图，他们看上去很不错，然而拿到手里却让人大失所望，首先衣服有色差，并不是图里的黑色，而是暗蓝色，其次料子摸上去很粗糙，衣服里凌乱的线头也很多，总之不推荐购买</t>
  </si>
  <si>
    <t>一般 字太粗了，不值这个价。还出水多。</t>
  </si>
  <si>
    <t>尺码太大 尺码又买错了，大太多了</t>
  </si>
  <si>
    <t>有点小 穿上去有点小，顶脚了，脚被包的有点紧。</t>
  </si>
  <si>
    <t>起球严重 起球严重，只能穿一季，保暖性不错</t>
  </si>
  <si>
    <t>很满意！！ 不错，质量很好，穿着也舒适。</t>
  </si>
  <si>
    <t>很烦非得要标题 衣服还不错吧，就是英版比亚洲版型偏大一点，拉链链头在右侧，刚用可能不太适应</t>
  </si>
  <si>
    <t>质量可以， 也能当腰包。感觉背包有点小。倒是男女都可以用</t>
  </si>
  <si>
    <t>衣服 衣服稍微长一点，不过可以穿</t>
  </si>
  <si>
    <t>小巧适合 用了几天来评论，杯子出门带点水放在包里正合适，颜色也是越来越喜欢了。</t>
  </si>
  <si>
    <t>非常值得购买的产品 最低价760.43买的，加上税费不过850元，比国内便宜不少(某东特价用券也需要979元)，实际上7天就收到货物，没有过度包装，简单气泡原盒包装，马来西亚产的，比2T的稍微厚一点点，不过放进硬盘包没啥问题。内置各种硬盘管理备份加密软件，声音很小，传输速度60-80MB/S左右，实际容量3.7T左右，编号和国内销售不同，还是信任美国的质量管理体系，非常满意，推荐大家购买。</t>
  </si>
  <si>
    <t>尺码 鞋型很漂亮，出来脚背处稍紧外，大小合适，平常国内尺码一般39，US码7宽松</t>
  </si>
  <si>
    <t>满意的购物 版型很好，适合夏天或者秋天穿。</t>
  </si>
  <si>
    <t>声音素质很高 耳机的素质很高，但是必须上耳放。直推不行的，声音空，高低频两头控制不住。上放以后解析强大，声场开阔，人声还行，比较杂食。</t>
  </si>
  <si>
    <t>零食 很好穿</t>
  </si>
  <si>
    <t>好鞋 海外购，收到的时间比下单时给出的预计要快了一周多，赞！皮鞋很漂亮，材质很好，做工也很好，特别是鞋底的材质、做工也很好。再赞！价格：货价加运费关税总共450都不到，比上海实体店在卖的鞋便宜好多，而且样式又好。再赞！ 国内段的快递是顺丰，名气大，送货的体验可不好。没事先通知说明就直接把货放丰巢箱了，自取拆包看到皮鞋的纸盒上盖中间裂了一个大缝，好在内中皮鞋没受到影响，完好，虚惊一场。这样顺丰快递只能给差评了!</t>
  </si>
  <si>
    <t>宽松刚好。 173cm  77kg  这款裤子买33W*30L刚好。</t>
  </si>
  <si>
    <t>还行 衣服不错就是买小了，我173  64kg，应该穿m</t>
  </si>
  <si>
    <t>不错 尺码合适，非常不错。</t>
  </si>
  <si>
    <t>裤型不错，有弹性 有弹性，很棒，不肥，刚刚好。我身高176体重86kg，壮实体型不胖。</t>
  </si>
  <si>
    <t>很不错，愉快体验。 帮女朋友买的，码数合适，做工比预期要好，物流比预期要快，做好期望值管理，这就是一次愉快的购物体验。希望穿久了没有质量问题。</t>
  </si>
  <si>
    <t>Lee是我的挚爱。 Lee裤子，用料好，版型好，质量好，穿起来好看又舒服，很满意！</t>
  </si>
  <si>
    <t>很软 很软，比某宝旗舰店上买的软很多。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</si>
  <si>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很好听 低音有质感，人声比较靠近，高频自然，很好听。虽然不算HIFI耳机，但听流行歌曲就该这样的声音。简约不简单，外貌不潮，声音超值。</t>
  </si>
  <si>
    <t>174, 75KG,  M号正好。 东西质量挺好的，很舒服。 174, 75KG,  M号正好。 东西质量挺好的，很舒服。</t>
  </si>
  <si>
    <t>性价比还可以 买的时候就很期待，拿到手没失望我160，58kg买的W29的</t>
  </si>
  <si>
    <t>好 好用，还有替换吸管</t>
  </si>
  <si>
    <t>紧身衣不错，我肚腩有点大😓😓😓…… 岁数大了，有点肚腩。177/77。买了L号，穿了蛮合适的，袖子稍微有点长，还有就是肚子那里绷的紧，很显肚腩😓……看样子要每天要做200个仰卧起坐了......😂</t>
  </si>
  <si>
    <t>背包 还不错，大小合适，背着舒服</t>
  </si>
  <si>
    <t>漏水严重 冲着颜值买的，不过用起来特别糟心，因为漏水非常严重！！！弃之～</t>
  </si>
  <si>
    <t>有点大还行 颜色太蓝了，袖子长胸围大</t>
  </si>
  <si>
    <t>掉色 很难相信是正品，上面写着made in China，二维码是韩国的，颜色像洗过了褪色的那种，白色的边也染了点红色～</t>
  </si>
  <si>
    <t>标题 很薄，看着标牌感觉不像是正品</t>
  </si>
  <si>
    <t>漏水 用了一段时间橡胶垫片就变形了，漏水严重，不知道为什么</t>
  </si>
  <si>
    <t>总是发错 衣服偏长，胸口logo颜色与图片不一样，买了好多件都是这样，没有图片款式就不要买了，还挂在上面</t>
  </si>
  <si>
    <t>太大 太大了，180 190斤穿 太大，220斤没问题 太宽，退换太麻烦了</t>
  </si>
  <si>
    <t>可能因为我足弓高 垫个薄鞋垫稍挤 做工什么都不错 可能因为我足弓高 垫个薄鞋垫稍挤 日常穿挺舒服的 挺喜欢这个牌子的 等活动的时候再买两双换着穿 亚马逊挺划算</t>
  </si>
  <si>
    <t>足弓高者慎买！ 从下单起算7天到手，德国发货。果然和评论中说的一样，足弓高的话会很挤。我的脚属于正常，略难塞进去，但塞进去后还好。但是再高一点一定会挤。 穿上后效果还是不错的，略帅。</t>
  </si>
  <si>
    <t>裤子有些薄和大 本人170cm，76kg。以之前海淘经验知道，我的买s码的，但是这款裤子还是大了些，也稍微长了一些。裤子比较宽松，裤口也不是很紧的那种。布料穿在身上有一个像麻的那种感觉，自我感觉这个价钱还是比较满意的。</t>
  </si>
  <si>
    <t>还没用 和奶瓶一起买的，还没用</t>
  </si>
  <si>
    <t>Lee 这款裤子带弹力的，面料很舒服，适合户外运动，给个赞</t>
  </si>
  <si>
    <t>不错 比较软 挺好的。</t>
  </si>
  <si>
    <t>东西我觉得很不错， 我是非常满意  但是这个套子比较松</t>
  </si>
  <si>
    <t>布料舒服，款型简约大方。 172/73有肚子，中号的肩胸都是非常贴合，打底穿可以，若是夏天穿则需买大一号，否则汗湿了就紧贴着皮肤。个人觉得这款T恤尺寸更接近东方人的标准，完全没有怕买大了的感觉。</t>
  </si>
  <si>
    <t>不带软管 花洒是不带软管的，购买请注意</t>
  </si>
  <si>
    <t>可爱的吸管杯 外观质量不错，小朋友很好抓握，还有替换吸管，值得购买</t>
  </si>
  <si>
    <t>总体上给个好评吧 16号下单，18号发货，今天收到还算快的吧。包装还可以，里面有空气缓冲袋。手表外观没什么问题，只是需调整下时间。</t>
  </si>
  <si>
    <t>款式经典 款式很喜欢，价格也很实惠，就是最小只有36码，要是有35就更合适了。</t>
  </si>
  <si>
    <t>产品品质不错，尺码合适 从材质上判断应该是正品，绝对比国产的那些品牌料好。本人173，体重65kg，穿S码正好。此款属于薄款，应该更加适合春秋两季穿。</t>
  </si>
  <si>
    <t>音质不错 好耳机 索尼大法好啊！不错音质不错 买了很多个索尼耳机了</t>
  </si>
  <si>
    <t>完美的咖啡机 从外观到功能都很完美，简单易用，咖啡出品也ok，会员包邮值到家</t>
  </si>
  <si>
    <t>便宜 挺合脚，这个价格买到clark还是很合适的</t>
  </si>
  <si>
    <t>出差旅行必备 出差旅行必备，个头稍大，不过在能接受的范围</t>
  </si>
  <si>
    <t>五星 很不错</t>
  </si>
  <si>
    <t>颜值高、大小合适 正在使用，没拧好会有点漏水，但杯子很喜欢，大小合适，随身携带很方便！</t>
  </si>
  <si>
    <t>好 很好，比实体店便宜</t>
  </si>
  <si>
    <t>好 袜子很舒服，合适，速度快</t>
  </si>
  <si>
    <t>价格很好 美亚买的，价格特别好，笔的质量也好。</t>
  </si>
  <si>
    <t>好评 很好，非常的符合预期</t>
  </si>
  <si>
    <t>挺好的 挺好，小孩现在比较喜欢刷牙，价格比国内便宜太多了</t>
  </si>
  <si>
    <t>很好 正品，快递很快，老婆非常满意</t>
  </si>
  <si>
    <t>没有用，太窄 适合基本平胸的孩子穿</t>
  </si>
  <si>
    <t>材质硬、有廉价感 全棉面料，印度尼西亚作品。有一点硬邦邦的感觉。适合各种场合穿。</t>
  </si>
  <si>
    <t>made in china 今天拿到后，拆包装：非欧洲原装，100%中国制造。</t>
  </si>
  <si>
    <t>保质期太差 第一次给差评，临期产品，19年11月过期，大家不要买，谁买谁倒霉</t>
  </si>
  <si>
    <t>烂货 太烂了，领口皱成一圈，袖口其宽无比</t>
  </si>
  <si>
    <t>偷换了一件 有一包拆过封，换了一件已经剪过洗标的大一号的T恤</t>
  </si>
  <si>
    <t>头围59略紧 夏天买了正好带，就是没有头码选择，59戴58略紧。另外帽檐比较小，这样有困难，我是买来装帅的，劝买来遮阳的朋友仔细考虑</t>
  </si>
  <si>
    <t>右下方标志 之前买的手表右下方有个小标志，这个没有，为什么？？？</t>
  </si>
  <si>
    <t>T恤 衣服比较宽松，面料还不错。等天冷当内衣穿吧</t>
  </si>
  <si>
    <t>经典帅气 山脉之光是丹纳经典款，鞋型经典帅气。全皮、V底、gtx、线缝使之性能强悍抗造。</t>
  </si>
  <si>
    <t>略大 脚26.5cm  8-8.5码略大了 穿着蛮舒服，相比淘宝动辄上千，这边划算多了</t>
  </si>
  <si>
    <t>轻巧 不错 很轻便</t>
  </si>
  <si>
    <t>这个还行 已经算比较舒服了 L不够一点点</t>
  </si>
  <si>
    <t>手表进口 可以、日本品牌好，比国内的手表还要好，带着手上很舒服，不怎么勒手</t>
  </si>
  <si>
    <t>完美 料子不错，尺码合适，连裤脚都不用裁</t>
  </si>
  <si>
    <t>安装师傅也很赞 蚁安居崔中习师傅。技术精湛，服务一流，态度又好</t>
  </si>
  <si>
    <t>声音好，价格实惠的耳机。 声音素质很不错，三频很均衡，耐听、好听，杂食。和hd25分庭抗礼。就是作为专业耳机，佩戴有些紧，耳罩小了点。</t>
  </si>
  <si>
    <t>材质不错，亚洲体型偏胖的购买，建议小一号。 欧洲码，亚洲人穿稍微有些偏大，下次买得小一号了。材质非常好，划算，正品。 这款偏大，是在衣服的下摆长度。</t>
  </si>
  <si>
    <t>好用 非常好用，非常好用，刷的很干净</t>
  </si>
  <si>
    <t>稍厚但速干的材质 Performance虽然不是UA的顶级系列，但做工和材质还是很好的，很适合平时穿。稍厚但速干的材质。</t>
  </si>
  <si>
    <t>太棒啦！！ 买这条裤子是为了参加腾冲跑的黎贡越野赛，但因买的时间比较晚，还以为比赛前肯定到不了，哪不知，在临出发前收到了包裹，9号穿着这条裤子跑了55公里，得了女子组的12名，整个赛程腿和腰部都没有明显不适，觉得就像和自己的融为一体，真的是一条强大的压缩裤！赞赞赞！！！</t>
  </si>
  <si>
    <t>好用不贵 不错，完美匹配790cc，原装刀片服役两年后正式退休</t>
  </si>
  <si>
    <t>大爱 非常赞，大爱，很喜欢</t>
  </si>
  <si>
    <t>裤子质量还行 体重128，身高170，购买的是W31L30,稍微有点大，冬天穿还可以吧。</t>
  </si>
  <si>
    <t>保健品 养生必备，天天一颗</t>
  </si>
  <si>
    <t>不错 尺码标准，但是小腿还是比较宽松的，不能和韩版比。追评，裤子穿了有点变大，感觉变大了一个码，还没下水。</t>
  </si>
  <si>
    <t>很喜欢 价格不错，这个牌子的内裤是不错的，很喜欢</t>
  </si>
  <si>
    <t>价格划算 很不错家里两个电动牙刷都适用，价格划算</t>
  </si>
  <si>
    <t>东西不错，就是有点儿小贵。 好！东西不错，就是有点儿小贵。</t>
  </si>
  <si>
    <t>很舒服~~~ 很舒服，尺码偏大一些，但还好，价格嘛，比国内便宜很多，一个星期就收到货了，亚马逊海外购越来越给力了！</t>
  </si>
  <si>
    <t>看上去还不错呢！ 看上去不错的呢！可以的</t>
  </si>
  <si>
    <t>好看 很好看，里面是绒滴，保暖</t>
  </si>
  <si>
    <t>这衣服长度跟宽度不和谐 我都不知道评价它是太大还是太小 172买的s号  太长了但是又太小了 适合55kg左右175的人穿</t>
  </si>
  <si>
    <t>性价比超级高，还会再买！ 性价比超级高，还会再买！</t>
  </si>
  <si>
    <t>到手成这样了 收到包裹后，居然是这样的，严重怀疑是不是路上被调包了。怎么样压，也不会压成这样吧...</t>
  </si>
  <si>
    <t>质量 太薄了，一点都不值，和纱布差不多，买了很多件，这件太失望了</t>
  </si>
  <si>
    <t>不建议购买 本来已经做好比国内尺码大的心理准备，根据商品页面的尺码导购特地买小一号，没想到这个要比国内尺码大很多，过肥过长。完全穿不了。</t>
  </si>
  <si>
    <t>次品 次品！</t>
  </si>
  <si>
    <t>尺码大 鞋子是不错的，但是尺码过大，海外购也没法退，只有闲置了。</t>
  </si>
  <si>
    <t>一定要买小一码。 大了点，一定要买小一码。</t>
  </si>
  <si>
    <t>好。 经典款，平时看时间。</t>
  </si>
  <si>
    <t>勉强还行 质量相比国内的差一点，但价格也只有国内的3分1，所以性价比还是挺高。包装的话真垃圾，特别是透明胶在内裤上。尺寸方面的相比国内的小一个码左右。</t>
  </si>
  <si>
    <t>挺好哒 快递好暴力，质量挺好的 给宝宝先囤着，还没用。</t>
  </si>
  <si>
    <t>舒适保暖 非常合身，穿着舒适保暖</t>
  </si>
  <si>
    <t>质量很好的鞋子 非常漂亮！就是稍微有点硬</t>
  </si>
  <si>
    <t>肥瘦合适，太长了 材质手感很好，肥瘦合适，太长了</t>
  </si>
  <si>
    <t>鞋的大小合适 5.5UK/38，大小合适，如果脚比较肥的话，建议买大一号。非常喜欢，试穿了一下，一直穿爱步的鞋，很舒服</t>
  </si>
  <si>
    <t>给爱人购买的 给爱人购买的,相信美亚直邮的东东</t>
  </si>
  <si>
    <t>完美替换 非常好，把原来的那个替换掉，没有漏黑油了！价格也是非常实惠，比淘宝还便宜，希望以后多搞搞活动！</t>
  </si>
  <si>
    <t>保温效果好 容量大，保温效果很好，这是购买的第二个。</t>
  </si>
  <si>
    <t>很合适 愉快的一次购物 和店里的尺码一样，建议到专卖店试穿</t>
  </si>
  <si>
    <t>质量很好 质量很好，值得信赖的品牌，希望亚马逊能多销这样品牌的商品</t>
  </si>
  <si>
    <t>质量好 质量好，价格便宜，送货快，以后还会再买。</t>
  </si>
  <si>
    <t>很不错 朋友很满意，42码买的8⃣️挺合适，特价时撩的，好划算，哈哈现在涨一倍</t>
  </si>
  <si>
    <t>质量好，儿子喜欢，推荐 质量好，儿子很喜欢，适合小孩</t>
  </si>
  <si>
    <t>满意 大小合适</t>
  </si>
  <si>
    <t>非常棒 本人174/70，原本还有点担心大小的问题，拿来试一了下S号完美驾驭里面再加件毛衣也没问题，高腰的设计显得很精神，穿着舒服，透气性好,不足是包装差就两个塑料袋！</t>
  </si>
  <si>
    <t>清洗方便 带出门很方便，清洗方便不留死角。</t>
  </si>
  <si>
    <t>穿着不错 可以！非常好！下次再卖</t>
  </si>
  <si>
    <t>喜欢、第二次购买 这是六年后的第二次购买，非常喜欢它的音质</t>
  </si>
  <si>
    <t>很好，不错！ 很好啊，孩子好握，只是时间久了，面上的颜色就会掉，可能是用水洗的缘故吧。</t>
  </si>
  <si>
    <t>非常好用 非常好用！做工很好！</t>
  </si>
  <si>
    <t>STAUB炖锅表现很优秀 德国亚马逊直邮，价格合适，锅边没有大的瑕疵，内里也可以，最主要的是做出来的肉很好吃。</t>
  </si>
  <si>
    <t>很好很舒服 很好很舒服</t>
  </si>
  <si>
    <t>号称职业潜水表，居然漏水！ 买这款手表主要的看重其公开宣传的职业潜水200米性能，可是，这主要一点却令人非常遗憾！今天早晨，带着此表满心欢喜的去游泳，大约游了35分钟，起来穿衣整理，再看手表，表内已经白雾蒙蒙。令人不解的是刚才在水中表壳内还没见到起雾，怎么过了一会准备离开时就起很重的水气？显然内部已经缓慢的进入水气，室外气温一低，内部水气就凝结在表面玻璃上。（我是昨天刚刚拿到快递送过来的手表。另外 我提交的照片为什么上不去，这点做得很不的到）</t>
  </si>
  <si>
    <t>不建议购买 洗完有异味，很重，只好清水再洗一次，总是洗两次浪费水电。而且一块一块的，撕开不方便，不撕开不安全，发现洗碗机热水洗过有时候不能完全溶解外膜。不会回购。</t>
  </si>
  <si>
    <t>马马虎虎 很是一般，冠军的低端产品，水准完全没必要海外转一圈了。同价位，国内用料、款式选择余地还大。。。</t>
  </si>
  <si>
    <t>送人了。 因为买来是送给人家的，效果怎样自己不是很清楚，但是外表还是喜欢的。</t>
  </si>
  <si>
    <t>坑比 &lt;div id="video-block-R2OEKSI40JYTSE" class="a-section a-spacing-small a-spacing-top-mini video-block"&gt;&lt;/div&gt;&lt;input type="hidden" name="" value="https://images-cn.ssl-images-amazon.com/images/I/A199a2QCr0S.mp4" class="video-url"&gt;&lt;input type="hidden" name="" value="https://images-cn.ssl-images-amazon.com/images/I/71KUOXnbQiS.png" class="video-slate-img-url"&gt;&amp;nbsp;好坑，最起码的界面布局的不合理。真坑</t>
  </si>
  <si>
    <t>老用户的评论 号码过大，质量差，建议不要购买</t>
  </si>
  <si>
    <t>不像 原装 感觉还行，但总跟原装的不同</t>
  </si>
  <si>
    <t>皮带有点硬 外观挺美的，就是皮带有点硬，硬了不好弯曲，担心折出横纹</t>
  </si>
  <si>
    <t>还行 只有15万次，国内买贵一倍一有40万次</t>
  </si>
  <si>
    <t>和预想一样 大小合适，物品完好。</t>
  </si>
  <si>
    <t>性价比不错 如果脚不是特别宽的话，估计2E 也够了，买的4E ，感觉宽了一点，有点肥大。长度倒是正好。按正常尺码买就好了。</t>
  </si>
  <si>
    <t>羊毛的 是蓝色的，不过换一个颜色穿穿也挺好的，里面要穿衣服，否则会扎腿。</t>
  </si>
  <si>
    <t>满意的一次购物 7月12日下单，7月21起收到，速度比我预想的要快。鞋很轻，上脚也很舒服，跟专柜买的没什么不同。本人皮鞋41码，运动鞋42码，本款选择8M，大小合适，供大家参考！满意的一次购物！</t>
  </si>
  <si>
    <t>好！ 挺不错，因为看了之前的评论好才选的这一款，果然中意！感谢亚马逊上有这么多真诚的评论～</t>
  </si>
  <si>
    <t>外观平整 外观平整，尚未使用。</t>
  </si>
  <si>
    <t>很好 大小，款式，颜色都好！</t>
  </si>
  <si>
    <t>舒服 拿到手里肩带和后面是网状的，感觉不是很好。洗过穿上很舒服，比优衣库的无钢圈舒服，80b买l的有点大，m应该合适</t>
  </si>
  <si>
    <t>美观、质感好 话筒质感特别好，沉甸甸的，外观非常上档次，喜欢。音质等我的声卡到了再测试。其他地方遇到一点小问题，客服态度非常好，处理很满意，给亚马逊的客户点个赞。好产品，值得信赖。</t>
  </si>
  <si>
    <t>衣服质量好 衣服面料质量都很好，颜色漂亮水洗不褪色。</t>
  </si>
  <si>
    <t>看起来做工不错，但是买小了 看起来做工不错，但是买小了</t>
  </si>
  <si>
    <t>味道不错 很好吃，也没有融化。</t>
  </si>
  <si>
    <t>是不是应该标注27号相当于42~43呢？ 平时穿44的鞋，没犹豫直接买了27的，买过来小很多。27日本鞋号吗？太小了。木有办法，给别人吧。可惜</t>
  </si>
  <si>
    <t>太小 太小了点，袖子不短，就是胸围有点太小了，很紧</t>
  </si>
  <si>
    <t>颜值高，质量好 这款吸管杯颜值爆表，质量也很好👍刚开始儿子有些不习惯，喝水比较费劲一点，应该是防呛设计。现在儿子习惯了</t>
  </si>
  <si>
    <t>不错 一直在用的，宝宝一直很喜欢</t>
  </si>
  <si>
    <t>挺好 不错既能研磨 又能当辅食碗 现在正拿它天天给宝喂米粉呢</t>
  </si>
  <si>
    <t>好好好 比国内便宜</t>
  </si>
  <si>
    <t>非常合适，也很舒服。 喜欢，面料不错，舒服</t>
  </si>
  <si>
    <t>小了点儿 质量和好内裤，不过稍微小了一点，刚穿的时候有点儿紧，现在好一些，估计买大号的正合适！本人腰围2尺6</t>
  </si>
  <si>
    <t>质量不错，合身暖和。 身高174cm体重76kg，穿M号的正好，内里有反射层，很暖和，南方过冬没问题。</t>
  </si>
  <si>
    <t>包装不严实，铅笔还好 包装不给力，里面什么都没垫</t>
  </si>
  <si>
    <t>物有所值 日亚的硬盘性价比高。做存储用够用了</t>
  </si>
  <si>
    <t>非常好！ 一直喜欢小V，终于买到一个，还是原装美国货，真不错！用来制作果汁，超级好！</t>
  </si>
  <si>
    <t>与国内尺码要打两码了 国内穿32W32L，这个应该买30W30L</t>
  </si>
  <si>
    <t>属于抽奖，而我挂了。 只能就一般吧，买了两个， 运气不好，抽个垃圾主控。 三百块，还不如买闪迪的z 80。</t>
  </si>
  <si>
    <t>太大太长 设计师估计是外星人，尺码偏大偏长太多了</t>
  </si>
  <si>
    <t>太糟糕的购物体验！没有尺寸描述，完全盲选！ 我的天，太大了吧。 页面没有尺寸说明，别人的评论只能看，不能跟帖咨询。看“暴走一族”的评论，她168、68kg买2XL觉得合适。所以我2XL和XL各买了一条。然后，裤子里边可以装下两个我！</t>
  </si>
  <si>
    <t>还不错 在入门级登山/防水鞋中算是比较好看的款式，个人觉得比大黄靴还好看。但不要指望它能有多强的防水能力，水比鞋底深的情况下还是会渗水进去，不过透气性还算可以，整体算是比较舒适。推荐在不太极端的环境使用。</t>
  </si>
  <si>
    <t>国内发货 3号下的单6号就到了，应该是国内发的货，海外发没有这么快。。。加税252，比较便宜了。粉钻试了下可以插上，比粉钻自带的美白刷头要小一点。8只可以用两年了。</t>
  </si>
  <si>
    <t>总体不错 腰围稍微小一点，裤长还不错！ 材质有一定的弹性。</t>
  </si>
  <si>
    <t>还行 符合预期，美版袖子较长，宽松，性价比合理。</t>
  </si>
  <si>
    <t>好看，单穿配外套都合适 168，58长度宽度都合适</t>
  </si>
  <si>
    <t>这个奶瓶果然很受宝贝喜欢！ 正品！很开心很满意！因为是给女儿用的所以挑选的时候非常谨慎，斟酌了很久才抱着试一试的心态在这买的，第一次在亚马逊购物，非常满意，收到后在锅里煮了3分钟一点味道都没有，更开心的是宝宝很容易接受了，之前用贝亲和NUK放母乳都不喝，这个宝贝很容易就主动嘬了！再买一个大的。</t>
  </si>
  <si>
    <t>不错 这个不错，大小刚好，适合小包包</t>
  </si>
  <si>
    <t>还行  有点大 皮质和描述的有区别  荔枝皮似的</t>
  </si>
  <si>
    <t>ok 修身显瘦，显气质！好</t>
  </si>
  <si>
    <t>喜欢 质量真不错,暖和,适合冬天穿.</t>
  </si>
  <si>
    <t>给个参考 178CM，93KG，有点小肚子，选的XL，肩膀刚好，有点勒肚子，哈哈。面料不错，袖子长，透气效果好</t>
  </si>
  <si>
    <t>好 应该是eb20吧，用习惯了eb50，换这种感觉也挺好的</t>
  </si>
  <si>
    <t>雷克沙1066X 不错速度确实比闪迪的1067xCF快一点点</t>
  </si>
  <si>
    <t>不错的一双运动鞋 很好 还有气垫 穿着很舒服</t>
  </si>
  <si>
    <t>包装完好 还没用，包装完好</t>
  </si>
  <si>
    <t>手感不错 试写了一下，手感很不错。给孩子用了，这厮手大的好似熊掌。 笔盒里除了吸墨器，还有两只墨囊，竟然是一蓝一黑，不巧的是随手安上的是蓝色的。</t>
  </si>
  <si>
    <t>很好 这就是耗材，定期更换，没有问题。</t>
  </si>
  <si>
    <t>性价比很高 很好用，方便</t>
  </si>
  <si>
    <t>简单实用 手表样式好看，简单实用</t>
  </si>
  <si>
    <t>好评 一直吃这个，第一次再网上买，不会区分真假</t>
  </si>
  <si>
    <t>不错 适合9岁以下孩子戴！</t>
  </si>
  <si>
    <t>宝宝吃饭碗 颜色鲜艳宝宝很喜欢哦</t>
  </si>
  <si>
    <t>正品，超值 比较划算，国产新款</t>
  </si>
  <si>
    <t>优质做工，稳固机身 原包装盒就这么垮洋过了海，没加外包装，但还是完好无损的，机器太棒了，是新款，国内可以配到新款配件，和面打蛋都试过了，机器特别稳，没有任何晃动，蛋糕很成功，和面因为是全麦，没出膜，下次换高筋粉试试，机器上部烤漆有点瑕疵，但不影响使用，就算了，总体还是非常满意的，甩国内品牌好几条街</t>
  </si>
  <si>
    <t>很好 175.75，穿s好，太热，厚。</t>
  </si>
  <si>
    <t>总体满意 虽然从伦敦运送过来，经过了接近一个星期，但毕竟便宜那么多，多等几天也值得，虽然都是英文，但感觉是正品，不错，满意</t>
  </si>
  <si>
    <t>衣服不错 不是很厚，入秋穿不错，还可以当中间层</t>
  </si>
  <si>
    <t>都压坏了 牙刷不错，但是包装太渣，还没用，就坏了3个</t>
  </si>
  <si>
    <t>超级大 衣服超级大，买的XXXL的，肥佬穿比较好 ，比正常版的大很多</t>
  </si>
  <si>
    <t>龙头有几处刮伤痕迹 作为第一次海淘没啥经验的人，带着很大期待，但是漂洋过海拿到的龙头多处被刮伤。颜值不高。。有点失望。</t>
  </si>
  <si>
    <t>质量很差 内衬是有点毛绒的，试穿的时候掉毛很严重。衣服也有明显的线头，要不是amazon海外购，真的以为是假货！质量很差</t>
  </si>
  <si>
    <t>太假了 8太假了吧，比淘宝最烂的仿品还假</t>
  </si>
  <si>
    <t>肥佬装 我平时穿中码，给我发了XXXL</t>
  </si>
  <si>
    <t>性价比高 比预期早到了，铅笔孩子很满意。</t>
  </si>
  <si>
    <t>比国行性价比高 一样的MIC、转一圈回来比国行还便宜快一半；插头也适用、不能PRIME价有些遗憾；提高生活品质的小物。</t>
  </si>
  <si>
    <t>莱萃美深海鱼油 鱼油已到货，还没吃，只是觉得瓶子颜色比从美国带回的颜色浅些。但愿是正品。</t>
  </si>
  <si>
    <t>有点闷  高频上不去 煲久点再作正式评论吧</t>
  </si>
  <si>
    <t>试戴了下 稍大了一点，估计是我头比较小吧</t>
  </si>
  <si>
    <t>囤货 以前从不去评价，不知道浪费了多少积分，现在知道积分可以换钱，就要好好评价了，后来我就把这段话复制走了，既能赚积分，还省事，走到哪复制到哪，直接发出就可以了，推荐给大家！</t>
  </si>
  <si>
    <t>轻便暖和 168、60kg s码 略大，很暖和</t>
  </si>
  <si>
    <t>非常喜欢 趁着亚马逊活动，我和老公各买了一双大黄靴，比专柜便宜600，而且尺码也正合适，十分非常特别满意，前几天穿了冷，这几天穿出来就合适啦</t>
  </si>
  <si>
    <t>质量不错尺码偏大一号。 先说下鞋子质量，总体来说比国内专柜稍次，印度产，细节见图。上脚比较舒适。 再说下鞋子尺码，本人290脚长，但脚有些厚宽肥，国内其乐44，阿迪耐克斯凯奇45，皮鞋一律46。海外购斯凯奇45。这次买了45，us11.5，整体大一号。 本次含税258，供大家参考。</t>
  </si>
  <si>
    <t>脖子紧，其他合身 不错，挺合适的，173cm，72kg，有小肚子，不过脖子就有点紧如果要打领带的话。所以我不打算打领带穿着比较合适。</t>
  </si>
  <si>
    <t>直筒修身牛仔裤 不错，是我喜欢的样子</t>
  </si>
  <si>
    <t>好评 还没有穿，摸着还好。希望如介绍那样好。</t>
  </si>
  <si>
    <t>... 共计买了3条。这里要说的是，有评论说是假货，据我知道，这确实和国内专卖店的货不一样，包括拉链打标，裤袋打枣，裤袋形状等。这应该是美国的超市货，品质是比国内专卖店货差一点。不过也还行，毕竟·价格也相差几倍，而这确实也是真货。</t>
  </si>
  <si>
    <t>鞋子质量不错，款式很棒 鞋子质量不错，款式很棒</t>
  </si>
  <si>
    <t>轻巧挎包 满意，蓝白红的小挎包。</t>
  </si>
  <si>
    <t>杯子不漏水 一如既往的好，不漏水怎么拿都能喝的到</t>
  </si>
  <si>
    <t>比预想轻 比预想的轻，本人脚长260，脚围25.6。US8M穿起来刚合适，给大家参考</t>
  </si>
  <si>
    <t>满意 镇店之宝价格太合适了，一周到手</t>
  </si>
  <si>
    <t>非常值 很好很帅，UK尺码标准。</t>
  </si>
  <si>
    <t>(郡是)GUNZE 无钢圈文胸 温柔物语 背部极其轻松舒适 米黄色 是我想象的样子，料子不错，样子也好</t>
  </si>
  <si>
    <t>方便实用的辅食工具 宝宝现在田辅食了，有了这个就方便了许多，冷藏冷冻都可以，加热也方便！信赖亚马逊！</t>
  </si>
  <si>
    <t>很合身 按照尺码选择就行了，非常合身，质量也好！比在H&amp;amp;M或者优衣库买的更好更划算。</t>
  </si>
  <si>
    <t>体验还是可以的 虽然发货等了差不多20天，加到手时间，共一个月。但是价格合适可以忽略等待，不是特别爱好喝咖啡的，所以这款选择多点，也不用怎么清洗，干净。</t>
  </si>
  <si>
    <t>三荣一🚿 好用的特别是有一个开关！用了好久也没有任何问题！</t>
  </si>
  <si>
    <t>很好 配了变压器用着挺好的，没必要多花几千买国内版的吧</t>
  </si>
  <si>
    <t>好 比较大，样子好看。</t>
  </si>
  <si>
    <t>减压舒缓效果很棒！ 穿上没有束缚感，以为是效果不到位，没想到一早起来脱掉裤袜后，整双腿都轻便舒适了不少。前两天因为运动过量大腿疼的厉害，穿过一晚疼痛也减轻许多。幸好买了两条，预备两天一换洗，坚持穿下去。不期待瘦腿，能减压预防静脉曲张就是好的。</t>
  </si>
  <si>
    <t>做工不行 做工太差了，考虑这种价格，算了不退</t>
  </si>
  <si>
    <t>钱包一般 像是拆过的，钱包表皮有小孔，轻微破损，还有墨水味，感觉有点奇怪，算了，将就用吧</t>
  </si>
  <si>
    <t>尺码偏大 衣服还行，但是尺码真的偏大，建议小2码(///▽///)</t>
  </si>
  <si>
    <t>裤腿太肥了 裤腿太肥了 腰有些小 裤腿太肥了</t>
  </si>
  <si>
    <t>尺码过大，不合身。 尺码过大，不合身。放着没法穿，失望。</t>
  </si>
  <si>
    <t>失望 东西太差，感觉被调包，一件是整的，一件是散的</t>
  </si>
  <si>
    <t>是不是正品呢 手柄粗糙，制造时脱模手柄拉伤等很多问题，碗口分膜线拉手</t>
  </si>
  <si>
    <t>虽然耳机便宜，但是配套贵呀！ 耳放,播放器搞起来远比这点小优惠贵得多，入手容易，用好难。</t>
  </si>
  <si>
    <t>L码 L码和国内175差不多，面料有弹力，但感觉一般，做工用的线细，看着没有挡次，穿着舒服，大小适中，这个价格也物有所值。</t>
  </si>
  <si>
    <t>好 好用，贵。宝宝喝奶顺畅，回购。奶瓶会排气。</t>
  </si>
  <si>
    <t>料子蛮好的，就是金色的拉链很抢眼 图片上看的拉链颜色不是很明显，实际拉链是土豪金色的，挺闪的</t>
  </si>
  <si>
    <t>满意 好大一瓶，为家人的健康！要坚持使用，东西不错用完后再来！</t>
  </si>
  <si>
    <t>可以直接在220V电压下充电吗？ 还未到货，无意中看到美国电压是110V，在中国的是220V，可以直接充电吗？</t>
  </si>
  <si>
    <t>这是纯铁锅，用后清洗后，抹上一层油就不会生锈了。 锅是好锅，就是把手太短，一个手端不动啊，厂家设计这么短的把手，就为了进烤箱，也不考虑一下，中国国情，中国人是爱吃炒菜的啊！</t>
  </si>
  <si>
    <t>用着还不错 用着挺好的，买了转换头</t>
  </si>
  <si>
    <t>宽松 身高180，体重210斤，穿xl宽松，不过身长有点捎短，袖子长短合适。</t>
  </si>
  <si>
    <t>给父亲的礼物，他非常喜欢！ 自己买的一双Timberland Flume被父亲看到后赞不绝口，于是决定买一双一样的给他，但没有合适的尺码，就买了经典的White Ledge，黑色的颜色他非常喜欢，8W的尺码也正合他的尺寸。父亲觉得冬季在上海穿这鞋子最合适，不怕冷也不怕雨。他很满意，我就很高兴！</t>
  </si>
  <si>
    <t>钢铁直男必备 好用到哭， 原谅我土鳖都i不知保温杯进化到如此方便了！</t>
  </si>
  <si>
    <t>海外购首淘成功！ 宝宝快出生了，给宝宝囤货。海外购真神速，非常好的购物体验……</t>
  </si>
  <si>
    <t>好评 不错！带了一个多月了，防水效果明显！</t>
  </si>
  <si>
    <t>亚马逊海外自营产品 很大一罐，和国内进口商买的区别就是，海外购没有密封贴钱，味道不错，有点甜</t>
  </si>
  <si>
    <t>合适，好看 这件也是下摆稍微有些小，对比美亚的冠军，确实日亚的质量更好，不掉毛，不褪色，卫衣材质，春秋天可以单穿，冬天可以穿在羽绒服里！177/78穿了正好！女士也能穿，我130斤，穿了稍微有点宽松，也好看！</t>
  </si>
  <si>
    <t>关于吃吗 女生买的！原本以为自己可以驾驭长一点的！这款衣服完全就是细长款的！版型有点大！在胖的S/M都可以穿不用买大码！这款面料稍后同比在台湾买的料子厚许多</t>
  </si>
  <si>
    <t>面料舒适，尺寸偏大 面料舒适，尺寸偏大不少，小一码购买。</t>
  </si>
  <si>
    <t>vitamix5200 我是用它打果汁的，非常细滑。也很容易清洗，也可以把菜、肉饭、汤打成糊给老人吃挺好的</t>
  </si>
  <si>
    <t>强烈建议购买，不要老断货 便宜又有效，80左右。给后面参考</t>
  </si>
  <si>
    <t>质量不错 看上很久了，收到货很不错，秒杀价很合适！！</t>
  </si>
  <si>
    <t>满意。 感觉有效果。很满意。</t>
  </si>
  <si>
    <t>飞利浦电动牙刷 全家都用的飞利浦牙刷，一如继往地好评，除了贵没别的缺点。如果能送个刷头就更好了。</t>
  </si>
  <si>
    <t>作为短裤非常舒服 作为短裤确实非常舒服。</t>
  </si>
  <si>
    <t>赞一个 大小适中，穿着很舒适。鞋底稍硬，可能是耐磨设计吧。</t>
  </si>
  <si>
    <t>值得拥有。 穿着非常舒服，也不会显脚大，非常满意。物流也够快。比预计提前了整整六天。继续支持。</t>
  </si>
  <si>
    <t>没用几次已经开裂 之前在美亚买过，用了几年也没问题，后来老二也能自己吃饭了，所以在亚马逊买了一套，可是没用几次当中的紫色已经裂了..</t>
  </si>
  <si>
    <t>包装图案有地方不一致 怎么跟图片上右下角73的地方不一至</t>
  </si>
  <si>
    <t>品控不太好 两年前买过同样的裤子，很舒服，所以这次再买。 这次买了两条，其中一条跟两年前的裤子完全一样款式颜色，但上身后明显偏紧，另外一条，不同颜色，腰围居然又稍松。Lee的品控有问题啊。</t>
  </si>
  <si>
    <t>不跟脚、不舒适 这双clarks不舒适，没有在亚马逊上购买的其他clarks舒适，同样的尺码这双鞋就比较挤脚。虽然挤脚了吧，但又不跟脚，脚后跟容易从鞋里掉出来，是不是后跟设计的太浅了？ 另外，收到的鞋应该是别人穿过的，鞋底是脏的，标签也是被撕下来过而后又再贴上的，而且鞋撑竟然是反着撑在鞋里的。</t>
  </si>
  <si>
    <t>反复读写太差 不只是转速的问题，硬盘在反复读写方面太差，用迅雷下东西达到区区6m/s的时候电脑开始卡死，然后就没有下载速度了，经常有文件下到一半就不动，一直显示磁盘繁忙，惆怅。</t>
  </si>
  <si>
    <t>变质 还有二个多月过期，不是海外直邮来的，是香港保税区发的，都是黏糊糊的 ，来的时候盖子里面那个锡纸封口都鼓了。非常失望</t>
  </si>
  <si>
    <t>收腹带 手感质地还可以，但是有点顶着胸下，特别坐的时候不能穿，背必须挺直，弯一点就会胳着胸！</t>
  </si>
  <si>
    <t>低端ecco ecco的低端产品  舒适度可以 但和biom系列差距不少</t>
  </si>
  <si>
    <t>轻便舒适 轻便贴身舒服，老婆喜欢</t>
  </si>
  <si>
    <t>很好的裤子！ 裤子很棒！就是不知道褪不褪色！</t>
  </si>
  <si>
    <t>宽松透气 很宽哎，长度也要严格按脚长，甚至买短0.5，比如平时225，可以考虑220，因为里面还有个厚鞋垫可以拿出来。</t>
  </si>
  <si>
    <t>不错 质量很好，穿着舒适。</t>
  </si>
  <si>
    <t>拜亚动力专业耳机 做工，音质都相当棒</t>
  </si>
  <si>
    <t>可以的 大了一点点 价钱便宜 很好</t>
  </si>
  <si>
    <t>尺码参考 180身高，72kg，m号合适。版型短款</t>
  </si>
  <si>
    <t>建议买小一号 177，68kg，贴身穿买的S号，合身不紧绷，手腕和下摆的崩边很不错。Polartec的抓绒，非常暖和</t>
  </si>
  <si>
    <t>超级喜欢 很喜欢</t>
  </si>
  <si>
    <t>好看，经典还是要拔草 超级喜欢的颜色。码数正常</t>
  </si>
  <si>
    <t>好看 穿上看起来蛮不错的，对得起这个价格，但是面料感觉就稍微次点！给5星因为这个七分袖很不同</t>
  </si>
  <si>
    <t>一次成功的购物。 很好，很舒服。挡风 ，保暖。</t>
  </si>
  <si>
    <t>第一次购买 38.5的脚，其乐5.5UK合适。ecco这双感觉正合适，没有空余，反而不舒服。不知道买大一号会不会更合适。</t>
  </si>
  <si>
    <t>不紧绷 买了第二条了 第一条是连脚的 0度左右都适合 不紧绷 弹性很大一很柔软</t>
  </si>
  <si>
    <t>喜欢 做工很棒，上身效果也很好。喜欢的按照国内尺码买没错的，如果想买加绒的，建议换L122，款式一样</t>
  </si>
  <si>
    <t>e c c o 40是对应9-9.5美码，英码是uk7，买大一码，不过妈妈觉得还是很舒服</t>
  </si>
  <si>
    <t>有点长，腰围84合适 172/75，腰围合适，有点长</t>
  </si>
  <si>
    <t>太棒了 比国内便宜了不少，没想到还有读卡器，很惊喜。到货后马上使用了一下，拍100FPS，慢动作完全没问题，总之很棒！</t>
  </si>
  <si>
    <t>好 很好 这种网眼的一直在穿 已经好几件了</t>
  </si>
  <si>
    <t>很好吃 送货很快，有点像QQ糖的味道，每天2颗身体棒！</t>
  </si>
  <si>
    <t>很好 很合适，尺寸标注的好，买来就比较合适。</t>
  </si>
  <si>
    <t>以后多点这种福利。 个人感觉这是亚马逊这次会员日的最大福利。比超市便宜几乎一半以上。一次囤了大半年的用量。</t>
  </si>
  <si>
    <t>合身 身高173，体重65，胸围95，肩宽46，穿着刚刚好。</t>
  </si>
  <si>
    <t>颜色花哨，有的人喜欢 帮别人买的，他觉得很好看，合脚，舒服</t>
  </si>
  <si>
    <t>美国版的码太大 还是日本线的适合亚洲人体型</t>
  </si>
  <si>
    <t>包装内有水珠 打开包装后发现滤芯上有水珠。第一件打开后发现有水滴以为是偶发现象，今天打开第二件，仍然有水珠。咋回事？</t>
  </si>
  <si>
    <t>海外购，便宜，稳定 1、外观与造工真的很一般！ 2、USB3.0写入能稳定在75M/S，比国内的很多好了很多！ 3、海外直邮的速度真的很一般！</t>
  </si>
  <si>
    <t>过于肥大 187cm，88公斤，穿上很肥大，应该要XL</t>
  </si>
  <si>
    <t>一箱里面只有十个不说！！打开一个，袋子里面有水！！！反应半天，没有人理我 购物这么多年，相信是自营的，每次买很多箱，不会每箱打开看，结果真让人意外。一支里面都有水，打算看看一整箱里面什么情况，结果翻出来一数，让人吃惊的是只有十个（包括我开封的那个），就因为相信亚马逊自营才这么放心，不会去看，谁想到足足少了两个！！！几个意思几个意思！！！！！给一颗星都嫌给多了！联系客服，没人理我这茬</t>
  </si>
  <si>
    <t>一只耳机已坏，翻新货无疑 3月多买的，现在已坏</t>
  </si>
  <si>
    <t>比较满意。 176，76kg，总体稍小。</t>
  </si>
  <si>
    <t>鞋是好鞋一双，但亚马逊的商品介绍严重不详细不合格 鞋是好鞋一双，刚上脚鞋底较硬，我上脚磨合了一天后就很适应了，越走越舒适。主要是这双鞋鞋垫对足弓有足够的支撑。鞋码标注肯定是亚马逊的问题，不过这么明显的错误诸位看官看不出来吗？9-9.5DMUS是43码，现在亚马逊尺码表已更新。没在美亚买过ecco，但英亚的两双ecco鞋尺码均非常标准。因为这个失误给减去一星评四星。</t>
  </si>
  <si>
    <t>味道好 不错👌</t>
  </si>
  <si>
    <t>样子不错 我he楼上的看法一样，根据这个型号在其它网站查了一下，发现样子挺好看。</t>
  </si>
  <si>
    <t>还不错，那个柄角度能再斜点就好了 还不错，现在用的不多，以后背奶了再用。那个柄角度能再斜点就好了，奶水流下去更顺畅，用起来也更方便</t>
  </si>
  <si>
    <t>颜值高，保温效果好 美美哒，和图片一样，满足了我今年喜欢红色的爱好。保温效果很好，昨天晚上8点左右闷了两个鸡蛋，早上6点起来水还烫手，鸡蛋熟透了</t>
  </si>
  <si>
    <t>对应尺码以后最好标清楚点 Ecco一直穿41码，没有41码的选项，所以选了7号,结果发来双40码。小了，海外购也不知道怎么换，又重新买了一双。鞋子质量好评！泰国产，比以前买的斯洛文尼亚产的稍差一点点。</t>
  </si>
  <si>
    <t>含锌和紫锥菊的小熊糖 看着还不错！价格也不错！</t>
  </si>
  <si>
    <t>好 是骨瓷的很有质感</t>
  </si>
  <si>
    <t>推荐 同品牌买了两个都很满意，外观质感使用体验满分！75A的建议尺码此款M号。</t>
  </si>
  <si>
    <t>弹性不错 很不错，弹性很好</t>
  </si>
  <si>
    <t>很好 很好，非常好！很棒，非常棒！</t>
  </si>
  <si>
    <t>棒 价格便宜，使用安全，喜欢绿色的。推荐购买。</t>
  </si>
  <si>
    <t>不错 看上去不错8天到南京，寒冷地用多了排水口适合-20-40度，才到就打九折伤心</t>
  </si>
  <si>
    <t>愉快的购物 非常好的鞋子很满意，价格很便宜</t>
  </si>
  <si>
    <t>运动中会不会出现保护脚踝受伤 感觉很不错，等上场机会</t>
  </si>
  <si>
    <t>略大 有些大了，下摆适合臀围大的。</t>
  </si>
  <si>
    <t>法国品牌，比爱仕达和苏泊尔的好多了，价格比爱仕达和苏泊尔便宜一半 法国品牌，比爱仕达和苏泊尔的好多了，价格比爱仕达和苏泊尔便宜一半</t>
  </si>
  <si>
    <t>很好 衣服很满意</t>
  </si>
  <si>
    <t>非常完美！ 一口气买了三种颜色，下了一单但是日亚竟然给三个耳机分成三个包裹，墙都不扶就服日亚，包装极度给力，耳机外盒保护得非常完美。下文简单介绍下耳机。 ▲音质方面：就个人的听感而言，调音比较适合听流行乐、摇滚，大概运动时听得比较多的重低音和动次打次表现得还行，至于女毒、空气感之类的就不要在这个价位的便携无线耳机上找了  目前的几耳朵感受的话，音质对得起这个价格，甚至有点超出预期。 ▲佩戴：和苹果自带耳机几乎一样的半入耳式设计，长时间佩戴相当OK，没有SE215那种入耳式的鼓涨感，没有大法头戴式耳机的捂得耳朵发热，比创新Air的轻盈无感佩戴要存在感多一点点，但是戴着原地蹦跶几下或者慢跑散步通勤是不会掉下来的。在听诊器效应方面，估计是由于采用了扁面条式的线材，目前还没感受到什么听诊器效应。至于跑步时会不会有听诊器效应还有待测试~ ▲续航：官方标称有6H续航时间，在我目前的使用中结合电量显示的变化来估计的话是可以用到6小时的，连续听了2.5H，系统显示的电量仍剩余超过一半。轻度使用可两天一充，重度的话一天一充差不多。不知这个能否用充电宝临时充电，还有待考证。充电速度方面一般1~2H就能充满。 ▲蓝牙连接质量：绝大部分时候是稳定的，在家里隔一堵墙在5m内没问题，更远的距离就没有刻意测试了。参数中规中矩，支持蓝牙4.0，A2DP v1.2、AVRCP v1.5、HFP v1.5、HSP v1.2等协议。目前遇到的一点声音卡顿是在笔记本在旁边连接2.4G频段WIFI进行下载时出现的，会有不明显的间隔时间较长的偶发卡顿，我把笔记本切换到5G连接后暂时还没有再出现卡顿。</t>
  </si>
  <si>
    <t>保暖 合身 给妈妈买的，XXL很合适。（65kg）</t>
  </si>
  <si>
    <t>一双好鞋 基础款的训练鞋，软硬适中，适合慢跑热身。喜欢运动墙裂推荐此款，性价比高。</t>
  </si>
  <si>
    <t>很好的龙头，快递速度也很快 很好，很漂亮，价格也合适</t>
  </si>
  <si>
    <t>商品性能和外观 买了还没开始用，看上去外观不错</t>
  </si>
  <si>
    <t>质量不错 金属的，翅膀会动，沉甸甸的</t>
  </si>
  <si>
    <t>lee衬衣 领角有些大，全棉，号偏大。还不错</t>
  </si>
  <si>
    <t>非常好用，冲得很干净 非常好用，冲得很干净，这个放办公室，中午吃好冲一冲</t>
  </si>
  <si>
    <t>不到一年半线材老化严重 用了不到 一年半的时间  感觉用的也不是太频繁  线材已经老化严重  像是要融化了似的  海外购还没保修的地方  尴尬了</t>
  </si>
  <si>
    <t>基于牌子购买 做工很差， 线头多，面料很差， 完全基于品牌买的，袖子超级肥， 172 70kg 买的S号，刚好， 就是袖子太大</t>
  </si>
  <si>
    <t>质量一般，料子和裤型一般。 裤子大小合适，大家买号数不要太大，会比国内的大两号，我身高179，体重85，L码还很宽松。</t>
  </si>
  <si>
    <t>售后怎么处理 回来就是坏的 不知道怎么弄 有转换器 也不知道怎么修 500块买个教训</t>
  </si>
  <si>
    <t>退款额 已经退货很久很久了，但退款却迟迟没有收到。  PS，裤子尺寸超级超级大</t>
  </si>
  <si>
    <t>奶嘴是脏的！明显是旧的，被人用过的。 奶嘴是脏的！像是被人用过了。这么脏的奶嘴怎么给宝宝用？宁愿扔掉。本来很信任亚马逊的，没想到竟然这样。失望至极</t>
  </si>
  <si>
    <t>质量不错 176.75公斤身体部分刚刚好，手臂部分有点大和长</t>
  </si>
  <si>
    <t>总体还行 还行，就是噪音很大</t>
  </si>
  <si>
    <t>贵点 使用不错，是正品。哈哈写字少不让</t>
  </si>
  <si>
    <t>80分 颜色、皮质、鞋底、做工都还好，好走路，但很快起了折痕。</t>
  </si>
  <si>
    <t>鞋偏瘦 鞋偏瘦，着地感觉不错。</t>
  </si>
  <si>
    <t>声音 还行吧，声音不大</t>
  </si>
  <si>
    <t>真正的铁锅 锅不错，买第二个了</t>
  </si>
  <si>
    <t>提升幸福感 热奶泡、冷奶泡做成热拿铁、冰拿铁；热黑咖、冰黑咖，各种做法随心所欲，满满幸福感！</t>
  </si>
  <si>
    <t>尺码合适 整体不错，实物没有图片漂亮，试了一下，尺码合适。</t>
  </si>
  <si>
    <t>推荐 还不错，两个宝宝都在使用</t>
  </si>
  <si>
    <t>非常舒服 非常舒服的内衣，一点都没有勒的感觉，也很随身，而且没有肩带滑落的烦恼。</t>
  </si>
  <si>
    <t>裤腰过大 我平时2尺3腰围，定的是8码，结果穿上带绒的打底裤，还肥1寸，下回再买他家裤子，空身穿应该要4码比较合适，冬天穿买6码就行。裤子版型是我要的那种，传统直筒裤，不显腿粗，我身高1.73，重63kg，臀围92cm，希望大家可以借鉴一下</t>
  </si>
  <si>
    <t>果然名不虚传 口感很好，用过的最好的漱口水，喜欢</t>
  </si>
  <si>
    <t>感觉很好 感觉还不错，值这个价格！</t>
  </si>
  <si>
    <t>完美体验 176、67kg，32/30裤长腰围非常完美，一周送达，真的怀疑不是美亚的货品，但快递单应该不会蒙我的，好评！</t>
  </si>
  <si>
    <t>喜欢这款恒温龙头 这款龙头恒温功能最赞，而且很重，品质很棒</t>
  </si>
  <si>
    <t>挺好的 真是妈妈裤，裤腰很高，应该能挺舒服，日亚从不失望</t>
  </si>
  <si>
    <t>五颗星 美亚直邮，比较放心，日期新鲜，到20年4月份，好评。送给外婆的，对关节好。</t>
  </si>
  <si>
    <t>非常好 太太太舒服了，超预期！！！</t>
  </si>
  <si>
    <t>SanDisk 闪迪 Ultra 3D NAND 500GB SanDisk 闪迪 Ultra 3D NAND 500GB，速度快稳定</t>
  </si>
  <si>
    <t>评价 180cm，95kg穿XL大了一点点。应为L码价格贵一半，衣服很薄适合户外。防水效果嗷嗷滴。</t>
  </si>
  <si>
    <t>手感好 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</si>
  <si>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手感粗糙但很厚 料子很厚，摸上去很粗糙，白色黑色各买了一件，还是白色更好看一点</t>
  </si>
  <si>
    <t>不错，打网球穿合适 183cm，69kg，我买的M，看胸围合适，下单。回来感觉也满意，里面带抓绒，舒适</t>
  </si>
  <si>
    <t>好用 马力足，可以用在很多地方，好用</t>
  </si>
  <si>
    <t>物有所值 按照尺寸买，大小合适。产品和描述的一样，质量不错，在南方，初春 深秋穿正好</t>
  </si>
  <si>
    <t>亚马逊的蛋白粉还是值得信赖的 总体还不错，蛋白粉很细</t>
  </si>
  <si>
    <t>棉服 不是羽绒服，是棉服。</t>
  </si>
  <si>
    <t>尺寸 有点小了。说好的可以适合175-185，我180觉得才有正常的170-175。个人觉得，其他还好，工艺还挺干净，挺薄的。</t>
  </si>
  <si>
    <t>很普通很普通很一般很一般的一支笔 笔盖很松，申请换货了一支，收到的依旧是松的，笔头与笔杆的也松的，但放多一支墨胆后就不松了，书写还算流畅，但也有点刮纸，80多一支这样的笔，感觉不值得，太山寨了，很普通的一支笔。</t>
  </si>
  <si>
    <t>面料廉价 面料很差，机油味，廉价的确良的感觉。</t>
  </si>
  <si>
    <t>和面 这个是不是不能和稍微硬一点的面啊？只能和稀面吗？为什么活着活着下面的盆会飞出来～</t>
  </si>
  <si>
    <t>质量问题 买了两件 一件黑色的一件粉色 粉色可以正常使用 黑色 声音很震动都很异常 不知道怎么售后</t>
  </si>
  <si>
    <t>不建议购买 没有吊牌；针脚很差；像旧衣服；码数偏大</t>
  </si>
  <si>
    <t>美貌 好看，但是把太沉，放在碗里容易翘起来</t>
  </si>
  <si>
    <t>包装稀烂破旧 包装太烂，装滤芯的纸盒又破又旧，产地英国，但是这里产的滤芯没标制造日期，心里忐忑 使用，试用了一个倒是还行。</t>
  </si>
  <si>
    <t>GUNZE 郡是 无钢圈文胸 太松，带子变形</t>
  </si>
  <si>
    <t>稍小点 怎么会总体评论是偏大呢，难道我们买的不是同一款。东西不错，略小点，170cm62kg买的是s码，略紧。</t>
  </si>
  <si>
    <t>不错，使用很方便 不错，使用很方便</t>
  </si>
  <si>
    <t>比较长 衣服比较长，包住拉链了</t>
  </si>
  <si>
    <t>太可爱啦啦啦啦啦～～～ 太可爱啦啦啦啦啦～～～</t>
  </si>
  <si>
    <t>连运费+税费 合 200多一点点，174身高 73kg 穿 33W32L 稍微有点儿大，不错，很合适。颜色也很好看。！~ 连运费+税费 合 200多一点点，174身高 73kg 穿 33W32L 稍微有点儿大，不错，很合适。颜色也很好看。！~</t>
  </si>
  <si>
    <t>国内的要穿m码  海外购的是s码  整整大了一码 总体来说还是不错的，衣服个别地方填充的保暖材料有分布不均匀的情况，能摸比较硬的手感出来。身高 169cm  体重70kg  s码挺合身的。</t>
  </si>
  <si>
    <t>低价到手，音质初听还行 495到手低价入的，第一试听还行，应该是正版，现在等煲机后听听效果如何</t>
  </si>
  <si>
    <t>价格合适 非常好，价格合理</t>
  </si>
  <si>
    <t>推荐 震动一如既往的大，剃干净需要往复多次，但很快也可以剃干净。不晓得多刀头怎样，但价格摆那里，手来回多动几下省几百块挺好。鬓角修剪器我觉得没用，所以选了这款，多个修剪器多100块，大家可以根据自己需要选择，而不是功能多就是好。</t>
  </si>
  <si>
    <t>买长了 欧码没把握好，买长了。质量还行！</t>
  </si>
  <si>
    <t>好看炸 貌美貌美貌美 穿上显脚小 好看炸</t>
  </si>
  <si>
    <t>维生素不错！ 第二次购买了，推荐。</t>
  </si>
  <si>
    <t>uni 书写好顺滑。物超所值。就是快递慢点</t>
  </si>
  <si>
    <t>还不错的购物体验 稍微有些大，其他都挺好的</t>
  </si>
  <si>
    <t>耳机 使用之后觉得很满意，这个价位的耳机这一款可以说是很不错的</t>
  </si>
  <si>
    <t>过大 我穿16这次买的14刚好</t>
  </si>
  <si>
    <t>值得购买，物美价廉 挺好的！不算小。</t>
  </si>
  <si>
    <t>外观很漂亮 很不错，比国行便宜大概一百块左右，个头小巧美观，4t的略厚但能接受，试了下传输写入速度大概八十兆左右。在这里不得不吐槽下亚马逊的退换货，下单后取消订单没成功，发货后点退货也是老老实实的先寄到我手里再退货，虽然客服美眉说可以拒收包裹然后给我全额退款，但我不想折腾亚马逊还是收下了包裹。不过在拆开包裹的那一瞬间觉得这是明智的选择，没另我失望。</t>
  </si>
  <si>
    <t>62KG，腰围31码，中码偏肥 62kg,腰围31。中码肥，应该选小码。懒得退，送给外甥，他23，身高180</t>
  </si>
  <si>
    <t>正品 正品无疑，喜欢！</t>
  </si>
  <si>
    <t>鞋子很好 非常好，大小合适彪马的鞋要按照脚长买</t>
  </si>
  <si>
    <t>好 埃及产，穿着非常舒适，加税前买了四条</t>
  </si>
  <si>
    <t>这价格很实惠 不到30一个，比国内京东天猫便宜多了。和国内买的相比，刷头插拔稍微松一点，刷头上的数字批号不同。</t>
  </si>
  <si>
    <t>表带易生锈 不锈钢生锈了？？？尴尬.......</t>
  </si>
  <si>
    <t>一般般 感觉像样品！</t>
  </si>
  <si>
    <t>这个好用 不错哈，喜欢，会经常用的</t>
  </si>
  <si>
    <t>史上最差的裤子，宛如硬纸板做的。 如果可以打分，满分100，我给10分，有裤子的形状，但是就像硬板纸做的，史无前例。不可想象。。。。</t>
  </si>
  <si>
    <t>假 质量非常非常！！差劲！！！ 裤带都是软的 ！假货！！！ 我又从新西兰找人直邮买了三条，这条就是假的！！！ 假货假货！</t>
  </si>
  <si>
    <t>终于收到了 颜色偏灰，不如图片上的颜色好看，海关卡了半个月才收到，担心被退回，上身还行，稍大了点，以前一直穿哥伦比亚的，冬天静电啪啪的，试下北面这款无静电的怎么样。</t>
  </si>
  <si>
    <t>衣服满意，对客服有话想说 质量挺好的，主要是价格很实惠，这个很满意，但是亚马逊把我手机号码接听亚马逊回拨这个权利给限制了，特别不满意，买这么多东西出任何问题怎么联系，???希望亚马逊早早给予解决，还有某些客服竟然信口开河的乱给答复！</t>
  </si>
  <si>
    <t>踢不爛pro初評 41碼買了8ee的稍大，7.5會合適些；稍有瑕疵跟線頭，但總體感覺還是滿意的。跟redwing一樣擱腳初穿。下單到拿到貨9天拿到算快。</t>
  </si>
  <si>
    <t>好看的短靴 鉴于退货运费，鞋子只能买大不买小，平时38-39的皮鞋，这次买的5.5，大了些，但宽度差不多，反正是靴子大点也无所谓。鞋子性价比高，表白亚马逊</t>
  </si>
  <si>
    <t>物有所值 声音太大，其他还好，算是对的起这个价钱</t>
  </si>
  <si>
    <t>champion拉链衫运动款超赞 春季时节最适合穿这类衣服，透气、合身，casual一点，假期出游更舒服。</t>
  </si>
  <si>
    <t>高颜值 好锅 &lt;div id="video-block-RPY7SIWDP6O2R" class="a-section a-spacing-small a-spacing-top-mini video-block"&gt;&lt;/div&gt;&lt;input type="hidden" name="" value="https://images-cn.ssl-images-amazon.com/images/I/91-84zN3-aS.mp4" class="video-url"&gt;&lt;input type="hidden" name="" value="https://images-cn.ssl-images-amazon.com/images/I/71LfJlb3FlS.png" class="video-slate-img-url"&gt;&amp;nbsp;颜值满分 真的重啊 用的不多 但是很有仪式感 喜欢 商品就放在一个巨大的盒子里寄过来的 这样真的好吗？锅子重 感觉这样的包装不是特别有效 收到手有没有磕碰全看运气</t>
  </si>
  <si>
    <t>颜色有偏差 不错的衣服，颜色有偏差</t>
  </si>
  <si>
    <t>不错 比国内偏大一个码，但是质量不错</t>
  </si>
  <si>
    <t>材质舒服 挺好，材质比较舒服，版型也修身</t>
  </si>
  <si>
    <t>不错 在无钢圈内衣里算是好看的啦，喜欢，唯一的确定是杯的形状有点怪，有种尖尖的突起的感觉（不知道怎么说，椎体感吧）</t>
  </si>
  <si>
    <t>爱高腰 高腰牛仔裤好难找 凑齐七色可召唤神龙 为了不用重新买裤子我也不能胖</t>
  </si>
  <si>
    <t>满意 比国内鞋码大，鞋底软软的，穿着舒服，走路弹力不大，鞋子不适合走路</t>
  </si>
  <si>
    <t>囤货的 还有十几天才生，买来备着产后用的。希望有用。物流很快，14号发的货，17号就到了</t>
  </si>
  <si>
    <t>耳机  比女人可靠 配我的a1  堪称人间胸器</t>
  </si>
  <si>
    <t>很好 穿着舒服，伸展随意</t>
  </si>
  <si>
    <t>国内LEE的尺码一样，偏大1码 国内LEE的尺码一样，偏大1码。。。。。。。。。</t>
  </si>
  <si>
    <t>不错 老婆用了很满意，应该有效果。。。。。。。。</t>
  </si>
  <si>
    <t>穿着舒适，弹力大 很不错的袜子，穿着非常舒适，弹力很大，体重150的胖子也能穿</t>
  </si>
  <si>
    <t>确实不错 我就想说这是我买的同款第二件了。现在价格涨了，初春穿正合适。</t>
  </si>
  <si>
    <t>整体不错 秒针指针很准，表盘真的很大气，个子小的掂量下，唯一担心的就是表带不耐用，下单到送货5天时间，速度很快</t>
  </si>
  <si>
    <t>满意 178cm  63kg，买s正好合适，质感不错</t>
  </si>
  <si>
    <t>很好 品质不错，颜色也好，以后还会再买</t>
  </si>
  <si>
    <t>实用型杯子 这个杯子特别好，不同阶段换不同的被子盖就好了，我家宝贝6个多月就开始用吸管杯，他还挺喜欢的。</t>
  </si>
  <si>
    <t>尺码表很准 很不错，厚实，尺码表很准</t>
  </si>
  <si>
    <t>可以说是目前最主流的sata接口的tlc固态硬盘了，各方面都很均衡，没有任何的短板和不足，买固态就是要买大品牌才能放心，三星一直是最牛逼的闪存供应商之一。 可以说是目前最主流的sata接口的tlc固态硬盘了，各方面都很均衡，没有任何的短板和不足，买固态就是要买大品牌才能放心，三星一直是最牛逼的闪存供应商之一。评分我跑了下，差不多1200左右吧，就不晒图了，没意思，能用就行了。多说一句，亚马逊的服务真的是又快又好</t>
  </si>
  <si>
    <t>第一在这上面买东西。 四天就到货了，真怀疑是不是假货，国外到中国这么快？不建议买。</t>
  </si>
  <si>
    <t>中等推荐 做工还可以，皮带扣有点粗糙，上面还有胶水，有点原始，买的最小码的，有点偏短。</t>
  </si>
  <si>
    <t>阿哲 好吧，手感不太好</t>
  </si>
  <si>
    <t>为什么发马上快过期的货 2019.6.4收到货，买了两瓶，有效期为2019.10，距离到期时间只有3个月，只能差评！！！</t>
  </si>
  <si>
    <t>保质期还有三月 保质期到17年12月，也是醉了</t>
  </si>
  <si>
    <t>好 挺不错的，简洁大方，适合瘦一点儿的男士戴</t>
  </si>
  <si>
    <t>东西值 东西很好很快哇 没有一个礼拜就到了 有点厚实 偏长 第一次在中国亚马逊买 很好 下次还会继续买</t>
  </si>
  <si>
    <t>质量还行，没出现别人说的商标脱落 质量还可以</t>
  </si>
  <si>
    <t>180 60KG，腰围偏大 要用皮带，不然腰部明显偏大，口袋容量超大，可以放下500ml的饮料还扣上，立体裁剪站立的时候看有点皱皱的感觉，面料感觉挺不错</t>
  </si>
  <si>
    <t>里面线头多感觉没缝合好 还不错，就是里面剪裁线头超级多还缠在一期，又不太敢剪，怕开线，有点失望</t>
  </si>
  <si>
    <t>好 很合身，还很便宜</t>
  </si>
  <si>
    <t>满意！ 挺紧致，质量不错！</t>
  </si>
  <si>
    <t>裤子大了点 略大了点 欧码 184的长度适合</t>
  </si>
  <si>
    <t>比Lee性价比高的多 买了好几次，终于知道哪个尺码合适了……</t>
  </si>
  <si>
    <t>非常舒服 非常舒服，比微商手里买的好多了</t>
  </si>
  <si>
    <t>不错的衣服 衣服做工不错，大小合适。</t>
  </si>
  <si>
    <t>挺便宜的 还不错，比预想的好</t>
  </si>
  <si>
    <t>舒适合身 质地柔软，不很厚，夏天也可以穿，175cm，68kg穿w31略宽松，喜欢紧绷的可以买小一码</t>
  </si>
  <si>
    <t>舒适，性价比高。 大小合适，面料舒适，轻松无束缚感。</t>
  </si>
  <si>
    <t>超值好用 赶上打折，带税不到六百，比国内行货便宜一半多，超值啊！清理的很干净，无线也很方便</t>
  </si>
  <si>
    <t>保温壶 外观景美，保温效果好</t>
  </si>
  <si>
    <t>推荐 舒服。当睡衣穿，不错的选择</t>
  </si>
  <si>
    <t>挺喜欢的 平时穿的W30L30，看过评论选的W29L30果然就合适了。送来的时候是卷着裤腿寄来的，完全皱巴巴的。需要洗了再熨。 然后是对裤子本身的评价，布料摸起来很舒服，有质量。颜色灰色，灰的比图片上的深，算是深灰色了。穿起来裤腿也不会和图片上的那么修身，算是感觉休闲吧。裤子上有8个深浅不一的口袋，是拿来装东西还是起装饰作用，就看个人喜好了。</t>
  </si>
  <si>
    <t>机子好用 机子很好用，和面绞肉馅很快速</t>
  </si>
  <si>
    <t>很棒哦 165.52，S码刚刚好。全棉很舒服，会再买的。 追评：黑色会掉色。。。不知道多洗两次会不会好些。。。</t>
  </si>
  <si>
    <t>喜欢 质量不错，尺码也比较标准，身高165, M号穿着修身。</t>
  </si>
  <si>
    <t>一米劳时装表 每日固定快18秒，就算是不错的成绩。</t>
  </si>
  <si>
    <t>便宜 性能可以，价格还是便宜</t>
  </si>
  <si>
    <t>大小合适，舒服 价格便宜，媳妇说个事，想再买，等待价格调整到合适时候入手。</t>
  </si>
  <si>
    <t>非常合身 本人178CM,重160.大小合适</t>
  </si>
  <si>
    <t>有点掉色 180、73KG买了L码的，大小合适，过了下水，会掉色！穿着舒适，凉爽！</t>
  </si>
  <si>
    <t>好穿！推荐！ 产后买了那么多款塑体裤，这是最好穿的一款。穿的时候很紧，穿上居然不勒着，好评！</t>
  </si>
  <si>
    <t>不错 尺码标准，只是裤腿偏肥！总的来说还行</t>
  </si>
  <si>
    <t>不能保温 其他没毛病，关键是！不能保温啊！</t>
  </si>
  <si>
    <t>偏大，没弹性 5天到了。衣服偏大，布料没有弹性，也好在大了点，不然穿着受罪</t>
  </si>
  <si>
    <t>型很怪，又压又空又尖! 码应该是对的，但罩杯太浅，压胸。而且型很怪，又压还顶尖又空，位置不对!我还一下买了四款，都不合适!日本胸罩以后不能买了！</t>
  </si>
  <si>
    <t>太大，海淘真是欲哭无泪 本人175，70kg，上身瘦点，S码还是大，衣长69，肩宽49，袖长66，驾驭不了，太大了</t>
  </si>
  <si>
    <t>挺贵的鞋怎么可以如此差 做工太粗糙，不知道是我买这个鞋不好还是整体就这个水平，穿着脚感也很差，关键的关键是穿着卡的脚踝疼死了，收到货一个多月一直也没有穿，只是当时试穿了一下大小，今天出门着急，直接穿着就出差，半天时间没走多少路脚踝就疼的不行了，太坑了</t>
  </si>
  <si>
    <t>尺码标识混乱，尺码表也不对，又不方便换码，每次海淘都是碰运气 选的25.5cm，看尺码表应该是对于的美码9-9.5，结果是10-10.5，大了一码啊</t>
  </si>
  <si>
    <t>一般 裤子样子不错，但单薄了很多，不是这个牌子该有的感觉，裤子往小了买，还是大了，退换要125块运费，太贵，剪短当夏天的裤子穿了，只能说，一般吧</t>
  </si>
  <si>
    <t>飞利浦3代 和国行版不同的一点，没有杯子 使用快一个月了，一直都用敏感档，牙龈出血有一点儿改善</t>
  </si>
  <si>
    <t>一般 感觉裤腿略肥了点，也感觉有些薄，有弹力的。我买的同款另一颜色不这样，那款较厚且较修身。四分吧。</t>
  </si>
  <si>
    <t>非常实惠！ 非常实惠！品质可靠~~</t>
  </si>
  <si>
    <t>质量很好 刮水果不错的工具！哈哈</t>
  </si>
  <si>
    <t>不错 很好，孩子吃的要放心才能买，</t>
  </si>
  <si>
    <t>威迪文权威M尖钢笔 书写流畅，外形美观，但美中不足是不含吸墨器，我用了一个闲置的senator钢笔吸墨器，刚好适配</t>
  </si>
  <si>
    <t>很好 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</si>
  <si>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The best fountain pen I have so far I'v got half a dozen fountain pens and this is the best one I have so far for its smothly writting, evey stroke I wrote is good feeling.</t>
  </si>
  <si>
    <t>质量很好！运行速度够快！ 质量很好！运行速度够快！</t>
  </si>
  <si>
    <t>搅拌机 方便好用，噪音小，适合三口之家。</t>
  </si>
  <si>
    <t>男装买的是合身。 品牌商品，卖家提供的服装叁考后购买。完全合适。值得。点赞。</t>
  </si>
  <si>
    <t>非常好 不错，做工精细，出水压力大。很好！</t>
  </si>
  <si>
    <t>好鞋 正是我想要的，尺码刚好</t>
  </si>
  <si>
    <t>https://www.amazon.cn/dp/B06Y6GHHRR/ref=cm_cr_ryp_prd_ttl_sol_1 商品质量很好，请放心的购买吧，尺寸大小和客服介绍的一样，我穿着正好，身高176，体重135斤。</t>
  </si>
  <si>
    <t>好的内裤 前前后后买了十几条内裤，都很好，没有让我失望，亚马逊购物还是很方便的，售后也很棒，谢谢！</t>
  </si>
  <si>
    <t>机器做工很棒！ 比双11天猫旗舰店卖的质量有保证，还更优惠，整套原配品质，搭配Lavazza胶囊，味道超级赞，比我德龙现磨咖啡机都好喝，大赞！</t>
  </si>
  <si>
    <t>会回购的 很好用，牙龈肿痛用这款有效果。</t>
  </si>
  <si>
    <t>比较合适 不错，尺码很舒服，穿着也舒服</t>
  </si>
  <si>
    <t>完美！ 第一次海外购，非常好的一次购物，到货时间比预计少用一半时间。 尺码问题看了其他人的评论，腰围确实是要比平时小一个尺码才正好。</t>
  </si>
  <si>
    <t>尺码刚好 长度尺码刚刚好，165-63，参考一下</t>
  </si>
  <si>
    <t>好用的面条机 很好用</t>
  </si>
  <si>
    <t>合适 质量很好，夏天穿的。175体重146正合适M</t>
  </si>
  <si>
    <t>舒适 面料亲肤，舒适感体验好</t>
  </si>
  <si>
    <t>好用，囤货，便宜 好用，舒服，吸收好，没感觉，适合自己的都是好的</t>
  </si>
  <si>
    <t>洗后变形 布料偏薄软，手感舒适。但是手洗了一次后变形得厉害，衣服拉长了很多，可以当裙子穿了。</t>
  </si>
  <si>
    <t>实际尺码偏小 这条裤子的尺码有点偏小</t>
  </si>
  <si>
    <t>手表好，包装差劲，国内购买注意 首先，手表很好，然后，你们的包装确定是跨国用的？甚至没有某宝的包装好，只用一个袋子装着，我打开包装的时候手表的包装已经变形的厉害，所以给你3星，手表满分，快递满分，包装0分</t>
  </si>
  <si>
    <t>有点贵，感觉不值得这个价，做工一般。 有点贵，感觉不值得这个价，做工一般。</t>
  </si>
  <si>
    <t>新的就烂了一个洞洞。 穿的没有穿，就下水洗了一下，就这样了，很差的一次购物体验。</t>
  </si>
  <si>
    <t>物有所值，这是以价格定质量啊！ 样子还可以，就是表盘的数字不带夜光差评，表盘玻璃不抗划，我的表现在就划伤了！很失望😔</t>
  </si>
  <si>
    <t>面料太差 和国内的比质量差太多了</t>
  </si>
  <si>
    <t>最慢的一次海外购！ 1.27下单，等了3周才到，不爽！刚插上的时候，声音感人！！！嗡嗡嗡～～～像拖拉机一样，整个桌子都在抖，以为翻车了！还好慢扫全绿，通电十几小时后，拷了点数据进去，噪音降低不少，难道还有磨合期一说？氦气盘，希望耐用～～</t>
  </si>
  <si>
    <t>没什么标题 1:有色差 而且色差巨大 2:皮软，所谓划痕……指甲一碰就是痕，这是因为皮子材质问题 3:我一般鞋子穿41 41.5这个7.5刚刚好</t>
  </si>
  <si>
    <t>质量不错，有褪色 姨衣服比之前买的那件好多了，但是还是存在褪色的问题，洗过两次了，颜色腿的不严重，再穿穿看吧。建议比国内买小一号</t>
  </si>
  <si>
    <t>日本企業精益求精！ 相信日本企業无假貨，用了真的不錯👍</t>
  </si>
  <si>
    <t>保温很好 保温的确很好，接近20小时的开水，水还是很烫。唯一不好的地方就是杯盖在盖紧的状态下，还会小幅度的晃来晃去，就怕晃着晃着松掉--漏水。</t>
  </si>
  <si>
    <t>非常好用的一款眼霜。 这个眼霜真的是太好用了，又不油腻，又不厚重，很清爽，抹了几天，使用感受很好，减少细纹的效果需要长期使用</t>
  </si>
  <si>
    <t>好用 好用！现在宝贝几乎每天都用！</t>
  </si>
  <si>
    <t>很完美 非常棒的购物体验，鞋子也出乎意料的好，速度很快，我都不相信是从美国寄过来的，客服解决问题的相应时间也很迅速，解决问题的方法很恰当。就是鞋子的码数偏大，建议买小一码。</t>
  </si>
  <si>
    <t>很快很强大 装在5D3上，速度很快。</t>
  </si>
  <si>
    <t>推荐购买 己使用一个多月  很好  满意  推荐购买</t>
  </si>
  <si>
    <t>非常好！ 非常完美的一次购物体验！海外购裤子就怕不合适，还没法退，没想到颜色很正，尺码正合适，面料也很好，以后买裤子有固定选择了。 ps，我180身高，155体重，34.32正合适。</t>
  </si>
  <si>
    <t>衣服很漂亮 身高192，体重86，L码，我感觉还有点大，但不敢再小了</t>
  </si>
  <si>
    <t>买的z实惠，价格很好 特价的经常错过，突然看到z实惠，就是包装毁了，才一百四十多立即买了。东西到手都完好，亚马逊重新包装了感觉还可以，反正包装买回来也分分钟扔掉的 还是很实惠</t>
  </si>
  <si>
    <t>还不错 东西可以就是调电波还不会，反显比较难看清，493买还演什么自行车</t>
  </si>
  <si>
    <t>非常棒！很合适！ 女生 37的脚穿着稍微大一点点 非常好！是哑光皮面！可以说是很好看了。</t>
  </si>
  <si>
    <t>好看 很实用，宝宝喜欢用杯子喝水</t>
  </si>
  <si>
    <t>提升生活幸福感的好东西 用起来感觉很好，牙结石比较重，东西到后去洗了牙，然后每天早晚电动牙刷刷牙后再用这个冲一冲，萎缩的牙龈都长出来了，就是注水容量太小，很快就要重新加水，所以家用的话还是建议买大的</t>
  </si>
  <si>
    <t>尺码偏小 鞋子很棒，已经买过几次了，但是尺码相较于阿迪、耐克偏小一码！</t>
  </si>
  <si>
    <t>高音声音纯净。 高音声音纯净，低音力量一般，毕竟小箱子，听音乐足够。</t>
  </si>
  <si>
    <t>没有上墨器 我切记 东西很好。正品。但是很刮纸。粗细就是f的粗细 我缺点是没有上墨器。还要自己另买了 切记</t>
  </si>
  <si>
    <t>显腿型 袜子很不错，很显腿型，零下不建议穿，春秋打底还是特合适的</t>
  </si>
  <si>
    <t>做工很好，声音平稳，但夹头 收到两天，感觉用手机直推也不是不可以，当然用耳放推会游刃有余一些。德国产地做工很好，螺旋线很有质感，耳朵也正好能包上。但真的夹头，尤其一边听歌一边吃饭，夹得腮帮子疼，不是很放松。目前还没煲开，感觉比较平淡，但比较真实反应音源。apex真的很快，48小时到我手上（广州）。</t>
  </si>
  <si>
    <t>切勿踢人。不摇滚者慎入。 做工是没的话说。细节尤其好。毕竟是“天怕兰”的出品。鞋型很粗旷，感觉是重体力活工人的装备。这种款雅皮士，不摇滚的中年人，喜欢不喜欢是个问号。穿着的舒适性其实很一般。主要是这鞋很重。切勿踢人！轻则骨折，重则致命。小个子购买的话，有增高的意义。大个子比较合适，五大三粗，更有男子气。近期亚马逊海外购的价格是可以接受的。</t>
  </si>
  <si>
    <t>衣服款式很棒 这是一款肥版的衣服，按衣服提供的尺寸购买即可，穿出来非常有范</t>
  </si>
  <si>
    <t>很舒服的裤子 我183cm高，83公斤重，买了一条34w/32L的刚刚好合适。穿起来感觉也很舒服，有弹性又柔软。一下子有买多了三条。</t>
  </si>
  <si>
    <t>还行 秋天的话可以只穿这一件。 但在冬天，穿一件这个，再加一件羽绒服，还是会冷。</t>
  </si>
  <si>
    <t>很好 正品，非常顺滑，以后还会继续买!</t>
  </si>
  <si>
    <t>长短合适 脚背紧 鞋型好看 脚背紧 痛心啊</t>
  </si>
  <si>
    <t>很普通 非常普通的腰带，按照说明买就可以。退的时候来不及了，买回来也是鸡肋，完全没有让人想用的感觉。</t>
  </si>
  <si>
    <t>尺寸 本人172，67kg，穿M号感觉略短小，建议有点小后悔，另外穿上脖子感觉有些紧</t>
  </si>
  <si>
    <t>一般 线头特别多</t>
  </si>
  <si>
    <t>两只鞋的鞋号不一样 刚开箱开两只鞋的成色不太一样，一个颜色略深，一个颜色略浅，就有点不爽，合计穿脚上也没人注意我就忍了。一看鞋号我就火了，难怪成色不一样，明显就是两双拼凑出来的，一个8号，一个8w号，还人为的把w给划掉了，你当消费者都是瞎子么。觉得天猫京东海涛不靠谱就上亚马逊，没想到亚马逊也这么恶心人。各位自己看图。</t>
  </si>
  <si>
    <t>假货 买回来两瓶全部只有半瓶不到！</t>
  </si>
  <si>
    <t>合适 裤子不错，有点弹性，穿起来不绷着。</t>
  </si>
  <si>
    <t>袖子太长 168cm，57KGS，S码，稍宽，袖子如图没有准确，太长了！</t>
  </si>
  <si>
    <t>反馈 墨水是黑的啊，为啥写红的？？？ 不过总体还不错，快递也很快，愉快的购物，希望尽快调整商品标签。</t>
  </si>
  <si>
    <t>好 比较满意的一次海外购，值得再次购买</t>
  </si>
  <si>
    <t>第一次在亚马逊，很满意 保温效果很不错，70度以上应该能保存六个小时以上，有点遗憾的是如果泡些东西喝着可能不会很顺。不过我还是喜欢喝白开水。推荐给那些想喝茶但是工作忙，倒了水之后来不及喝的朋友。随时打开随时有热水。才买了几天就掉了三十块。。。。。</t>
  </si>
  <si>
    <t>尺寸偏窄 舒适性很高，包裹性强，同尺寸比国内品牌要窄很多，长一点。做工不好，右脚鞋头向内偏，有溢胶现象。好在便宜。</t>
  </si>
  <si>
    <t>好东西 东西不错，款式质量可以</t>
  </si>
  <si>
    <t>合适 平时43，这个选9.5 US M正合适。</t>
  </si>
  <si>
    <t>还不错 挺满意，暂时没有什么问题</t>
  </si>
  <si>
    <t>性价比高 真好，大小正好，尺码标准。价格也好。</t>
  </si>
  <si>
    <t>舒服 很薄，夏天穿应该很透气</t>
  </si>
  <si>
    <t>Clarks 我喜欢 去年买了第一双，感觉很不错，这次又买了，一如既往的舒服，大爱clarks</t>
  </si>
  <si>
    <t>推荐购买的一块表 实物比图片漂亮，第一次使用电波表，自动对时很给力</t>
  </si>
  <si>
    <t>非常好 包装完美，刷头实惠，两人用一年半没问题。</t>
  </si>
  <si>
    <t>比国内便宜多了 比较实用 价格很有优势</t>
  </si>
  <si>
    <t>性价比不错 整体感觉不错，应该是正品</t>
  </si>
  <si>
    <t>完美 很完美，适合慢跑训练和跑马</t>
  </si>
  <si>
    <t>不读盘 这个硬盘有的电脑不能读盘,无法显示怎么弄</t>
  </si>
  <si>
    <t>非常好使 放在13套的洗碗机用不浪费，很好用</t>
  </si>
  <si>
    <t>质量不错 质量感觉不错，但是这个是比较紧身的，国内我穿m，这次买的s，因为按以往经验国外码大一个号，但是偏紧，建议正常买。</t>
  </si>
  <si>
    <t>挺暖和 收到就戴上了，挺暖和的，听感还可以</t>
  </si>
  <si>
    <t>推荐购买 性价比高，正品，非常赞。</t>
  </si>
  <si>
    <t>对付汗毛真的有用 很好！没有做到按照说明书的次数来用，但是效果也很明显，已经有俩月没用过了，但是汗毛明显比以前少了！很喜欢的一款！</t>
  </si>
  <si>
    <t>本人172cm，66kg，平常穿32，这个32很适合，裤型并非修身，个人比较喜欢宽松型牛仔裤，口袋可以放手机，放钱包，那种修身型的啥都放不了，不喜欢，所以很满意。 本人172cm，66kg，平常穿32，这个32很适合，裤型并非修身，个人比较喜欢宽松型牛仔裤，口袋可以放手机，放钱包，那种修身型的啥都放不了，不喜欢，所以很满意。</t>
  </si>
  <si>
    <t>好，划算 算下来一个才不到35 很划算了</t>
  </si>
  <si>
    <t>性价比高 非常满意</t>
  </si>
  <si>
    <t>差评👕 质量很差，一次不愉快的购物，下次再不光顾⋯</t>
  </si>
  <si>
    <t>一般般 袜子基本没有弹性，略硬，比较粗的棉线，脚感不太好。脚踝处会出褶皱，因为没什么弹性绷不住腿。不推荐。</t>
  </si>
  <si>
    <t>好重 厨房备用锅，养锅的经验还是不足，但感觉它的品质还是不错的。</t>
  </si>
  <si>
    <t>千万不要在这里买！ 真的是不要买！用了不到半年，电池进水，充不了电，没有售后，招淘宝修改之后，用不到两个月，出水又不顺畅了，真是很垃圾！！！！ 冲牙器不防水是在搞笑吗</t>
  </si>
  <si>
    <t>这么次的质量，海外购也要退出中国? 哪哪都是线头，第一次买到这么垃圾的ck，如果是真品的话。质量可能还不如地摊上20一条的那种。</t>
  </si>
  <si>
    <t>啦啦 不知道是不是真的，第三方啊</t>
  </si>
  <si>
    <t>London Fog 男士 前拉锁 Light Mesh Lined 高尔夫夹克 质量不错，尺码标准。</t>
  </si>
  <si>
    <t>全自动咖啡机使用很方便 做浓咖很方便，不过,不管mild 还是strong,每个口味都很浓</t>
  </si>
  <si>
    <t>正品 墨西哥产的，做工不是很细致线头有点多，尺码很标准！</t>
  </si>
  <si>
    <t>sw有中国生产的…… 细节如图，皮子比我在专柜买的lowland厚，缺乏弹性，原本是想退的，问客服说是有中国生产！</t>
  </si>
  <si>
    <t>挺好的 有点硬，其他还不错。</t>
  </si>
  <si>
    <t>囤货 宝贝还没有开始用，先囤下了</t>
  </si>
  <si>
    <t>物有所值 水杯很好和在日本买的一样。这次看到价格和直接在日本买的价格一样，就在亚马逊买了。看到有人评论产地是中国，想纠正一下，虎牌的水壶产地分本国产和外国产，即使在日本买本国产的价格是不会低于300的。</t>
  </si>
  <si>
    <t>舒服 夏天穿舒服 很凉快 薄杯</t>
  </si>
  <si>
    <t>不错！ 差不多一周就到了，比想象的快多了，鞋子不错，耐克一般43这双9m正好合适，给大家一个参考。</t>
  </si>
  <si>
    <t>质量可靠 虽然是工程塑料，但是制作精良，细节完美。混水阀的安装不简单，还有就是对于一般大陆家庭，安装冷热水时候需要延伸管。</t>
  </si>
  <si>
    <t>还可以 170cm,60kg小号偏宽松，感觉再小一码会更加合适</t>
  </si>
  <si>
    <t>好评 建议购入次平时偏大一号。好评。</t>
  </si>
  <si>
    <t>手表 东西真心不错</t>
  </si>
  <si>
    <t>实惠好穿 看起来有点大上脚正正好好  鞋子偏小要买大半号  穿起来很舒服  日本还是严谨  盒子超级新毫无破损</t>
  </si>
  <si>
    <t>超好的完整 完整维生素，和矿物质特别全，吃后感觉贴别舒服，对身体机能提升很有用！</t>
  </si>
  <si>
    <t>酷表 速度很快，隔天就到了，比淘宝卖家便宜好几十，而且也很有保障，所以更愿意在亚马逊购买。事实证明，相当靠谱。   表虽不贵，但很有质感，夜光忒炫，之前没戴过三眼还不知道咋弄，研究一会儿就明白了，也不是太复杂，很好搭衣服，表带也可更换，就这价位而言挑不出啥毛病了，一百分！</t>
  </si>
  <si>
    <t>好东西 正品保证，美国直邮，给宝宝准备的，很不错。比这边便宜好多，就是海外购要很长时间，半个月左右才收到物品。比国内便宜一半，很好！</t>
  </si>
  <si>
    <t>小了 宝宝是个多月了，用着有点小</t>
  </si>
  <si>
    <t>物超所值 漂亮的杯子，杯盖大小正好，非常棒</t>
  </si>
  <si>
    <t>166，108斤，xs合适，很修身 满足预期效果，大小合适，不过确实适合四肢修长的人穿。否则肚子容易鼓出来</t>
  </si>
  <si>
    <t>质量好 不起球 但不是over size款 不是over size的款 合身款 建议买大两码 质量很好 不起球</t>
  </si>
  <si>
    <t>点赞 这个4TB硬盘性价比很 高！</t>
  </si>
  <si>
    <t>赞 很好，支撑力度比skins好。但是透气性不如skins。气温低一点的时候穿更好。</t>
  </si>
  <si>
    <t>穿着舒适 穿着舒适，海淘性价比很高，polartec材料轻便舒适</t>
  </si>
  <si>
    <t>速度飞起，声音感人。 拷贝速度飞快，就是噪音有点大，而且似乎不是拷贝的时候声音大，而是读盘的时候，有点费解。</t>
  </si>
  <si>
    <t>不好用 没有力，不如国产的好用</t>
  </si>
  <si>
    <t>推荐的衣服大了。 至少大两码，平时穿xl，在这里只能穿m。</t>
  </si>
  <si>
    <t>说实话质量大不如以前了 再次购买了一块，感觉质量大不如以前，主要是调节时间的旋钮很松，很是郁闷，以前的那块被人拿走了，呜呜呜呜呜。。。。。。。。。。。。。。。。</t>
  </si>
  <si>
    <t>质量还好 鞋子版型太瘦，比预想轻，鞋底也轻，不太喜欢，质量还是很好。</t>
  </si>
  <si>
    <t>破了 一般一般，寄到手纸箱已破了整个面，幸好包是粘在里面的</t>
  </si>
  <si>
    <t>差评！恼火！同样链接买的竟然天壤之别！ 真是无语 之前亚马逊买的M号是盒装纯棉的，这次S价格便宜，就买了两盒S，收到时是袋装，只以为是换了包装没在意，刚拿出来完全是两回事！太过分了，淘宝假货都至少是纯棉，这不知道什么材料！人生第一个差评给你了！可气我拍不出那质感！谁买谁知道！</t>
  </si>
  <si>
    <t>…… 帮朋友买的，还成，看着挺好看的</t>
  </si>
  <si>
    <t>值得買 質量很好，舒適，便宜。腳寬，平時39碼，穿上厚襪有點夾腳。希望穿穿能鬆。</t>
  </si>
  <si>
    <t>太细犹如牙签搅水罐 皮带头有明显的损伤，皮带直径有点窄。本人86厘米的腰围32正合适</t>
  </si>
  <si>
    <t>杯套不好看 杯套实物有点绿色 杯身发蓝色 不是很匹配</t>
  </si>
  <si>
    <t>一般 感觉一般，没啥特别</t>
  </si>
  <si>
    <t>全球5年保修 海淘ssd就要买闪迪，5年保修，1T够用，机械硬盘直接丢弃了，速度很快，足够我办公使用</t>
  </si>
  <si>
    <t>挺好 首先说一下尺码，我身高177，体重174，这个L码挺合适。颜色跟图片一致。11月21号下的订单，中部一个三线小城市12天收到货，很满意的一次购物，衷心感谢亚马逊。</t>
  </si>
  <si>
    <t>很不错的购物体验 卡西欧的电子表质量非常好，购物及物流过程都非常顺利，物流也比预计时间快了很多。就是到手的包裹纸盒被压变形了，还好没伤到表。</t>
  </si>
  <si>
    <t>帅 整体质感很好，适合脚掌脚宽的朋友</t>
  </si>
  <si>
    <t>boss 基本合身穿上舒服质量也好下次再见。</t>
  </si>
  <si>
    <t>不错！ 非常合脚！价格也非常合适！</t>
  </si>
  <si>
    <t>孩子很喜欢 用料扎实，保温效果好，孩子很喜欢。</t>
  </si>
  <si>
    <t>喜欢 满意 送给男朋友的生日礼物 大概十天到货。还是非常帅气的。不过这个鞋子挺娇贵的 他一点也不爱惜 感觉不久的将来 很快就要坏掉了</t>
  </si>
  <si>
    <t>推荐！ 非常好非常合适</t>
  </si>
  <si>
    <t>好 质量不错，物流够快。</t>
  </si>
  <si>
    <t>象印是大品牌 非常不错，感觉是真品。</t>
  </si>
  <si>
    <t>低于900入手，绝对值 到货迅速，电源通用12v，1.5a，容量8，性价比高</t>
  </si>
  <si>
    <t>装100度的水很保温 装100度的水48小时后…水是烫手的，中途开过2次来试水温…热热的，真的是超级保温的！</t>
  </si>
  <si>
    <t>尺寸准确的毛衣 尺寸合适 穿着舒服  但是领口太小 有静电 这是什么羊的毛呢。</t>
  </si>
  <si>
    <t>很好的裤子 175，体重160，非常合身，不是那种特别修身的款，但比直筒的牛仔裤要贴身点，穿着很精神，上班、旅游穿都合适。布料手感不错，厚薄的方面，除了夏季都适合穿。</t>
  </si>
  <si>
    <t>满意 东西不错，大小正合适，关键价格还是蛮给力的，哈</t>
  </si>
  <si>
    <t>性价比超高 非常棒，真的非常棒！小身材，大水量，出水很均匀，水珠冲撞到肌肤的那一刻，感觉很棒，值得购买。</t>
  </si>
  <si>
    <t>好看 喜欢的款式，颜色也很好，穿着合体，舒服。很好搭配衣服。</t>
  </si>
  <si>
    <t>很超值 一直在使用飞利浦电动牙刷，刷头属于易耗品，而在京东购买确实活动不多，海外购这次活动力度非常给力，赶快入手了</t>
  </si>
  <si>
    <t>3M效果不错，价格超平宜 5微米过滤，适合过滤后再煮水用，出水大，没味，加运费共150，买二个4分管或6分管转插3M原配胶管接口的接头，一个接水管一个接出水龙头，一般卖净水的店里都有卖 ，就可以用了，安装方便。</t>
  </si>
  <si>
    <t>好 适合春秋穿，很合适</t>
  </si>
  <si>
    <t>ECCO的鞋码就是正，海淘与国内一样合适。 国内买鞋是41码，海淘US7.5，UK7都可以，ECCO在鞋码上做的特别好</t>
  </si>
  <si>
    <t>质量一般 越南产，亮蓝色很骚，保温效果不错，重量不算太轻，也算不错了，重要的是摇晃杯子会有沙沙的声音，感觉有东西落在真空层里。</t>
  </si>
  <si>
    <t>非纯棉，线头有点多 187cm，87kg，xl合适</t>
  </si>
  <si>
    <t>小了一点 一般般，女式鞋稍微小了点。换双鞋垫很舒服。</t>
  </si>
  <si>
    <t>使用一次就开始掉毛 这款虽然是从英国邮寄过来的，但是质量是真的次，跟原装相差很大，刷了一次，牙刷有掉毛的情况，第二次使用，开始疵毛，变形，联个小作坊都不如，感觉产品好假</t>
  </si>
  <si>
    <t>右脚比左脚宽 1右脚的土特别多，像是样品。 2左右两支宽度差了有0.5cm以上，右边宽的多，品控太差。</t>
  </si>
  <si>
    <t>残次品 鞋子尺码准确，但是上面有很多道黑划痕，和一片黑色的脏渍，都清理不掉，这要是在柜台里面是不会有任何人要的。海外购退货不便，就可以发这种残次品糊弄人吗？很失望</t>
  </si>
  <si>
    <t>一般 材质一般~有点偏大~</t>
  </si>
  <si>
    <t>唯一的缺点就是钻绒 合身、保暖、轻便，唯一的缺点就是钻绒</t>
  </si>
  <si>
    <t>腰带不错。 腰带短了一点，应该买36码就合适。</t>
  </si>
  <si>
    <t>送货有点慢，不过收到的货看起来是原装的，还没去验货 送货有点慢，不过收到的货看起来是原装的，还没去验货</t>
  </si>
  <si>
    <t>质量好 160，96斤，质量很好，但应该买s号</t>
  </si>
  <si>
    <t>很棒的裤子 买裤子还是要看评价的，本人平常穿w36l32的，看了评论果断w34l32，刚刚好，裤子很舒服，很赞，想回来再买条正蓝色的，可惜没货。</t>
  </si>
  <si>
    <t>戴了很久了 很酷的手表，百搭衣服。</t>
  </si>
  <si>
    <t>德国产 秒杀价时购入，价格上很有优势。这套笔很好着色，画起来很舒服。是水溶性的。</t>
  </si>
  <si>
    <t>海外购很方便！ 亚马逊海外购确实很方便，也能淘到物廉价美的好东西，也有保障，性价比很高。</t>
  </si>
  <si>
    <t>送货速度快，价格给力 周六下的单，周四到货，一共五天，速度很快！鞋子质量不错，应该是全新正品，但是盒子是老款不是新的黑色盒子。脚大Nike穿46码，这个45的稍大一点基本合脚，鞋确实很宽松，舒服透气，鞋垫稍滑。最给力的是价格，比实体店打折价便宜一半还多！</t>
  </si>
  <si>
    <t>夏天很透气 就是压胸，没有聚拢功能，但是凉快，肩带很舒服，不会掉，买了几件一个夏天都穿。</t>
  </si>
  <si>
    <t>e5 朋友推荐的音箱，总体声音比较满意的。</t>
  </si>
  <si>
    <t>很值得买的这个价格 非常好，读卡器也也很棒值得买。</t>
  </si>
  <si>
    <t>好东西 好多人说没用，我还是买了，买了之后我觉得买了它省很多事！不差这点钱改变一个坏习惯，</t>
  </si>
  <si>
    <t>女鞋男穿最好选W版 女鞋男穿。鞋子很合适，脚长256，买的9.5W，穿厚袜子脚趾能活动，很好。颜色比图片稍微浅一点，比较沉。总体很好，雨雪天气必备！价格也很满意。不过就是鞋带略细我打算自己配一套别的了。还是五颗星，赞亚马逊！</t>
  </si>
  <si>
    <t>还行！！！ 还行！！！</t>
  </si>
  <si>
    <t>安德玛 171，75，中号合适。衣服蛮保暖的。</t>
  </si>
  <si>
    <t>保温壶保温性能很好 刚拿到手时觉得外观颜色和页面图差异很大，换句话说满意页面图的颜色！后来通过使用，越来越觉得耐看，包括款式。真得觉得外观的颜色和款式经得住时间的考验！另外保温壶保温性能很好，到入刚烧开的水，过去六个小时，喝起来还是比较烫嘴！</t>
  </si>
  <si>
    <t>好好好 真的很好，小孩需要两手抓握</t>
  </si>
  <si>
    <t>还算可以 杯壁有点薄，要求保温的就在考虑考虑，夏天最合适</t>
  </si>
  <si>
    <t>一个字好 东西已到非常好用！G。。d</t>
  </si>
  <si>
    <t>舒适 国产一直用全棉时代，第一次用日本姨妈巾，这款触感更软，舒适</t>
  </si>
  <si>
    <t>很好的产品 非常喜欢这个产品。比18cm的好太多。就是这么重。那个杆子能承受的住吗？</t>
  </si>
  <si>
    <t>很舒适 很舒适，性价比很高。</t>
  </si>
  <si>
    <t>板鞋 很喜欢的款型颜色很正</t>
  </si>
  <si>
    <t>电量需要改进。 有洁癖的懒娃可以考虑这款，买之前想自己随便扫扫，然后干擦，然后湿擦。用了之后觉得还是得配个扫地机器人或者手持戴森。因为这家伙的电量实在是个问题，干擦再湿擦，我这个小破房子也要中间充一次电才能完成任务。用了两天，线路仍然是个迷，感觉它挺爱钻沙发和桌子底下的。总得来说推荐吧。海外购质保和退货一直有很大的问题，希望亚马逊能认真处理海外购售后。让我们和货源国享受一样的质保和免运费退换货。</t>
  </si>
  <si>
    <t>满意 不错的，质量很好，大小合适，4月就可以穿了</t>
  </si>
  <si>
    <t>质量不行 没穿几个月，小脚趾上面就磨破了。第一次穿鞋出现这种情况。</t>
  </si>
  <si>
    <t>不稳定 外观造型不错，就是夏天不太稳定，必须用小风扇一直吹着，不然会死掉。</t>
  </si>
  <si>
    <t>使用起来还不错，750pro可用 19年底收货的是17年生产的，杯身非常脏，盖子上还有明显刮痕，搞得我一度怀疑是假的或是用过的，但是使用起来还不错</t>
  </si>
  <si>
    <t>太大了。跟尺码表严重不符，海外购退又麻烦，邮费自理一个来回到手只有2块钱，吐槽点不要太多 太大了。跟尺码表严重不符，海外购退又麻烦，邮费自理一个来回到手只有2块钱，吐槽点不要太多</t>
  </si>
  <si>
    <t>失望至极 首先 在之前看了许多测评才买的这款U盘，而且之前买过pny的，看到评论说有60-70的写入速度，比较信任这个牌子。然而等待了接近2个星期，换来的是无比的失望。U盘3.0口的写入速度慢的惊人，而且极其不稳定12mb-41mb之间来回波动，同样3.0的东芝exⅡ写入有100-110mb的稳定速度。唉。。。最新测评，写入17g要13分钟，速度15~30波动。50都没有😭</t>
  </si>
  <si>
    <t>太容易坏了，不要买，还不能保修！！ 才用了3个月就坏了！！客服说海外购的商品无法保修。以前买过一个有线的盖子翻过来当水箱的那种，觉得麻烦用的少，结果放了半年就坏了。这个才3个月又坏，碧洁一生黑！！！千万不要买！！！！如果能打0星我绝对打0星</t>
  </si>
  <si>
    <t>文胸 文胸无钢圈穿着很舒服，但是胸围偏大穿着有点松。</t>
  </si>
  <si>
    <t>杯子可以 杯子挺好用的，盘子一般，没有办法固定。</t>
  </si>
  <si>
    <t>还可以啦 不知道怎么放图上来 今天买，今天到，物流飞快 这笔不是很好写，一直飞白 笔杆处松动，也不知道是不是通病 我手比较小，笔杆很粗，握起来很吃力，不建议女生买 F尖写出来比中性笔0.5的粗，写了大概2000字， 自带的墨水大概用了1/3管，千万别用这笔爬格子！我写了个思想汇报那格子爬的我简直不能再累！ 拿到塑料盒的包装，其实我更喜欢袋子那个一.一 嗯，我也不知道说什么了，就这样吧</t>
  </si>
  <si>
    <t>不错，挺准的，就是手表带太长了 不错，挺准的，就是手表带太长了</t>
  </si>
  <si>
    <t>很不错 感觉包装好像没有在苹果店看到的精致，不过这东西只要质量好就没什么好说的了，外观比较精致，运行声音也很小，没有发烫现象，总体不错</t>
  </si>
  <si>
    <t>很保暖 很保暖，裤子刚好，上衣稍大一号了</t>
  </si>
  <si>
    <t>超级满意 最喜欢亚马逊的说话不算数 明明说十八号以后到 提前了十天！鞋码标准 平时皮鞋37.5 38 跑步鞋通常买大半码会38.5，大黄靴US7 UK5现在季节穿非常好，完美！</t>
  </si>
  <si>
    <t>蛮不错的 蛮好的，看上去质量不错。</t>
  </si>
  <si>
    <t>不错 质量非常好，版型不错再大一码也没问题，身高1.74体重160，</t>
  </si>
  <si>
    <t>好好好 这个杯子真牛逼啊，这个杯子真是超出想象</t>
  </si>
  <si>
    <t>今年会常穿的一款 靴型很好，比较挺，百搭款</t>
  </si>
  <si>
    <t>满意的购物 合适，布很满意。</t>
  </si>
  <si>
    <t>满意 买大一码正好，厚实舒适</t>
  </si>
  <si>
    <t>还不错 尺寸合适的话，穿着挺舒服。感觉也有效果，两个月左右，臀围小了3厘米</t>
  </si>
  <si>
    <t>码数偏小 还好吧，鞋子太窄了</t>
  </si>
  <si>
    <t>很好 设计的很好  里面的内胆可以拿出来单独洗或者热饭  超方便</t>
  </si>
  <si>
    <t>烧水快，壶内有塑料制品 烧水很快，可以指定烧到60度到100度，保温二十分钟的功能有些鸡肋，要是壶内不会接触到塑料就完美了。</t>
  </si>
  <si>
    <t>衣服挺好的满意 衣服质量很好，上手摸软牛仔有弹性；物流速度也很快。身高163 52kg S码刚好合适</t>
  </si>
  <si>
    <t>尺码表是坑爹的，完全不准 177CM 75KG穿M都是宽松的，看着尺码表买了xl</t>
  </si>
  <si>
    <t>还是玻璃的好！ 之前一直用多么可么的，但是时间一长就有味道，还是玻璃的好！也不贵！</t>
  </si>
  <si>
    <t>好看，实用 硅胶的勺子可以随温度变色，很好用</t>
  </si>
  <si>
    <t>质量看起来不错 低腰的 其他都还不错也算蛮划算的</t>
  </si>
  <si>
    <t>何以解毒唯有杜康 好笔，有微微瑕疵，不影响使用，满意~</t>
  </si>
  <si>
    <t>Champion 男式 经典针织印花T恤 对衣服非常满意，物流快，包装完好，尺寸正合适，价格适中！</t>
  </si>
  <si>
    <t>有品位 质量好，面料舒服，标志是机绣，有品位，宽松款</t>
  </si>
  <si>
    <t>只是有点薄 就是有点薄，袖口地方没什么弹性。其他都很好</t>
  </si>
  <si>
    <t>质量还好 很好，以前从不去评价，不知道浪费了多少积分，现在知道积分可以换钱，就要好好评价了，后来我就把这段话复制走了，既能赚积分，还省事，走到哪复制到哪，最重要的是，不用认真的评论了，不用想还差多少字，直接发出就可以了，推荐给大家！</t>
  </si>
  <si>
    <t>评价 是薄款的，有点略大，有点扎，性价比不高</t>
  </si>
  <si>
    <t>Made in India? Clarks的沙漠靴应该是Made in China或者Made in Vietnam, 为什么这双鞋子是Made in India??? 有没有哪位大佬可以解释一下的？</t>
  </si>
  <si>
    <t>实测海外购 东西已经到手，漂洋过海的裸奔而至，实测保温效果不是很满意，想咨询下盖子最里面有橡胶密封圈的吗？盖子上没有</t>
  </si>
  <si>
    <t>鞋码太大 平常各品牌运动鞋都是42码，结果这款鞋42码大了整整一号。另外，是斯洛伐克产的。</t>
  </si>
  <si>
    <t>假货？新版？总之不好用 本来是要退货的，但是要寄回美国，这个代价太大了！这次买的质量明显不如美亚买的老版，这个很薄，塑料味很重，不敢用，买了4盒就这样闲置了</t>
  </si>
  <si>
    <t>尺寸过大 平时牛仔裤尺寸买28的，选择了4号尺寸，收到货后，尺寸还是大了不少，腰部和臀围松松垮垮。不过颜色很正，布料柔软，可以送人。</t>
  </si>
  <si>
    <t>值得买 12.15下单，12.24收到，从美国到中国，9天到手，很快。带了5天慢10秒，每天2秒，走时很准了。价格超便宜，值得入手。应该介绍日本机芯型号，便于维修。不足时外圈转30度就卡死了，不能再转。</t>
  </si>
  <si>
    <t>很好 工艺不错，正常尺码，全棉面料感觉不错，穿着感觉很舒服。</t>
  </si>
  <si>
    <t>修身 裤子质量不错，个人觉得过于修身，也可能是因为我喜欢穿宽松裤的原因！</t>
  </si>
  <si>
    <t>尺码标示最好再详细一些，例如欧美码是否偏大。 码太大了，身高178，体重172斤，XL码大好多，感觉穿M码就可以，好在价格低，凑合穿吧，海外购调换也麻烦。</t>
  </si>
  <si>
    <t>很好 穿着合适，套上棉裤真好，很合身</t>
  </si>
  <si>
    <t>性价比还是可以的 身高176，体重70kg选了33×30的，很奇怪腰围和31×30的一样，也还是略大一点点，不是紧紧的感觉，但不是大的不得了的那种，裤腿略肥，已经再次买了，19×30的。</t>
  </si>
  <si>
    <t>很好 没有荧光和异味 价格也便宜 很好</t>
  </si>
  <si>
    <t>非常不错 质量和做工都还是不错的，可以直接穿。 181  80买的S,稍微有点点小。</t>
  </si>
  <si>
    <t>很好，宝宝喜欢 很好，德国运回来的，比国内买便宜多了，宝宝很喜欢，用手动牙刷总是刷不干净的感觉，用了电动牙刷刷牙也听话多了，刷得也干净</t>
  </si>
  <si>
    <t>象印焖烧杯 买了很多象印的杯子，都挺好的。保温上比同容量的保温杯差些，毕竟口径大，壶盖感觉也不是很紧，实物比图片好看，满意。</t>
  </si>
  <si>
    <t>包装很好，全球保1年。 包装很好，全球保1年。</t>
  </si>
  <si>
    <t>漏油少、写字顺滑 很好用的圆珠笔，大品牌数十年一如既往，正好赶上降价，差不多半价，一盒50根，一半黑色一半蓝色，写字顺滑，漏油很少。</t>
  </si>
  <si>
    <t>物超所值 德国5天到货，快到不敢想象，颜值非常高，比某东便宜500。三挡力度，手快一瓶水可以冲干净牙齿了。没国保，希望耐用点</t>
  </si>
  <si>
    <t>保暖轻薄 很轻薄很保暖，某人很喜欢。140斤，170，适合S</t>
  </si>
  <si>
    <t>买大了一点 鞋子很好看，是正品，好评</t>
  </si>
  <si>
    <t>小而强悍，保真不凡。 小而强悍，保真不凡。</t>
  </si>
  <si>
    <t>物美价廉物流快捷 物美价廉物流快捷！</t>
  </si>
  <si>
    <t>购物基本开心 第一次买 很舒服的一双鞋子</t>
  </si>
  <si>
    <t>尺码偏小 与boss的其他内衣相比略小，穿着有点紧身。</t>
  </si>
  <si>
    <t>全新 看评论怕是二手的，收到打开检查是全新的，没有使用过痕迹，比官网便宜很多，开心</t>
  </si>
  <si>
    <t>灰常好看的袋鼠服哦~~~ 灰常好看的袋鼠服哦~~~180cm 95kg 没有大肚子，买的L, 之前买他家短袖XL 好大，这次特意买小 正合适。</t>
  </si>
  <si>
    <t>173cm 74kg 无敌螺旋爆炸帅 173cm 74kg 体脂15左右吧 经常健身型 腰围差不多80多一点 胸围100 完全合适的 除了后腰的地方肥 里面穿一个不是 特别厚的帽衫或者是毛衣都没问题 长短到腰带下面一点 本身是属于上半身比较短的类型 袖子稍微长一点不过不过分 太瘦了不推荐买 里面空间真的大 要肉多点撑起来</t>
  </si>
  <si>
    <t>非常推荐国人购买！别把价格推高了就行 免烫的感觉。面料薄，但非常细密，质感不错，特别适合上班使用！面料很挺。略修身了点，显得更干练！172cm 71kg，平时31/30的LEWIS  GSTAR，这个就能穿，略修身而已。蓝色比较深，不会很跳色</t>
  </si>
  <si>
    <t>很不错的产品。 样式、颜色都非常漂亮。如果按照欧码，尺码很准。</t>
  </si>
  <si>
    <t>上脚很舒服 颜色好看，我23.5厘米长的脚，7B合适。</t>
  </si>
  <si>
    <t>满意 比574脚头显宽松，但是也不敢再小一个号码买，颜色很满意，价格也合理，不愧新百伦顶级，</t>
  </si>
  <si>
    <t>东西就像次品 东西看起来就像是次品一样，两只都有一些黑点，不知道是什么东西，还有一些刮花了的瑕疵，算了，懒得退了，赞一个配送速度是很快的。</t>
  </si>
  <si>
    <t>初次使用 颜值很高，鞋码刚好，但鞋底比较硬，穿起来没有预想的舒服。</t>
  </si>
  <si>
    <t>是宽松版，太大了 这款裤子面料一般，没国内的好，比较硬，美国宽松版的裤管太大了</t>
  </si>
  <si>
    <t>有破洞 卖的什么玩意，裤裆这里一个洞，正品怎么可能就这质量，不知道从哪里拿的山寨货</t>
  </si>
  <si>
    <t>起球 严重起球 无语了 洗了两次起球就很严重了</t>
  </si>
  <si>
    <t>没有吸墨器 没有吸墨器</t>
  </si>
  <si>
    <t>日本的内衣是偏小一杯的吗 买了中国的码，可实物偏小一杯，是轻盈的。</t>
  </si>
  <si>
    <t>图案有点小失望 孩子很喜欢艾莎公主，所以选了这款刷头，但是送货到了确是雪宝和安娜，有点小失望。</t>
  </si>
  <si>
    <t>china 看着都还行，就是手表背面是made in china</t>
  </si>
  <si>
    <t>2018 身高172体重68穿S码合适适合春天穿</t>
  </si>
  <si>
    <t>派克墨水 价格虽贵些，但是买个放心，美亚自营质量应该有保障</t>
  </si>
  <si>
    <t>自己看着办 165以下 45kg 就买xs 再重不知道了 如果xs还是大那就别买了 除非有xxs</t>
  </si>
  <si>
    <t>。 东西不错不过我没用上</t>
  </si>
  <si>
    <t>略宽，建议比平常小一码 160/62kg，买的M码，个人觉得略宽，肩也大一点。可能S码比较适合自己，衣服质量挺好，有点弹性！247的价格，还可以接受。</t>
  </si>
  <si>
    <t>数据仓库首选 这种容量，这个价钱已经无敌了。测试了一下速度，拷贝60多MB，还能接受吧。</t>
  </si>
  <si>
    <t>性价比很高的商品 质量各方面符合预期，非常满意的一次购物体验！</t>
  </si>
  <si>
    <t>外包装需要改进 奶瓶不错，是美国直邮过来的，就是包装不咋滴，就一个袋子装这2对奶瓶漂洋过海了，拆开时奶瓶的包装盒已经有点压坏了。</t>
  </si>
  <si>
    <t>裤型很好 到货速度很快啊！一周时间送到手了。号码很准确，只怪我错估了自己的腰围，由于最近一直穿松紧带的裤子，没想到自己又胖了。网页照片有点偏色，实物更偏绿，翻译成浅橄榄绿比较合适。裤型很好，上身效果不错；厚薄合适；除了腰围其他都合适，再瘦一瘦就可以了。172CM、80KG，腰围86CM，2尺6，这个裤子应该33W的合适。（10月份还2尺5呢！2尺5腰，32W就合适了。）</t>
  </si>
  <si>
    <t>大小刚刚好！ 还好买大一号！结果回来是正正好！软皮！喜欢那种褶皱的效果！</t>
  </si>
  <si>
    <t>值得购买 往大一码买，稍微有点窄，但穿着舒适，性价比高。</t>
  </si>
  <si>
    <t>恒温调节非常方便！ 非常好用！完美匹配！尤其是恒温调节，用起来很方便！</t>
  </si>
  <si>
    <t>180 60m码合适 180  60 kg瘦长个， m码肩宽袖长正好别的大小都能算合适偏紧致</t>
  </si>
  <si>
    <t>西数硬盘 已经装机用了，质量不错</t>
  </si>
  <si>
    <t>买小一号的就是正确的选择 买小一号正好，穿着舒适，好评</t>
  </si>
  <si>
    <t>很棒 非常棒推荐推荐...</t>
  </si>
  <si>
    <t>操作简单，清洗方便 到了就做了杯香蕉牛奶，操作简单，清洗方便，看说明书，还可以加其他配件，不过现在这个功能正是我需要的，先用一段时间再说吧。</t>
  </si>
  <si>
    <t>完美 加税之后价格和品质都很满意，看了几个淘友评论果断选择36WX32L，对28的腰完全合适，稍微有点长，物流很快</t>
  </si>
  <si>
    <t>挺厚实的，不适合夏天 我买的颜色是boss，特别厚实，直筒裤，显腿长</t>
  </si>
  <si>
    <t>好评！ 送小舅子的生日礼物。可惜没有白色的。</t>
  </si>
  <si>
    <t>好，我喜欢！ 好！ 写字粗细恰好，笔尖细腻，不是太滑，我写字的控制力恰好对应。 笔杆有木质感，低调，内敛，与恒星系列有着强烈的反差。 我喜欢！ 物流也不错，1个星期到手。</t>
  </si>
  <si>
    <t>推荐购买 完美的质感，经过打磨的纹理，弹性面料，不用腰带更舒服，希望评价太好不要引起亚马逊的涨价，到手价230左右，价格合适会再买的</t>
  </si>
  <si>
    <t>大猩猩的版型 衣服的版型非常搞笑，胸紧，肚大，袖长！估计是给大猩猩穿的，对，想象一下，套在大猩猩的身上。虽然形容的有点夸张，但是，嗯，就是那个模样。 材质非常薄。 就当体验一下中北美洲那糟糕的做工吧</t>
  </si>
  <si>
    <t>一分钱一分货吧 等了两个月才收到，不知道你们用的怎么样？我昨天试了一下揉面功能 机器抖得跟筛子似的,好怕哪天机头会不会飞出去啊....</t>
  </si>
  <si>
    <t>还好，装热水会漏 装热水漏的我怀疑人生，凉水就不漏了。防伪被刮开，退货党们能手下留情不？杯底部有道疤拉，希望只是工艺问题不是裂纹不然随时会 “beng！！” 买过一个大毫升的，好几年了，非常好用，就是太沉了，根本不好随身携带，这次来买个小的用用。不要装开水，分分钟烫死，外面的硅胶防滑效果多于防烫，全是窟窿眼，镂空加装热水漏水，要么桌面使用，要么温水（凉水）随身放包里^_^,这杯子有售后吗？万一有质量问题找谁？</t>
  </si>
  <si>
    <t>用了刚刚半年就不能读出来了， 反应慢，很多时候识别不了，不能退换货，请问要如何处理？？？  已下订单 2016年6月12日到2017年1月8号就不能用了</t>
  </si>
  <si>
    <t>加绒+大开口低领，奇葩吧？ 设计有大问题，加绒的面料，居然是大开口低领，穿了一天，脖子里面呼啦呼啦的灌冷风，奉劝大家别买！！！</t>
  </si>
  <si>
    <t>商品造假，不建议买 不要买，商品标的不对，SDXCII标准接口是有两排金属接触片(详细看我发的第三张白色背景从某东电商平台截图)，而我拿到手的只有一排金属片，这个是SDXCI标准即最高只有95MB/S,所以正面上的贴纸是SDXCII 150MB/S是假的，接口都不是SDXCII何来的高速？这靠假太明显了，亚马逊在坑谁呢？我准备维权！今天带相机去外面拍，刚拍2秒内可以看，再看之前拍的，照片无法回放，电脑也无法识别卡里照片</t>
  </si>
  <si>
    <t>收到的皮带有瑕疵 皮带的金属扣掉漆严重，见图 皮看起来挺结实的 买的32码，宽度38mm，长度102cm</t>
  </si>
  <si>
    <t>不错 还不错，一直用这个碗，蛮好用的。</t>
  </si>
  <si>
    <t>与预期相符 价格实惠，做工当然也相应的“实惠”了一些，但还是对得起价格的，衣服挺厚的，之前不是特别薄。和预期几乎一致，关于尺寸，美码LARGE 相当于亚洲的XL</t>
  </si>
  <si>
    <t>可爱 宝宝喝的时候得看着，有时候吸管朝上就会喝不到水，不过瑕不掩瑜，很可爱也很全面。</t>
  </si>
  <si>
    <t>尺寸正常，修身，面料柔顺，很不错，打底吧，穿在外面差点意思 尺寸正常，修身，面料柔顺，很不错，打底吧，穿在外面差点意思</t>
  </si>
  <si>
    <t>满意 很喜欢。原本担心尺码会大，但是实际试穿觉得很合脚。鬼冢虎穿6.5，这款也是6.5，皮鞋穿36。价格也很合算，近半个月的等待很值得。</t>
  </si>
  <si>
    <t>不错 东西挺好看的，略大不过穿着很舒服，颜色比图片更深一点，不过还好</t>
  </si>
  <si>
    <t>很好 表带稍微有点女性  纹理粗一点  就完美了</t>
  </si>
  <si>
    <t>很好，不愧是母婴好物。 围嘴很好用哦，围嘴底部的硅胶兜兜很软，宝宝用着很舒服。围嘴很好用哦，围嘴底部的硅胶兜兜很软，宝宝用着很舒服。围嘴很好用哦，围嘴底部的硅胶兜兜很软，宝宝用着很舒服。围嘴很好用哦，围嘴底部的硅胶兜兜很软，宝宝用着很舒服。围嘴很好用哦，围嘴底部的硅胶兜兜很软，宝宝用着很舒服。围嘴很好用哦，围嘴底部的硅胶兜兜很软，宝宝用着很舒服。围嘴很好用哦，围嘴底部的硅胶兜兜很软，宝宝用着很舒服。</t>
  </si>
  <si>
    <t>简单大方 原来买过一个国内的养生壶，功能丰富，烧水也快，但是底座老是有电线烧焦的味道，心里怕怕的，为了身体健康，网上搜索看到这个一体结构的放心了！而且开口大便于清洁，速度挺快，好评！</t>
  </si>
  <si>
    <t>大了一点。 不是很修身。穿上有点飘逸的感觉。</t>
  </si>
  <si>
    <t>水杯 杯子不错孩子非常喜欢</t>
  </si>
  <si>
    <t>好 很轻薄，不是棉的，手感很滑，很舒服</t>
  </si>
  <si>
    <t>性价比高 看到这个产品评分偏低抱一个不平。这款耳机我在美国就买来用了，用到现在估计用了有四五年，除了有一点儿掉黑皮质量没有任何问题；买的时候是作为入门款，但音质是惊喜的，高音低音很平衡，应该是我用过的耳机里使用时间最长的（因为入门了好久也没舍得再入其他的直到两年前）。而且有一个最大的优点，就是这个线，真的扯也不会坏啊。。。唯一的缺点就是线太重太长，不适合出街。</t>
  </si>
  <si>
    <t>森海塞尔耳机很不错 不错，在使用一段时间后发现各方面都很好</t>
  </si>
  <si>
    <t>很不错 效果特别好，价格也不贵，不过在国内有代理商引进了，以后不需要这样买了</t>
  </si>
  <si>
    <t>很快！ 以前有一个usb2.0的盘，做了一下对比。共同使用2.0接口时，无论是电脑复制到u盘还是u盘复制到电脑都有2倍的速度提升。使用3.0接口时，电脑复制到u盘速度提升了3倍，u盘复制到电脑提升了6倍！这款u盘在亚马逊购买算得上是物美价廉。</t>
  </si>
  <si>
    <t>好大一瓶，一直在吃 好大一瓶</t>
  </si>
  <si>
    <t>质量很好 平时穿M，买的S，很合适，抓绒是灰白色</t>
  </si>
  <si>
    <t>袖子略长 身高170体重70，S码刚刚好，只是老美的袖子略长，其他尚可。</t>
  </si>
  <si>
    <t>包装很简单 还可以感觉，应该是正品吧.其实我不太会分辨 包装也很简单 出水还行 标配是墨胆 问了官方客服 国产原装是配吸墨器而不是墨囊的。</t>
  </si>
  <si>
    <t>很满意 大小合适，颜色漂亮。</t>
  </si>
  <si>
    <t>棒 对于我这种不爱啃水果星人，很方便。最爱亚马逊！</t>
  </si>
  <si>
    <t>算下来比在国内买同样的卡要便宜点 算下来比在国内买同样的卡要便宜点。用高速连拍比我原来的一个卡要多拍两张。就是不知道如何恢复删除的数据。过了4个月又退了我33元多人民币到我的银行卡。</t>
  </si>
  <si>
    <t>有用 每天坚持用，刷牙后还能冲出来不少残渣。</t>
  </si>
  <si>
    <t>皮带 皮带很不错，性价比挺好的</t>
  </si>
  <si>
    <t>第一次在亚马逊购物 很怀疑是不是正品，鞋子邮回来包装破损，一只鞋子有鞋垫，一只没有鞋垫，鞋子的胶水痕迹特别重。</t>
  </si>
  <si>
    <t>建议买小2个码 薄款，挺舒服的感觉。就是太大了，送给比我大两个号的姑娘了。</t>
  </si>
  <si>
    <t>便宜，有瑕疵，但很舒服 这双鞋貌似是等外品，右脚鞋面明显偏了，看在比专卖店便宜得多的份上，就不退了。不过话说回来，穿起来真的很舒服。</t>
  </si>
  <si>
    <t>太大 太大了，180身高，185斤大码太大，中码即可，看了别人的评论，一口气买了二件都大了。</t>
  </si>
  <si>
    <t>税单 电池不行 产品不错，只有一个刷头，预交税无法提供税单，一直无法解决！ 充满电第二天使用就会提示灯闪了</t>
  </si>
  <si>
    <t>黑色掉色严重 一般不评论，但这次购物体验实在太差！T恤有点大可以理解，但是掉色严重就不能容忍，特别这件黑色的，洗了几盆水还是黑的，而且水里面有特别多黑色的线渣渣，洗了七八遍都洗不干净～</t>
  </si>
  <si>
    <t>划痕 有个严重的划痕，像二手的</t>
  </si>
  <si>
    <t>穿着舒服 棉的面料，不会产生静电</t>
  </si>
  <si>
    <t>价格高 价格偏高</t>
  </si>
  <si>
    <t>商品评价 我身高178cm，体重87kg，腰围2尺7，穿着正好。 但是颜色和图片上的不符，不是棕色，实际有点像绿色。 裤子是孟加拉国产的，98%棉，2%氨纶。打开包装后，有一股怪味。 洗了一水，掉色。</t>
  </si>
  <si>
    <t>做工好， 做工好，还没舍得用，应该不错，</t>
  </si>
  <si>
    <t>大了一码 大了一码。S码的腰围应该是78－80，长度了30。</t>
  </si>
  <si>
    <t>很好很强大 很好很喜欢，不知道能用得住不，笔尖软，时间长了，变形了</t>
  </si>
  <si>
    <t>很合适 很合适长短大小恰到好处</t>
  </si>
  <si>
    <t>挺好用 非常好用，刷的很干净</t>
  </si>
  <si>
    <t>物美价廉 喜欢这款产品的外观，比较适合出街佩戴。音质是真的不错，隔音效果也很赞。不错！</t>
  </si>
  <si>
    <t>漂亮！ 漂亮的大豆腐，不愧是派克的旗舰钢笔！</t>
  </si>
  <si>
    <t>质优价廉 是真皮，但皮不是很厚那种，比裤子大3个码就非常合适了。</t>
  </si>
  <si>
    <t>nice 非常合身，尺寸完美</t>
  </si>
  <si>
    <t>鞋子有点大 还是薄底的好看 预想的大了</t>
  </si>
  <si>
    <t>Biore 碧柔 泡沫印章 洗手液 挤出的皂液很漂亮，清洁效果不错不伤手。</t>
  </si>
  <si>
    <t>笔尖有点粗 笔尖有点粗，适合做签字笔 书写很顺滑，写得很舒服</t>
  </si>
  <si>
    <t>抗震效果好，有点偏小 抗震效果没得说，就是看评论买小了，也是没谁了……之前那个买大了，简直跪了，万幸还在减肥，能扣上，过段时间应该就正好了，然后样子很美貌，挺喜欢</t>
  </si>
  <si>
    <t>很好 内里是薄抓绒，袖子是薄棉的  初冬可以，170  68公斤有点肚腩，买的s，正好。</t>
  </si>
  <si>
    <t>性价比极高 一个刀架加上10个刀头，加上税刚刚200出头，这个价钱在国内只能买4个刀头。亚马逊海外购还是划算的。只是可惜黑五没有优惠，不过已经足够便宜了。</t>
  </si>
  <si>
    <t>物超所值 物流快，尺码合适，鞋子崭新，非常满意，关键是价格合适，物超所值。推荐！</t>
  </si>
  <si>
    <t>声音hen bu cuo w 声音越来越好，刚拿到手感觉声音一般，听了一个多月后发现声音越来越好，很喜欢，戴着也舒服</t>
  </si>
  <si>
    <t>赞👍 物美价廉，舒适秀气，爱不释足。不到1000元买的，加税1100元。按平时号码买即可。</t>
  </si>
  <si>
    <t>要潮点 喜欢就是大了点</t>
  </si>
  <si>
    <t>卡西欧EF106D-2A 1、外观比较好看，实物比照片还好看点； 2、石英表，走时就不必说，肯定是比较精确的，一个月快10秒。 3、缺点是表带比较硬。 总的来说，非常满意！</t>
  </si>
  <si>
    <t>值得买 腰围稍微大了一点，但是质量和价格没的说</t>
  </si>
  <si>
    <t>柔软舒适 不是很厚，里面薄薄一层，舒适柔软</t>
  </si>
  <si>
    <t>真是超值 好极了 四天就到 国内发的顺丰！好超值哦 下次再买</t>
  </si>
  <si>
    <t>质量堪忧的体恤衫 无色差，材质舒适，但质量堪忧，因为价格实惠，为了免运费凑了四件，其中有两件线缝开裂，美国人检查不仔细，真是令人不悦。</t>
  </si>
  <si>
    <t>会掉毛 黑色的会掉毛，没想象中的好。</t>
  </si>
  <si>
    <t>还算可以的音箱 底噪还算小，并没有别人说的那么大，我是单独插的一个插座。 可以明显感觉比小几百的音箱强很多，但是听流行乐真的不怎么样。</t>
  </si>
  <si>
    <t>不是很明白德国寄过来什么包装都没有 机器收到没有外包装 就原来的盒子 没有外面套运输箱子 破的很难看 索性机器没坏 就算了 实在很不稳的样子 有试用胶囊？？？我是没见到</t>
  </si>
  <si>
    <t>光动能手表 手表拿着很轻，看着跟儿童手表一样，真是便宜没好货呀！买的是兰表盘可是收到确是黑表盘，跟图片上的不一样，</t>
  </si>
  <si>
    <t>千万不要买 千万不要买，说起来都是泪啊，用了一两个月就坏了，国内不给保修，自己去找维修的说修不了，电路板都用胶密封了，没法维修。坑死了。</t>
  </si>
  <si>
    <t>一般 一般，172，65kg，s码衣服略紧</t>
  </si>
  <si>
    <t>不错 质量没话说很好，尤其是鞋底挺好的。但是鞋型的话不是很秀气，稍微man了一点。适合帅气的女生</t>
  </si>
  <si>
    <t>质量一般吧 适合春秋穿，布料不错，做工马马虎虎，毕竟就这么多钱。</t>
  </si>
  <si>
    <t>容易掉色 款式喜欢，34的尺码正好，做工也不错，只是系段时间后腰围上有圈淡淡的痕迹。</t>
  </si>
  <si>
    <t>料子挺厚实，做工一般 美版通病，做工很急人，这个价随便穿穿</t>
  </si>
  <si>
    <t>和国内包装不同 感觉挺好，盖子完全没味道。</t>
  </si>
  <si>
    <t>买大半码 跑步不太适合，跑了10公里感觉鞋子偏硬，走路还可以，总之不错，要买大半码的鞋子</t>
  </si>
  <si>
    <t>笔尖铱粒图 颜色是喜欢的颜色，但是明艳的蓝没有想象的多。另外EF尖比较挂纸，估计至少要写一星期钢笔字才能磨合好啊！</t>
  </si>
  <si>
    <t>尺码 质量灰常好，本人178/62，M码略宽松，感觉很好，供大家参考哈。</t>
  </si>
  <si>
    <t>脚250 按照脚长买没错</t>
  </si>
  <si>
    <t>透气，合身。 很不错。穿着舒服，活动无束缚。</t>
  </si>
  <si>
    <t>好 八分打底衫，先买了白色，再补一件黑色。</t>
  </si>
  <si>
    <t>好 买短了东西挺好的就是弄错尺码短了点</t>
  </si>
  <si>
    <t>不错 这个不错 不同阶段都可以用 又给朋友买了两套</t>
  </si>
  <si>
    <t>很喜欢 穿着舒适，很合身</t>
  </si>
  <si>
    <t>正品 质量好</t>
  </si>
  <si>
    <t>好 很好</t>
  </si>
  <si>
    <t>值得推荐 儿子一直吃这个益生菌，好</t>
  </si>
  <si>
    <t>不错哦 超级好，便宜又好用。</t>
  </si>
  <si>
    <t>很好 吃青菜都是用这个 很好</t>
  </si>
  <si>
    <t>尺码合适，穿着舒适 ECCO的尺码很一致，一直选择42码（8.5），很合脚，穿着舒适，性价比也不错。就是感觉最近几年ECCO鞋的质量有所下降，主要是鞋底质量下降，往往鞋帮子还是完好的，鞋底就脱落和开裂，不知这双怎么样？</t>
  </si>
  <si>
    <t>很好很好 日本制造。舒适。170CM，72KG这个号刚刚好，合身。保暖感觉也还可以，穿上确实热乎一些。推荐！</t>
  </si>
  <si>
    <t>正品 海淘原产地出货，孩子的电动牙刷替换用，没毛病，正品，比国内便宜些。</t>
  </si>
  <si>
    <t>111 三天直邮就到手，太快了，硬盘很漂亮，就是内置硬盘缩水严重，放电脑里面传输速度也就在130m上下，上网查了一下这块盘不太好，总之一分价钱一分货，还不错了</t>
  </si>
  <si>
    <t>方便 之前的净水器是在德亚上买的，转运回来的。现在滤芯可以直邮了，非常方便，希望一直都有。</t>
  </si>
  <si>
    <t>很好 鞋子很漂亮，平时穿41的，买的美国尺码8,刚好。价格很有竞争力。</t>
  </si>
  <si>
    <t>购买招牌鞋子大失败 忘记是越南还是印尼产的了，皮面和照片相差很大，因为容易沾灰尘，收到鞋子时，鞋子显得非常旧，颜色是灰黑的。 尺码比普通的鞋子大很多，我穿27的运动鞋刚好的脚，在这个鞋子上选CN26.5还大出一个手指的距离。 鞋子的头实际很短，从上往下看难看的飞起。 不过这个鞋子挺耐穿的，皮很薄，但是质量不错。两侧有洞，透风。</t>
  </si>
  <si>
    <t>一般般 价格还算可以，一百来块钱，还送一个钥匙扣。 面料感觉是pu，肯定不是真皮。做工马马虎虎，不算差，但也绝对对不起CK品牌形象。 尺寸必须要说说，因为是美版，打开后细长的，放100块纸币勉勉强强，实测不宜超过15张。</t>
  </si>
  <si>
    <t>无 读取速度并没有传说中的那么快</t>
  </si>
  <si>
    <t>非常差 好垃圾 什么软件 真的是 裤子包装很才就算了裤子一拿来才穿一下就破了 太次等了</t>
  </si>
  <si>
    <t>差评 盖子异味严重，而且与我之前买的那个不一样，差评！</t>
  </si>
  <si>
    <t>耳机线很脆，记得多买一根备用 当初特价买的，现在降价了比当时还便宜，特来回忆一下。音质还是可以的，随便听听；抗噪声能力自然比不上主动降噪的。戴久了也不疼，舒适度不错。就是耳机线最好多买一根。如果想带着运动的话可以买蓝牙版。</t>
  </si>
  <si>
    <t>质量和布质还好，偏小了一点！ 质量和布质还好，偏小了一点！</t>
  </si>
  <si>
    <t>过大 鞋很好看，稍微有点大</t>
  </si>
  <si>
    <t>没有超出预期 选的L31 30对于170CM、75KG的我来说很合身，确实不是国内所说的修身款，但还算修身！做工很一般，到手250左右的裤子，其实性价比不是很高，没有惊喜也没有太大的失望！不太建议海淘！</t>
  </si>
  <si>
    <t>性价比可以哦 裤子很厚实，不是修身款的，是直筒的裤子，质量还不错。适合中年男人，和产品介绍的图片有出入，没有那么好的裤型</t>
  </si>
  <si>
    <t>超喜欢的包包 做工质量很棒，暂时没有撞包的可能哦！夏天搭配T恤短裤炒鸡好看舒服，棒棒的</t>
  </si>
  <si>
    <t>尺码合适，就是码不全。喜欢的颜色没有码 按照平时穿的码买挺合适的，之前看评论也是纠结了很久。</t>
  </si>
  <si>
    <t>给更多的消费者一点建议 质量很好👍🏼正品，我一直穿这个牌子的运动，希望有更多的款式！</t>
  </si>
  <si>
    <t>橙汁神器 这个机器超方便实用。橙子不用去皮，不用费力，快速不浪费，清洗方便。每天给儿子榨一杯满满都是爱的橙汁，满足。</t>
  </si>
  <si>
    <t>保暖裤 喜欢，超级舒服，所以又回购了</t>
  </si>
  <si>
    <t>大品牌放心 是软头的，喂饭很方便。就是孩子长牙很爱咬，已经咬坏一个了。</t>
  </si>
  <si>
    <t>好东西，值得购买 东西不错，速度也快，值得信赖！</t>
  </si>
  <si>
    <t>不错的毛衫 做工不错，180CM，74公斤买的M号，比较合适。唯一不是太满意的是稍微有些薄。</t>
  </si>
  <si>
    <t>好 一周就到货，比普通电熨斗好用多了，熨衣快切平整，保护功能完善。遗憾的是没有中文说明书，网上也找不到。</t>
  </si>
  <si>
    <t>满意 声音挺出色。需要好的音源和线材，这个价位不错了</t>
  </si>
  <si>
    <t>不错 质量还可以。</t>
  </si>
  <si>
    <t>一款非常好的保温水杯 该系到水杯都很好，超轻、保温好，锁扣使用方便，又不影响喝水口。</t>
  </si>
  <si>
    <t>好 不错，大小差不多！！</t>
  </si>
  <si>
    <t>和成人版比质量肯定差一些的，穿个样子，毕竟便宜 英亚越南产，11天到，我是35.5的脚，平时穿36鞋，脚属于中等肥瘦，脚背中等高，看完评论怕买小了，毕竟换货来回运费就很贵，就保险点入手了大童4.5M，回来后试了下发现这个码依旧大（长+宽），还好本来也是想垫内增高的，再加上东北冬天的厚鞋垫，依旧不挤脚。虽然买大了码，整体也并没有看着很大很肥，毕竟版型还不错的。</t>
  </si>
  <si>
    <t>添柏岚 非常不错，运动鞋平时穿37-38的，拍的6.5W的，很合适。</t>
  </si>
  <si>
    <t>面料好，款式经典 非常舒服的面料，柔软但又很有型，就是我买的有点略大了…简直一般身材的mm就选小号好啦</t>
  </si>
  <si>
    <t>好商品！ 一直在服用，效果好极了！</t>
  </si>
  <si>
    <t>建议亚马逊 尺寸合适，但是建议亚马逊能把尺寸做的更加详细一些，比方说肩宽，胸围，底围，袖长，毕竟是海外购，退换货都不方便，越详细越能帮助购买者买到合适的东西</t>
  </si>
  <si>
    <t>男士经典直筒牛仔裤 仔裤很不错！跟预想得还好，号码经销售顾问提供非常合适。海外购物时间会长点儿，很值得期待。还会买。</t>
  </si>
  <si>
    <t>喜欢 活动抢的，牙刷真的很好用，种草，就是太贵了，不然真的应该家里人手一支。</t>
  </si>
  <si>
    <t>性价比高 做工整体不错，细节上拉链扣是白色不锈钢和图片不符，袖子属于窄袖。做为初冬外套，我向大家推荐此款。</t>
  </si>
  <si>
    <t>同预想中一样，不错哦。 同国内的裤子比，性价比较高。</t>
  </si>
  <si>
    <t>剪裁不舒服，无法全面包裹屁屁 剪裁不舒服，无法全面包裹屁屁</t>
  </si>
  <si>
    <t>包装烂了 第一次收到拿塑料袋子装奶瓶，被挤成什么样，还好奶瓶没烂</t>
  </si>
  <si>
    <t>压坏了 美亚太不行了，最近买东西连个箱子都没有，用个袋子装着，寄过来都压坏了，压的扁扁的，日亚每次都包得非常好！</t>
  </si>
  <si>
    <t>实际使用次数不超过20次，然后就坏掉了？ 突然就不识别，还不能修复，监测出来这些，我都怀疑这是假的。   设备描述: [H:]USB 大容量存储设备(SMI USB MEMORY BAR)  设备类型: 大容量存储设备   协议版本: USB 2.10 &amp;lt;- 提醒：该设备支持USB3.0规范，将其连接到USB3.0接口可提高其性能  当前速度: 高速(HighSpeed)  电力消耗: 500mA   USB设备ID: VID = 090C PID = 3267  设备供应商: Silicon Motion,Inc.  设备名称: SM3267AB MEMORY BAR 设备修订版: 0100  产品制造商: SMI  产品型号: USB MEMORY BAR 产品修订版: 1000   主控厂商: SMI(慧荣)  主控型号: SM3267AES - ISP NONE 闪存识别码: A4A4A4A4 - 1CE/单通道 [MLC]  可能的闪存型号 ------------------ Unknown(未知)  闪存识别码映射表 ------------------ [通道 0] [通道 1] A4A4A4A4 -------- -------- -------- -------- -------- -------- -------- -------- -------- -------- -------- -------- -------- -------- --------</t>
  </si>
  <si>
    <t>很垃圾 超级难用啊啊啊！！根本不是原装的！！！这个牙刷头磨牙龈啊啊啊</t>
  </si>
  <si>
    <t>性价比比较高 读写速度比较慢，但性价比比较高。</t>
  </si>
  <si>
    <t>耳机3⭐，客服5⭐ 从下单到确认全额退款，历时整整一个月，期间各种的等待、焦虑、惊喜、失望...不过亚马逊的售后服务确实没得挑剔，名不虚传，除了时间有点久，但这也是海外购和特殊商品的原因，不是拖延造成的。耳机本身音质很好，当然是在有线连接音频的情况下，蓝牙无线连接是始终有很明显的电流声，基本无法欣赏乐曲本身，这是硬伤，作为无线耳机，这是不可原谅的缺陷，否则买为什么要买无线款呢？佩戴舒适度方面，只能说还好吧，耳罩有点小了，需要另购大号的耳罩替换，重量稍微沉了一点，因为是试机，没有长时间佩戴，只能体会到此。材质方面，据美亚评论，头戴横梁部分的蒙皮不够耐用，容易刮花，外形的确不错，有型，也避免了大部分耳罩式耳机的塑料感。耳机本身给三星吧，就是因为蓝牙连接的干扰杂音。五星是给亚马逊客服的。</t>
  </si>
  <si>
    <t>尺码 183cm 78kg L 合适 紧身 领子的设计有点特别，穿着合适，贴身。</t>
  </si>
  <si>
    <t>不错~ 还不错啊,用这个价钱就不能期待它十全十美,所以虽然长得非常单薄,可是性能感觉还是不错的,还有盒子和说明书.我觉得是物超所值吧,弟弟很喜欢,我也高兴!</t>
  </si>
  <si>
    <t>尺寸比国内的大半号 面料是薄的那种</t>
  </si>
  <si>
    <t>喜欢 很喜欢</t>
  </si>
  <si>
    <t>大小合适 175 67kg 穿S码合适。不大不小，长短也刚好</t>
  </si>
  <si>
    <t>根据大家的意见买的刚好 我186cm，85kg，M码刚刚好。非常感谢大家评论给的信息</t>
  </si>
  <si>
    <t>不错 日常补钙吃的，打折时买的，价格很划算</t>
  </si>
  <si>
    <t>尺码 一只合适，一只穿好几天了还是痛脚，脚大小还是鞋大小？</t>
  </si>
  <si>
    <t>很舒服。 平时36.5，瘦脚，鞋子略长了一点。网上攻略说，欧美人的M型其实比较瘦，确实是。买C/D比较合适。 重，但是很好走路。黑色不耐脏。</t>
  </si>
  <si>
    <t>要细心 包装盒瘪了，应该耳机不受大影响，应该装填充物</t>
  </si>
  <si>
    <t>保温效果好，保温时间长 保温效果非常好，前一天晚上，把麦片红枣与刚烧开的开水倒入杯中，第二天早上有红枣麦片粥吃了，还很烫嘴。有早餐自己冲麦片的朋友，建议入一个。至于其他的所谓闷烧杯食谱，没有试过，不做评价。另，早餐吃完麦片，洗干净可以用来冲咖啡，一物两用，物超所值</t>
  </si>
  <si>
    <t>不错 非常好看，而且质感很不错，170，125斤，选择S号的还行，稍紧。</t>
  </si>
  <si>
    <t>真的很棒 超级舒服，完全无感。不勒。</t>
  </si>
  <si>
    <t>很舒服很好很舒服 很好很满意很舒服很好很舒服</t>
  </si>
  <si>
    <t>好 声音很好很好很好</t>
  </si>
  <si>
    <t>493真的香！！ 颜值无敌。。 我是藤原拓海。。</t>
  </si>
  <si>
    <t>不错非常好，是正品 是正品，而且很优惠，和我的刷柄很匹配，刷毛很好，刷牙的时候也很舒服。还有装上刷头震动也很棒！每个刷头都有独立包装哦，很卫生，很好！</t>
  </si>
  <si>
    <t>超轻 好吧，颜色和重量都可以，就是需要注意清洗内壁需要软一点的刷子，不然破坏保温性能。</t>
  </si>
  <si>
    <t>一双8分的鞋 990v4元祖灰并没有传言中那么惊艳，它朴实无华，它舒服耐穿，它低调隐忍，它百搭而永不失潮流，与我而言，是十分合适的。</t>
  </si>
  <si>
    <t>质量好 合身，白色不透，打底外穿都可以</t>
  </si>
  <si>
    <t>质量好 中国产品</t>
  </si>
  <si>
    <t>满意 在L与M间纠结了很久，最后入了L。内胆合身，拿掉内胆的话，外套偏大。功用有待检验，相信品牌的力量。</t>
  </si>
  <si>
    <t>非常好 是正品，给妈妈买的，吃了效果非常好，已经第三次购买了，还会回购</t>
  </si>
  <si>
    <t>鞋子不错 非常好，丫头非常喜欢，帮同事买第二双了</t>
  </si>
  <si>
    <t>硬盘很美 漂亮的硬盘，就是太贵。某网评说质量后期堪忧。建议购买的人买回来第一时间备份硬盘里的两个自带软件，否则使用后就直接不见了。</t>
  </si>
  <si>
    <t>一般 买了一直没拆，后来穿上发现残次品，腿上有一块一块的白圈，太难看了！</t>
  </si>
  <si>
    <t>到底按什么标准的尺码 尺码过于宽松。</t>
  </si>
  <si>
    <t>价格便宜 衣服出现一点污渍无法去掉，无奈就留下吧</t>
  </si>
  <si>
    <t>精工 SEIKO SNK621K1 货3天就到了，速度还算可以，就是快递员的服务态度不太好，强烈建议卓越换送货的合作方！！！ 手表本身还不错，大体还是好的，有两个细节不知道算不算问题：1，秒针的尾部有个很小的斑点，不知道是个本身就有的记号还是灰尘；2，校对时间的时候，表把拉到第二格秒针还在走，说明书上写的好像是能停下来的意思？！。 再者就是到指定的维修站紧表带，收了10元，说是网上买的不能免费，郁闷！ 先带着，走的准不准一个月后就评论。</t>
  </si>
  <si>
    <t>很失望的一次购物 特别不满意的一次购物，收到以后水牙线就不出水，联系了客服说不能上门取件，让我自行邮寄到美国，由亚马逊来报销国际运费。找ems寄出去了，结果在海关说安检不合格被退回来了。联系亚马逊又说可以上门收货了，把东西给易客满的代收快递以后，亚马逊给退了款。但是ems只退了部分邮费，收了49元的报关费和包装费，我联系亚马逊客服想让他们把这部分费用补偿给我，毕竟这件事的源头是因为商品质量有问题，其次是第一个客服告诉我不能上门收货让我自行邮寄才产生的费用。客服说这个不能退，我让她请示领导，四五天过去了，连个回音都没了。姐在乎的不是这49块钱邮费，是你们亚马逊对客户的态度，prime会员除了优惠点运费，真没看出在服务上有什么区别。</t>
  </si>
  <si>
    <t>产品质量差，售后服务找不到，互相踢皮球，亚马逊对比京东差太多了 产品到了后不到一个月出现硬盘识别问题，群晖技术支持不承认是机器问题，怀疑是硬盘问题，再下单买了两块硬盘，最后群晖技术承认是产品质量问题，让找亚马逊进行质保，亚马逊说已过退货期，让找群晖。来回踢皮球，以后还是去京东买吧。</t>
  </si>
  <si>
    <t>码数混乱，退货运费高昂 不敢相信，两件S 的，黄色居然比蓝色大一码，包装都拆毁了，退货运费要125比我买衣服还贵，算了</t>
  </si>
  <si>
    <t>还没用，一般般吧 还没用，看上去质量过得去</t>
  </si>
  <si>
    <t>品牌 其实是因为这个品牌的广告才有购买的冲动的，也觉得在网站一直推荐的总是不错的，但就使用的情况来看并未有预期的那么好的效果，也许是本人的期望过高造成的，毕竟在价格优势的前提下是很难做到质量极佳的，用用还是可以的！</t>
  </si>
  <si>
    <t>Lee牛仔 162cm，65kg，m码穿一件秋衣扣扣子稍微有些绷，袖子比国内长一些，不厚，显廋。</t>
  </si>
  <si>
    <t>wmf 东西是真不错，但个头是真的小。</t>
  </si>
  <si>
    <t>还行吧 欧版要略肥一些，其他都可以，不是纯棉的</t>
  </si>
  <si>
    <t>超乎意料的满意 第一次购物体验，被真诚服务惊到了，很看重我的要求。</t>
  </si>
  <si>
    <t>宽松了点，后背的蕾丝穿起来很舒服，没杯没型 还得自己里面加个杯垫撑起来，比其他款偏宽松，大一码</t>
  </si>
  <si>
    <t>大了 手感很软，但是号码比国内大一码。我国内外套穿xl，买的xk大了，给我妈了。我应该买l的</t>
  </si>
  <si>
    <t>哼好用 给孩子的，好用，神奇，颜值高！</t>
  </si>
  <si>
    <t>五星 鞋子收到了，海军蓝的穿上很漂亮，码数跟平时穿的一样，快递也很给力不到一周的时间就收到了。</t>
  </si>
  <si>
    <t>衣服是好衣服 挺不错的蛮合身的（本人1.8m订的是中码刚刚好） 舒适度不错 足够贴身</t>
  </si>
  <si>
    <t>怎么还没有补货啊！！！ 这么好的东西。这么物美价廉的。怎么不能直邮了啊！！！难道又要去美亚转运吗?真悲剧。</t>
  </si>
  <si>
    <t>非常好 非常好的，连续服用两瓶，的确有效果，晨勃更明显，白天精力充沛。有些人说没用，我估计服用时间没得两瓶，没得天天连续服用吧！这口感应该是，糊化的玛卡。</t>
  </si>
  <si>
    <t>内衣 174cm，69kg，穿上肩膀有点小，其他都可以</t>
  </si>
  <si>
    <t>特别好 真心推荐买这款运动裤，舒适亲肤。很棒！</t>
  </si>
  <si>
    <t>稍微有点偏长 稍微有点偏长，质地挺好！</t>
  </si>
  <si>
    <t>看着还不错 全棉的，还不错，身高185体重185斤穿XL的合适。</t>
  </si>
  <si>
    <t>还行 皮质稍微硬了一点</t>
  </si>
  <si>
    <t>不错 价格有优势</t>
  </si>
  <si>
    <t>合适。 175/67.5，S码合适。</t>
  </si>
  <si>
    <t>很暖和 我的床是1.8*2M 的，配的是2.2*2.4的床罩，大小还算合适。如果追求下垂的效果，恐怕还要大一号。身处华北，还没给暖气，所以很暖和，不知道以后会不会热。没发现钻毛的问题。不像国内的羽绒被有固定的孔，不过这么大的被子，应该也不会移位。</t>
  </si>
  <si>
    <t>非常好 码数正常 皮质很好 很轻 走路很稳感觉不到是高跟鞋 大脚板的福音</t>
  </si>
  <si>
    <t>不错 包不错，容量大，适合2天左右出差使用，平时踢个球也没问题</t>
  </si>
  <si>
    <t>很舒服，值得购买 很舒服，值得购买</t>
  </si>
  <si>
    <t>满意！ 容积大小合适，睡前焖烧银耳汤，翌日带去上班午饭喝，棒棒哒！</t>
  </si>
  <si>
    <t>173cm，65kg，s码比较合适，长度足够。 173cm，65kg，s码比较合适，长度足够。</t>
  </si>
  <si>
    <t>不值得推荐 出于对之前买过的郡是的一款无钢圈文胸的好感，又买了这件，但远不如之前那款好。首先肩带不能调节，我个子高肩带显得偏短老是跑上去；其次外侧的面料穿几次以后会起球；最后胸型也几乎没有，因为不分罩杯，几乎是扁平的：（</t>
  </si>
  <si>
    <t>磨损 一边的皮面磨损</t>
  </si>
  <si>
    <t>颜值很高，但品控有待提高。 做工不错，但最终还是退了，因为笔握那个金属桶居然是松动的，要上墨拧开笔杆时发现的。感觉是不是前面的颚环没有上紧的缘故，但自己没有工具调整它。</t>
  </si>
  <si>
    <t>过大 漂亮，但过大，这里m码相当于亚洲xl码，只能当oversize穿</t>
  </si>
  <si>
    <t>质量不好 给母亲买的，涂层已经脱落了。</t>
  </si>
  <si>
    <t>不值得 晚上取回家后只试了长短，感觉刚刚合适就把标签扯了，第二天早上穿的时候才发现一只的鞋面是这样的，就像旧鞋子，很后悔，但要影响二次销售，只有认了！其他人可能要注意一下才行。</t>
  </si>
  <si>
    <t>比较硬 比较硬</t>
  </si>
  <si>
    <t>很好 货收到了，物有所值。继续支持亚马逊</t>
  </si>
  <si>
    <t>比国内大两码，你可注意了 真真大两码，用料、做工、颜色，都可以，就是袖子上的LOGO穿没几次就脱落了，好像是后加上去的不牢固，海外购衣服大了换就不可能了运费吓死你，对付穿吧，记住别想着像国内某宝随便退换，这个你换不起！</t>
  </si>
  <si>
    <t>薄 没有认真看，很薄的款式，我只看到价钱好便宜，呵呵</t>
  </si>
  <si>
    <t>国际大牌质量可靠，速度3天到达满意 国际大牌质量可靠，写入拷贝速度平均100M-130M/s， 发货速度5天到达，非常满意 就是关税交了87rmb</t>
  </si>
  <si>
    <t>号码合适 我特别喜欢 上海的专柜7月开始就没号了 试了其他颜色的39 还是想要黑色就来这了  稍微有点压脚背 商场也是酱紫的</t>
  </si>
  <si>
    <t>耳机还行 耳机怎么说呢，还不错，但是现在很多这个价位的耳机都是金属质感的了，这个看起来有点廉价了。耳机煲了一天多吧。有点白开水的感觉，能感觉到比较通透。但是对比我以前的天龙又感觉没那么亮，听王菲影子分离度明显不够，高频明显的偏后，女声虽说靠前，但也同样不亮，听电吉他版的加州旅馆明显的不如天龙的。低频和我的k450对比又不如他那么强，没有震感。当然现在明显感觉低频比一开始好多了。我是个木耳，随便瞎写写。当然我那两个耳机听了五年多了，但愿这个耳机煲开后会好。不过塞在耳朵里不难受这个要赞一下。</t>
  </si>
  <si>
    <t>感觉东西很好值得买 包装简单，但东西很好，价格实惠。</t>
  </si>
  <si>
    <t>不错不错差点买第二双了 360黄色到手简直是惊讶，但没6年前我买的snake好了，鞋舌厚了点造成夹脚！其他还好。我老是搞不懂，罗马帝国都是这样狭长脚背低的脚形这么打仗呢。。。颜色不是很好，正面处理要看下雨天的情况了</t>
  </si>
  <si>
    <t>完全可拆解清洗的闷烧杯 这个闷烧杯的保温效果很强，早上装的饭，中午的时候感觉和刚煮出来的差不多。这个闷烧杯可以完全拆解清洗，解决了我以前一直很纠结的痛点，这样即使装一些比较油腻的食物，也不用担心清洁问题了。</t>
  </si>
  <si>
    <t>非常舒服，值得入手 鞋子很漂亮，尺码也标准，一直穿36的鞋子，入手穿后发现非常合适。价钱比在国内的一些折扣店里便宜的多，发货的时间也还算快。</t>
  </si>
  <si>
    <t>满意！ 非入耳式佩戴舒适，没有听诊器效应，也能听到小部分外界声音，更安全。 音质不错，这个价格无法挑剔了。 配送很快，周一下单，周六送到。</t>
  </si>
  <si>
    <t>真正的钢笔 全都是不锈钢的。 F的很流畅，略粗。 EF的以前很喜欢，现在觉得没必要，划纸。</t>
  </si>
  <si>
    <t>非常舒服 非常舒服，尺码合适</t>
  </si>
  <si>
    <t>内里羊毛暖和 试穿鞋码正合适，平时国内专柜穿37码，内里是羊毛很暖和，等冬天来！</t>
  </si>
  <si>
    <t>100周年纪念款加厚加绒 限量款果然对得起观众，这个质量加厚加绒的。渐变蓝色，老公不属于白皮但是超抬肤色的。就是美版尺码还是比亚洲版大1-2个尺码。</t>
  </si>
  <si>
    <t>适合瘦型脚 做工，样式都很好。鞋子适合瘦型脚，尺码很准。第一张图是我一双哥伦比亚的鞋的号码41.5，这个鞋我要了41的正合适。快递极快，两三天从英国到了北京。</t>
  </si>
  <si>
    <t>非常合适。价格太好了 比专柜便宜一半以上。品相也很好，发货超快。本来还想买一双结果就没啦。平时38码，37.5clarks可穿。但是38更舒服。</t>
  </si>
  <si>
    <t>L 质量非常好，舒服</t>
  </si>
  <si>
    <t>赞 这衣服尺码标准，上身舒适。</t>
  </si>
  <si>
    <t>不错 这个材料确实不错 我觉得还可以</t>
  </si>
  <si>
    <t>大小合适，样子好看 样子好看</t>
  </si>
  <si>
    <t>有点硬 有点硬，布料是帐篷用的帆布料。整体不错，个人还是喜欢。172cm，74kg,  33w/29l刚好。</t>
  </si>
  <si>
    <t>会回购 比其他弹力袜舒服多了。只要颜色好，可以无限回购</t>
  </si>
  <si>
    <t>👌 👍👍👍</t>
  </si>
  <si>
    <t>好棒 特别好，非常适合自己的</t>
  </si>
  <si>
    <t>收腹 会卷边，不是很理想哦</t>
  </si>
  <si>
    <t>有1件存在质量问题 衣服穿着舒服，有型，唯一令人遗憾的是3件中的1件（灰色）有质量问题，海外购只能碰运气啦，退货麻烦</t>
  </si>
  <si>
    <t>不保暖 算是海外购里比较满意的一件，但不保暖，不过也对得起这个价格</t>
  </si>
  <si>
    <t>不靠谱，谨慎购买 定的38码，发过来41码。德国人也不靠谱了。退货一个月了，钱还没退回来。电话催了几次没效果。</t>
  </si>
  <si>
    <t>第一次在亚马逊上购物很是失望 无关于货品 而是快递相当暴力 两盒没做任何保护措施 收到后 盒子全部破损变形</t>
  </si>
  <si>
    <t>我觉得质量还可以 非成人款 尺码偏大。 大家注意一下 这款不是成人款的。 尺码偏大 我净脚长230mm 冬天要穿厚袜子所以买大了 没想到确实真的大挺多 裸脚至少大两指 垫了鞋垫厚袜子 还是稍微有点大但穿着舒适。 保暖性还是可以的 买来500多一点 不同尺码不同价格。</t>
  </si>
  <si>
    <t>质地不错 质地不错，只是有些薄，夏天穿可以，或者春秋打球穿。</t>
  </si>
  <si>
    <t>大 布料还好，做工也可。大了一号，易褶皱。</t>
  </si>
  <si>
    <t>超修身款 s码真的很小，修身款适合170/50-60kg</t>
  </si>
  <si>
    <t>可以 这一款还是值得购买的</t>
  </si>
  <si>
    <t>很满意德亚～ 比平时其他春秋穿的Clarks买大半码，适合冬天的厚袜子。含税免邮550秒拍。感觉赚了一个亿……比上一次德亚来的包装有改善，用了牛皮纸而不是塑料袋，很环保♻️，表扬👍🏻</t>
  </si>
  <si>
    <t>短款 挑身材 袖长合适 衣长偏短 跟模特效果一样 家人看着笑</t>
  </si>
  <si>
    <t>比国内尺码至少大一码 材质一般，80多入手，后面有个刺绣冠军的logo，整体就这么回事吧</t>
  </si>
  <si>
    <t>puma 真材实料，7us是37.5码，刚好穿薄袜子较宽松。</t>
  </si>
  <si>
    <t>合适物超所值 平时穿36.5或37码鞋，这个童款5码合适，物超所值，脚面有些低，胖脚慎选，</t>
  </si>
  <si>
    <t>。 紧身，透气，比秋裤暖和些。</t>
  </si>
  <si>
    <t>没问题 &lt;div id="video-block-R3S982FFJP2IPL" class="a-section a-spacing-small a-spacing-top-mini video-block"&gt;&lt;/div&gt;&lt;input type="hidden" name="" value="https://images-cn.ssl-images-amazon.com/images/I/A1RwU7zVbiS.mp4" class="video-url"&gt;&lt;input type="hidden" name="" value="https://images-cn.ssl-images-amazon.com/images/I/71MclyHk5tS.png" class="video-slate-img-url"&gt;&amp;nbsp;还可以，9M是42码，我的脚肥，不大。刚穿有点点挤脚，耐克阿迪穿43，43的脚建议买9EE，穿厚棉袜应该更好！实物比照片好看。快递太慢，12号下单，29才到。</t>
  </si>
  <si>
    <t>还算合适 w34l32，腰围和国内34基本一致，32长度和国内34的一样，因为微喇，鞋面挂不住，所以显得略长</t>
  </si>
  <si>
    <t>好きです 和我男票买的情侣杯。Made in China 但我在了解之后丝毫不介意。很轻、很保温！怕烫！日亚的包装很安心。满意！</t>
  </si>
  <si>
    <t>非常棒！ 非常非常好，全新的正品。耳机非常方便。蓝牙很好不断，音质低频差了点火候，三频均衡，总体不错.不加头舒适。耳机触屏很灵敏没问题。非常值得够买</t>
  </si>
  <si>
    <t>不错的外接硬盘 小巧，声音很小，下载速度挺快</t>
  </si>
  <si>
    <t>颜色正版型好 老公的裤子基本都是Lee的！典型的大腿小腿都很粗的那种男生！这款裤子很舒服！大腿粗的男生也可以驾驭！性价比很高</t>
  </si>
  <si>
    <t>第一次购买，挺好的不错 点赞一下，第一次购买，下次还会继续</t>
  </si>
  <si>
    <t>Good Good 尝试中 非常好</t>
  </si>
  <si>
    <t>质量好颜值高又很实用 好，以前从不去评价，不知道浪费了多少积分，现在知道积分可以换钱，就要好好评价了，后来我就把这段话复制走了，既能赚积分，还省事，走到哪复制到哪，最重要的是，亚马逊的东西确实不错，推荐给大家。第二次买了。</t>
  </si>
  <si>
    <t>可以 还算精致，84腰围买的85正好。此腰带不可裁剪</t>
  </si>
  <si>
    <t>很合适 身高170，体重150，买的M，很宽松，长度稍微短了一丢丢。到手价580，绝对超值，国内淘宝怎么也要八九百一件。很划算。保暖也很不错。明年有活动再来一件。</t>
  </si>
  <si>
    <t>CK正品 是CK正品，质量很好。修身款不臃肿，没有跑绒现象。此款羽绒服跟国内的码差不多，按平时穿的码选就成。</t>
  </si>
  <si>
    <t>舒服 比较舒服</t>
  </si>
  <si>
    <t>很好 很舒适，无痕，163-115斤，m合适。</t>
  </si>
  <si>
    <t>不错 就这个价格来说 是很不错的</t>
  </si>
  <si>
    <t>Lexar 64GB 给相机买的，不错，容量可以</t>
  </si>
  <si>
    <t>商品无包装保护，外观破损。 开通会员下了2单，买了3件商品，到手都是无包装保护，2件商品外观破损严重，号称伊拉克战损级别，申请了退款，又是要发照片邮箱又是要电话沟通，麻烦，干脆取消会员，以后X东买算了，至少商品做到了有包装保护，拿到手上是完好的。。。</t>
  </si>
  <si>
    <t>小的那个碗吸不住 最小的那个碗根本吸不住，其他感觉一般般</t>
  </si>
  <si>
    <t>表不准 开始还行，用了两月后表不准了，有时一天慢几个小时，让我咋说呢！</t>
  </si>
  <si>
    <t>不建议买 不建议买，太假了。带头原始，带子完全低质量革制。配套不全。</t>
  </si>
  <si>
    <t>还不如山寨 这水准还海外购，还不如国产山寨，给一星都是多的</t>
  </si>
  <si>
    <t>有瑕疵，望重诚信！ 海淘速度一流，21号下单，27号送到家，但是商品是有瑕疵的，而且看出来并不是运输造成的，看来老外也并不诚信！不影响使用就不退换了！</t>
  </si>
  <si>
    <t>硬了点 硬了点，宝宝还是偏爱小月份那种软的漂亮的</t>
  </si>
  <si>
    <t>版型较肥 面料不错，但版型比较肥</t>
  </si>
  <si>
    <t>质量好 质量很棒！物流速度也比预计的早了一周。不过脚踝那里确实太紧了。尺码略偏小，冬天穿厚袜子有点紧。</t>
  </si>
  <si>
    <t>还不错。 有点大了。</t>
  </si>
  <si>
    <t>贴身，舒服 喜欢</t>
  </si>
  <si>
    <t>好看 好穿 实物比图片好看多了 确实偏大半码 穿起来很舒服</t>
  </si>
  <si>
    <t>做工 一次性买了两条，不错不错</t>
  </si>
  <si>
    <t>好！ 比家里那把娃吓哭的破壁机强太多，又好清洗声音又轻，价钱一半都不到。</t>
  </si>
  <si>
    <t>棒棒 很棒。很好。 缺点：重。</t>
  </si>
  <si>
    <t>推荐购买 太棒了！ 无论是舒适感还是外观品质都非常符合我的预期。 现在就准备穿个吧月后看看有没有其他问题。</t>
  </si>
  <si>
    <t>很不错，厚薄正好尺寸也合适 下单一周后收到，穿着很舒服，好评</t>
  </si>
  <si>
    <t>手功可以的 包包收到了。這個比較適合小朋友或是女孩子，成年男性的話尺寸太細。</t>
  </si>
  <si>
    <t>赞 好看又舒适，和想象的完全一样</t>
  </si>
  <si>
    <t>挺好 还可以吧！不是很修身，想要长腿欧巴的感觉比较难，但是对于大叔来说没啥不好的。</t>
  </si>
  <si>
    <t>好评 宽松款，里面还有加绒，买了L号有点大，不过觉得换货太麻烦了，就这样穿了吧</t>
  </si>
  <si>
    <t>特价时购买的 中国产，质量很好的。</t>
  </si>
  <si>
    <t>音质挺好，价格不错。 音质挺好，价格不错，如果喜欢歌德的，那对高斯的做工也没什么好挑剔的。</t>
  </si>
  <si>
    <t>吸收相当不错，就是不知道生产日期和保质期 很容易被吸收的钙片！！ 已经第二次购买了，媳妇怀孕期间就一直吃，孩子生下来后骨骼发育的比同期出生的其他孩子都要好很多。 以后还会接着买，希望越做越好。</t>
  </si>
  <si>
    <t>舒适 重点就是穿上很舒适。</t>
  </si>
  <si>
    <t>ok 还不错 发货速度物流速度比我想象的快些鞋子也很满意 增高又显腿长 穿去爬山很舒服 不过这鞋还是更适合秋冬 夏天穿有点闷热</t>
  </si>
  <si>
    <t>美国 OXO 奥秀食品冷冻储存盒 很不错哦，做辅食很方便</t>
  </si>
  <si>
    <t>非常有质感 买之前看了很多评论，有好有坏，因此有点忐忑不安。到手之后顾虑一扫而光，鞋子很有质感，很有风格，做工非常棒。样式和颜色跟广告图片完全不一样，是我拍的照片的颜色，基本上没有色差。平常穿阿迪42，耐克42.5，这双买了8.5，刚好，到手价710，非常满意和喜欢。</t>
  </si>
  <si>
    <t>防水保暖效果非常好 国内穿35或36的鞋子，买的这个码穿了厚袜子还是有些大。但是它的防水效果真的很棒，保暖效果也非常好。</t>
  </si>
  <si>
    <t>舒适 超级舒适的内衣，贴身部分是棉的，75B穿S码正好。</t>
  </si>
  <si>
    <t>现在都没有盖子了吗？ 还没开始用，不过现在一个盖子都没有了。</t>
  </si>
  <si>
    <t>非常喜欢 喜欢30秒的提醒功能 有5个模式可以选择好棒</t>
  </si>
  <si>
    <t>瑕疵大大滴 买的第二条了，和lee家的33 30号相比，腰围小一点点，裤长要长个半寸到一寸，版型适合腿粗的 但这次让人非常失望，裤子拉链处有一个黄豆大小的破洞，就这残次品也敢往出来发？海淘退货太麻烦，这裤子也就一百多块钱，就这样吧</t>
  </si>
  <si>
    <t>确实不好 毫无承托力毫无塑形，只适合没胸的人，b以下罩杯合适</t>
  </si>
  <si>
    <t>一般般 感觉一般吧，可能长期服用会明显些，里面少一颗，只有半颗空胶囊，可能罐装时算错了。</t>
  </si>
  <si>
    <t>发错型号了 好像给我发错型号了，不过也能用</t>
  </si>
  <si>
    <t>1 发的是美版，价格还那么贵，好意思？、？</t>
  </si>
  <si>
    <t>鞋码与描述不符 比实际脚长了1.5cm</t>
  </si>
  <si>
    <t>尺码偏差很大，同为美版，和一起买的其他M码相比，小很多，没有吊牌，二次包装，取出后发现衣服都是反叠的，非常糟糕 尺码偏差很大，同为美版，和一起买的其他M码相比，小很多，没有吊牌，二次包装，取出后发现衣服都是反叠的，非常糟糕</t>
  </si>
  <si>
    <t>肤感好 效果不明显 到手价248 好搭配 肤感好 早上用 其他效果就干净不明显了</t>
  </si>
  <si>
    <t>包装破损严重 包装破损严重，不知道零件有没有丢。</t>
  </si>
  <si>
    <t>感觉还行，不像宣传的那么好！ 没有之前用的舒服，刮的不是很干净。唯一的优点是可以水洗。</t>
  </si>
  <si>
    <t>蛮好的 挺可爱的啊，宝宝还没出生囤货的。</t>
  </si>
  <si>
    <t>是保冷杯  不倒热水的 是保冷杯 只能倒冰水 不能热水 估计跟国外小朋友都和凉水有关系 希望保暖的妈妈们注意了</t>
  </si>
  <si>
    <t>很舒服 柔软，很舒服，一如既往好</t>
  </si>
  <si>
    <t>满分💯 鞋非常适合，且是真的，一分价格一分货。</t>
  </si>
  <si>
    <t>还不错，打折的时候买的，邮费加税费余约500 还不错，打折的时候买的，邮费加税费余约五百，走的时间很准，就是太沉了，果断把钢带换成皮带的了</t>
  </si>
  <si>
    <t>五星好评！！！ 这个价格实在性价比高，是某猫旗舰店一半价格！送货超快不敢想象！原封包装！好！</t>
  </si>
  <si>
    <t>主要图便宜 收货插上竟然没反应，才发现window系统不显示，对我这种电脑小白真是难题，好在度娘帮助加胡碰乱撞终于格式化成功，可以使用了，买这个主要图便宜，挺好的，总共两周收货，速度可以接受，整体很满意</t>
  </si>
  <si>
    <t>合适哪些年龄的人吃? 给全家补充蛋白质</t>
  </si>
  <si>
    <t>最满意的一次买夹克外套 不大不小，正好的尺寸，穿起来很舒服，也很好看。</t>
  </si>
  <si>
    <t>好穿 穿着非常舒服，睡觉穿也可以，划算！</t>
  </si>
  <si>
    <t>货真价实 墨西哥产的 布科厚实 穿着舒适 裤型和尺码都正合适 今后还会买。</t>
  </si>
  <si>
    <t>衣服挺舒服的 质量没得说，棉料舒服，可能欧版都偏大吧，打底影响不大就是了。</t>
  </si>
  <si>
    <t>性价比超高，声音均衡，样子太土 性价比超高，声音均衡，样子太土，太值了，严重推荐</t>
  </si>
  <si>
    <t>可以 和预想的差不多，品质还可以</t>
  </si>
  <si>
    <t>烧水快 烧水很快 颜值在线 非常值  使用了八个月 也中招了 塑料部位内部开裂 很担心哪天突然爆开 烧水的时候已经开始漏水</t>
  </si>
  <si>
    <t>评价 满意，上色快，色泽好。</t>
  </si>
  <si>
    <t>耳机质量不错 声音挺好，低音讨好人，佩戴舒适，价格合理。</t>
  </si>
  <si>
    <t>牙刷 第二次买了。非常好用的牙刷，刚刚开始用会觉得好大，越用越舒服！日本的东西还真是好用。</t>
  </si>
  <si>
    <t>合脚舒服 总体上比较满意，尺码选择是量孩子的赤脚长加1cm，作为最后尺寸。穿着舒服。</t>
  </si>
  <si>
    <t>值得买 非常好</t>
  </si>
  <si>
    <t>轻薄舒适 包装是真的无力吐槽，不过好在内裤没有太多瑕疵。穿着合身</t>
  </si>
  <si>
    <t>正品，合适 正品，合适</t>
  </si>
  <si>
    <t>轻薄，好用 很好用，比较轻薄的3.5寸硬盘。买的时候汇率好不错，亚马逊会员免境外境内的运费，划算呀</t>
  </si>
  <si>
    <t>保温效果好 重量轻，保温效果好，使用方便，价格也比天猫专卖店的便宜。</t>
  </si>
  <si>
    <t>这锅是不沾,能用多久? 不沾锅开始用的时候都不错,时间稍长一点就不行了.后期使用还得小心.但愿买到的都能长久使用.</t>
  </si>
  <si>
    <t>不适用于电磁炉或电陶炉 不锈，很好。但如果温度加热不均会出现爆锅的情况，就是那种炒着炒着突然听到碰的一声，吓死人</t>
  </si>
  <si>
    <t>裆部无辜加布料 裤子哪里都合适，颜色也好，舒适度也好，就是裆部他们加了一块布，可能老外屁股翘吧，然后亚洲人穿了都是褶皱，大家看图也可以发现，只是当时我以为他没穿好，其实就是加了一块布，我就退货了</t>
  </si>
  <si>
    <t>没有吸墨器 钢笔有点轻</t>
  </si>
  <si>
    <t>极端差评 脱胶，而且拉线只是装饰，和皮革无连接，极端差评</t>
  </si>
  <si>
    <t>质量一差 衣服质量太差劲了，穿了一周后发现后腰出现一个破洞，太奇怪了。都是在里面穿的，怎么会这样？从来没遇到这么差的衣服。</t>
  </si>
  <si>
    <t>稍微大了点 178/70kg，稍微有些大，穿着显得档很大，可能小一码刚好，布料很厚实，里面加薄绒的，冬天穿很舒服。</t>
  </si>
  <si>
    <t>布料弹性很好，穿着舒适 168/64买的31W30L还是有点偏大了，30W29L或者30W30L可能更合适些。 优点是弹性很好，档一点都不挤，很舒服。</t>
  </si>
  <si>
    <t>喜欢 鞋子质量很好，颜色也正</t>
  </si>
  <si>
    <t>比较满意 MD，170/74Kg，刚刚合身，挺好。</t>
  </si>
  <si>
    <t>挺好的，made in China  觉得运费有点多余 挺漂亮的，质量很好，但越洋过海居然是中国制造？！不知国内有没有专柜</t>
  </si>
  <si>
    <t>值得拥有 穿着非常舒适</t>
  </si>
  <si>
    <t>服用了一段时间 效果不错，坚持中</t>
  </si>
  <si>
    <t>尺码偏大，正常需要选小半码 外观自己看着确实丑，另外鞋垫也很滑，把原装鞋垫换成了刺绣鞋垫，脚底舒服多了。再说支撑，由于这些除了鞋底之外，其他地方都是真皮包裹，所以穿上脚之后刚开始会觉得很不稳，如果是原来那双自带的鞋垫的话脚更不稳，所以很有必要换。鞋子大小的话，我脚长267mm，平时NB或者阿迪达斯都穿10D，七匹娃和红翼都穿的9.5D，但是这双UK8.5就正好，另一双Clarks的鞋是UK9就偏大不少。</t>
  </si>
  <si>
    <t>质量很不错，178cm,95kg买36w34L的腰围正合适，裤子太长了 质量很不错，178cm,95kg买36w34L的腰围正合适，裤子太长了</t>
  </si>
  <si>
    <t>很舒服 纯棉舒服，薄厚适中</t>
  </si>
  <si>
    <t>相对紧身 图片显示不是很准确，仅供参考。</t>
  </si>
  <si>
    <t>适合家居 非常轻薄舒适 适合家居 非常轻薄舒适</t>
  </si>
  <si>
    <t>装修囤货！ 做工不是国产可比的，很好！</t>
  </si>
  <si>
    <t>这款不错 这款不错，朋友送我的，用起来很舒适。</t>
  </si>
  <si>
    <t>很好很合适 big kid的大小感觉和正常的鞋码没差，正常的大黄靴穿us 7m的，这个买big kid同样码的一样合适，菲律宾产的，感觉还不错</t>
  </si>
  <si>
    <t>挺值当的！ 鞋子很好看！很合适！物流比想象的快！</t>
  </si>
  <si>
    <t>水壶 颜值很高的一款水壶 同时间买了好几个 这个算比较喜欢的 保温效果还可以 虽然比不上虎牌 但一下午还是差不多的</t>
  </si>
  <si>
    <t>适合家庭出游 日亚的东西包装一直都很仔细，杯子做工优质，没有异味，发货周期也不长，看中的是这款杯盖可以党杯子使用</t>
  </si>
  <si>
    <t>买买买 买买买</t>
  </si>
  <si>
    <t>值得购买 品质还好，穿上酷酷的。买大一码有些松快。</t>
  </si>
  <si>
    <t>看起来挺不错 冲着这牌子去的，看起来挺不错，吃一段时间看效果。</t>
  </si>
  <si>
    <t>很好，品牌很好。 轻便，实用，虽然不怎么用，</t>
  </si>
  <si>
    <t>多次购买，物廉价美 这是第三次在亚马逊购买Lee的裤子，本来也一直穿这个品牌，和专卖店一样的质量，就是要记得尺码哦</t>
  </si>
  <si>
    <t>美 颜值担当</t>
  </si>
  <si>
    <t>好东西 第一次在亚马逊海淘，快递还行，真的好便宜，到手价550+，性价比很高，拜亚动力耳机超赞不亚于森海塞尔。</t>
  </si>
  <si>
    <t>衣服很好 173cm，67kg，小号很合适，肩略显紧。衣服挺好看，穿着精神。</t>
  </si>
  <si>
    <t>1 侧面裤线歪了，大小合适</t>
  </si>
  <si>
    <t>可爱但不实用 除了可爱没有别的，硬，边角太多容易戳着宝宝</t>
  </si>
  <si>
    <t>還可以 燒水還是快；其它方面因為是德文的說明書，看不懂。</t>
  </si>
  <si>
    <t>质量有问题。掉毛掉毛。 质量超级差，从来没见过内裤掉毛的。穿了粉色的一天，接下来三天身上一直有毛，洗都不知道怎么洗。还掉色</t>
  </si>
  <si>
    <t>太肥！！！ 在腰围、裤长合适的情况下，裤腿太肥了，简直就是水管工人穿的那种，毫无美感。</t>
  </si>
  <si>
    <t>不顺！ 感觉不是正品……首先就是不顺，不顺，不顺！标签都是撬边的，说不出的劣质感！</t>
  </si>
  <si>
    <t>长 177 105斤 L码过长，长到屁股钩去了…可以给女生当超短裙了</t>
  </si>
  <si>
    <t>还行，性价比高 稍微肥一点，不是全棉，毕竟便宜，质量也不错</t>
  </si>
  <si>
    <t>整体问题不大就是小瑕疵还有运费太贵 感觉应该是正品只是左脚尖有点瑕疵和浇水似的没有免运费售后唉</t>
  </si>
  <si>
    <t>UPS好快 手表nice，表带中国产，核心和组装在菲律宾，哈哈哈哈，和谐了</t>
  </si>
  <si>
    <t>实用 很柔软很贴身，价格也便宜，虽然等了蛮长时间。</t>
  </si>
  <si>
    <t>这个不错 这个很不错的，质量很好，美国进口的，很适合宝宝</t>
  </si>
  <si>
    <t>老婆满意 做工和颜色都很好！里面是绒的</t>
  </si>
  <si>
    <t>美国Skip Hop 可爱动物园餐具叉和勺 - 鲨鱼 很好 很可爱 喜欢 就是短了点 结实</t>
  </si>
  <si>
    <t>物美价廉 价格实惠，氦气盘，虽然降速，但速度并不慢</t>
  </si>
  <si>
    <t>日本室内鞋 给孩子在家穿的室内鞋 孩子非常喜欢 而且不闷脚</t>
  </si>
  <si>
    <t>对我来说，性价比不高 我也不知道是我用起来特费，还是啥的，反正一个月不到就变形</t>
  </si>
  <si>
    <t>飞利浦这款真的还不错 入手过便宜的电动牙刷，还是比不上的，使用感非常好，十天不到就洗掉了我的牙结石，声音还好我觉得比欧乐家的小，除了没有送玻璃杯其他都挺好，第一次找充电器的时候找了半天，找到后发现真是黑科技。爱上了刷牙</t>
  </si>
  <si>
    <t>好看 外貌控必入，但我妈说怎么像狗盆~~~~哈哈哈！</t>
  </si>
  <si>
    <t>质量 舒服</t>
  </si>
  <si>
    <t>国内差价大很划算 衣服质量很好，是正品，Champion.us海淘很麻烦，懒得自己淘了，用海外购很是方便</t>
  </si>
  <si>
    <t>物有所值 收到，物有所值，173、146斤L号码合体</t>
  </si>
  <si>
    <t>好 很好用，舒服的质感，超赞，合理的长度</t>
  </si>
  <si>
    <t>百利金M215 比较满意 价格合理  送个笔盒就更好了</t>
  </si>
  <si>
    <t>很舒服 我平时穿m号，这个我买的是m号，但感觉xs的就行，这个衣服号偏大</t>
  </si>
  <si>
    <t>好看 颜值即为正义，灯光下很是温润。</t>
  </si>
  <si>
    <t>不错哦 184/88公斤，穿L刚好，上身不错</t>
  </si>
  <si>
    <t>不是很修身 其实还算合适，但是作为修身款W31的都还稍稍有些松，我平时都穿标准款的W32啊。质量还好，就是颜色有色差，没有图片好看。</t>
  </si>
  <si>
    <t>烧出来的水有水垢 安装挺简便的，但是烧出来的水，上面浮着白白的一层，仔细看，水里面也浮着白色的，个人感觉，是水质有问题，过滤器的过滤性不够</t>
  </si>
  <si>
    <t>哈哈 一直买这个牌子的很喜欢</t>
  </si>
  <si>
    <t>好 物流快，目前产品很好，希望耐用。</t>
  </si>
  <si>
    <t>好东西要分享 一次买了两个，小的是国产的，大的是越南产，其实也不用太纠结哪产的，国产的质量也很过硬，以前480的孩子上学喝不完也摔不保温了，这次正好趁打折换个360的，梦重力系列又轻又好用，亚马逊一打折连专柜都下架了，为什么国内就卖那么贵呢</t>
  </si>
  <si>
    <t>有异味 买了34号，到货的时候就是散开的，不知道为什么有股异味。 买的36号，到货是卷起来的，打开的就没什么味道。</t>
  </si>
  <si>
    <t>太重了 吹风机虽然在国内的电压只能到1700W，但已经够用，但是实在太大太重了，家用真的很勉强。没用配的头，加上头更没法自己吹了。</t>
  </si>
  <si>
    <t>用后感 非常好用，测了2次数值略有不同，手机界面较单一。</t>
  </si>
  <si>
    <t>快快退款 手表已退，因，为与介绍图片有差距，11月28号退的到现在退款不给我退回来，打了几次客服总是说在等等，请问等到啥时候？</t>
  </si>
  <si>
    <t>挺好的吧  我以前用过 我以前也有一块一样的。后来被人偷了。伤心啊 但是这个表很好的，日本原装机心 挺准的 价格也不高 很好用 要好保养的</t>
  </si>
  <si>
    <t>式样不错 式样不错，但是材质偏薄。</t>
  </si>
  <si>
    <t>收到一个大裂缝 刚收到，满心欢喜要用，发现硬币大一个裂缝！包装就是在纸盒外面套了个袋子，难怪要压坏了，好伤心，亚马逊的售后还是不错的，全额含税都给退货了！</t>
  </si>
  <si>
    <t>尚可的杯子 好划算，60多，盖子虽然和瓶子不一样颜色，能接受，使用中均可以，毕竟是玻璃杯，除了瓶底的胶粘纸去除比较不符合产品风格（费力费时去除粘纸）</t>
  </si>
  <si>
    <t>还好 刚收到，中国制造的，不知道设计还是材质原因，表链戴着感觉有点不舒服</t>
  </si>
  <si>
    <t>价格调整太快 鞋子不错，平时穿44，这个44稍稍大了些，就是当天上午拍完下午价格就降了50多，现在没有价格保护，只能拒收再拍，希望亚马逊能改进。</t>
  </si>
  <si>
    <t>好鞋子 平常穿36到37之间，脚宽。这个尺码合适。穿着去北海道。踩在雪地一点都不进水。保暖性不算特别强。但是不长期呆着不动就没问题</t>
  </si>
  <si>
    <t>好货 既可以作衬衫，又可以作外套</t>
  </si>
  <si>
    <t>穿起来很舒服 穿起来很舒服，只是买大了点</t>
  </si>
  <si>
    <t>好 备货，这个奶嘴还是一如既往的好</t>
  </si>
  <si>
    <t>好 非常满意的一次网购。</t>
  </si>
  <si>
    <t>穿着舒服，但颜色会褪色 时间长了会褪色，鞋穿着很好</t>
  </si>
  <si>
    <t>试用报告 不错！腰带宽度很好，比一般的要宽，紧密，弹性好不易卷缩。</t>
  </si>
  <si>
    <t>很舒服的套头衫 一直喜欢这个牌子，非常舒服，还会买</t>
  </si>
  <si>
    <t>真正的小而美 rha流弊 腐国流弊（破音） 无意中发现的小众品牌 网上评测寥寥无几但是评价都出奇的一致:小而美 到手后确实很惊喜 做工完美 外形低调 低音简直惊为天人 还有出色的解析和声场都让人怀疑这么小的腔体是如何做到的 降噪效果确实不错 基本达到海绵套的水平了 佩戴舒适也不容易掉出来 对我来说简直完美</t>
  </si>
  <si>
    <t>男装女穿 特意买的男款 希望穿的宽松一些 快递很快下单没多久就收到了 建议骨骼大的 个子高的女孩 直接选男款吧</t>
  </si>
  <si>
    <t>性价比高 轻巧，方便，速度快</t>
  </si>
  <si>
    <t>不错的说 价格很优惠，德国原产，美亚直邮，很好。先听一段时间再说。好评。</t>
  </si>
  <si>
    <t>尽然是热装备 东西质量不错。170，60kg的，小号正好。本以为冷天穿的，竟然是热装备。</t>
  </si>
  <si>
    <t>效果不错 增强了抵抗力</t>
  </si>
  <si>
    <t>比国内买便宜一半 发货很快，之前在海外购看到了，加关税价格差不多，但是这次打折还有满减活动，优惠了180多，还是很实惠的。收到发现做工很精致，只是觉得心好大，打开表盒手表就在里面晃，表面也没有膜，还好没有磨花的痕迹。买给老公当礼物，挺喜欢的。</t>
  </si>
  <si>
    <t>很好 很好，包装很用心，完全没有晃动的可能</t>
  </si>
  <si>
    <t>漂亮，性价比高 老婆大爱，到手不到700，运动鞋穿40，这双鞋39正好，供大家参考，鞋楦很窄，不适合胖脚，质量非常好，这个价格，秒杀国内所有同价位</t>
  </si>
  <si>
    <t>物超所值，速度超快 10.4号下单8号收到，，没想到会有这么快，硬盘没问题，就是保修只到19年1月，不过海淘也无所谓了</t>
  </si>
  <si>
    <t>很好的含氟牙膏 特别好，一直用这个牌子的牙膏，海外购也很快！</t>
  </si>
  <si>
    <t>不错 不错，日本产的，质量很好</t>
  </si>
  <si>
    <t>虽然用过一次后它不工作了 但是它是好产品，家庭冲洗牙齿还是很方便的。希望下次再买不要罢工了，好好帮我冲牙。</t>
  </si>
  <si>
    <t>适应各种场合 ecco的鞋子一直喜欢，运动、休闲、正装都很合脚。</t>
  </si>
  <si>
    <t>被照片误导了 以为是衣领可以翻下或翻平，不料却是立领而且是不能翻下或翻平的立领，这和将翻领进行到底的穿衣原则严重不符。想退吧，邮资算下来不合算，只好送人</t>
  </si>
  <si>
    <t>超级粘锅，炖肉也不快 超级粘锅，炒个鸡蛋能糊一锅底！！！只能用来炖肉，炖牛肉得1小时，还有点硬，做了葱油鸡，整鸡放进去，1小时后鸡肉还带血，并没有传说中的40分钟那么快！我每天当祖宗供着，刷油刷油刷油！要不是敲击声是叮叮，都怀疑我是不是买到一口假锅了！另外一口妈咪锅，也粘锅厉害，很苦恼！1个锅只能炒一次菜，因为炒完锅底就糊的不能用了，当时锅又烫没法洗！愁人</t>
  </si>
  <si>
    <t>很快吸收，但好像没什么效果 很快吸收，但好像没什么效果</t>
  </si>
  <si>
    <t>退换货很麻烦 大大大</t>
  </si>
  <si>
    <t>假货 假货，大家不要买</t>
  </si>
  <si>
    <t>垃圾 鞋底太硬 应该不是真的 慎重购买</t>
  </si>
  <si>
    <t>东西很好，非常满意。 东西很好，非常满意。</t>
  </si>
  <si>
    <t>有味道 怎么有股塑料味还挺重的</t>
  </si>
  <si>
    <t>感觉还行 手边不错，表盘大小合适，因为我手比较细，所以感觉大小正好，不像别人嫌太小…秒针走动也没有别人说得那么夸张，贴着耳朵听有声音，我放在床头睡觉都听不到…表带应该说有点一般，毕竟只百来块的东西，戴着都成不了一个圆圈，感觉一边是直的一边是弧的，除非勒紧贴着手腕，才能是个圆…</t>
  </si>
  <si>
    <t>比较推荐 这个款式到还算合适，比较推荐。</t>
  </si>
  <si>
    <t>大小合适 鞋底比较硬，不过还算好看</t>
  </si>
  <si>
    <t>需要标题 这是和我自己表一起买的所以朋友说他满意就好咯，不过我感觉这个比我的还小....</t>
  </si>
  <si>
    <t>象印保温杯 买的第二个了，很保温！很轻！颜色也很靓！</t>
  </si>
  <si>
    <t>goood cool</t>
  </si>
  <si>
    <t>配置很实用，价格太美好 150的飞雨手持花洒出水量大，几种模式选择很好用，恒温调节器的设计感很时尚很有科技感，而且可以当置物架使用，关键价格太美好，性价比很高</t>
  </si>
  <si>
    <t>水牙线 很好，体积挺轻的，配了好几个刷头，比天猫价格便宜一半，不错</t>
  </si>
  <si>
    <t>外形一般，没图片好看 帮我妹买的，她说很暖和</t>
  </si>
  <si>
    <t>基本满意 下单后6天到手，物流速度很满意。没有中文说明书，尝试用美国版的omron connect添加设备，自动配对失败。用中国版的欧姆龙笔记配对成功。配对时选其他设备，再选EVOLV。刚开始测量时有一点不习惯，一般的血压计是加压到高位后再慢慢泄压，在泄压时测量。而这个型号是在加压的过程中就开始测量，测量完成后再瞬间泄压。</t>
  </si>
  <si>
    <t>Made in China 显示Made in China.从德国发货.音质还是不错的.</t>
  </si>
  <si>
    <t>质量可以 鞋子试过了，不错，还没有经常穿，感觉质量还可以。</t>
  </si>
  <si>
    <t>需要专门的电源转换器 看了别人说国内可以直接使用才买的，买了以后一直放着今天才打开使用。才发现根本不能直接用！国内的插座确实可以插，但是那样插根本就不会有地线！！！没有地线漏电的话就会触电！！！！在国内找了一圈，都是出国转德标用的，根本没考虑说德国转国标的。某宝只有一家有怕质量不好，没敢买。现在只能在海外购买个德国到中国来的转换器！！！</t>
  </si>
  <si>
    <t>随便穿穿不错 比nike等好，就有点粘毛</t>
  </si>
  <si>
    <t>卫衣 很大，巨大，我老公220的胖子穿了还大两个号，退货太麻烦也很贵，就留着随便穿穿吧，下次就知道尺码要小心了</t>
  </si>
  <si>
    <t>轻薄透气 172CM, 67.5KG, M码正合适。 跑步穿着舒适，就是领子稍稍高了点，但总体非常满意！</t>
  </si>
  <si>
    <t>尺寸标准 买前咨询过，尺寸是合适的，就是裤腿太长--这个可以理解，毕竟是按老外的体型做的。找个裁缝改了下就好了。</t>
  </si>
  <si>
    <t>整体非常合身，但是袖子比较窄 合身，但是袖子窄，里面套衬衣后，就比较紧了，我体重76Kg，但是比较壮实，体脂比底，上肢小臂较粗。</t>
  </si>
  <si>
    <t>好评的 这个和国内买的一样。好评</t>
  </si>
  <si>
    <t>只恨生不逢时 虽然我没买...这玩意要是早点上架我根本不会烧钱配升级线…也可以多买几根给猫老爷咬着玩了</t>
  </si>
  <si>
    <t>很好值得买 质量不错 性价比很高 宽松版 尺码偏大 加绒款 很舒服摸起来</t>
  </si>
  <si>
    <t>德亚还是值得信赖的 之前的一个微波炉时不时出故障，后来决定够买机械式微波炉，并选择德亚，看来是选对了，已经开始使用，没有任何问题，就是不知道哪里生产，估计原产地是中国，因为说明书是中国印刷，但是说明书俄语、法语、德语、英语等待一大堆就没有中文，看来是不销售到中国的，质量上应该会好一点，希望能用久一点</t>
  </si>
  <si>
    <t>正品 不错，不错。</t>
  </si>
  <si>
    <t>Calvin Klein牛仔裤 国外便宜好多, 这个东东200多入手, 超级值. 国内为何那么贵?</t>
  </si>
  <si>
    <t>很好 非常舒服  180 70kg 低体脂运动型 稍微偏大</t>
  </si>
  <si>
    <t>介意质量和速度的别入哦！ 1.东西买来自用，不追求速度，勉强过关；追求速度着别入啊； 2.便宜没好货，一分钱一分货，追求速度和服务的别入； 3.买东西以前多看看评论，不一定都是不对的； 4.都不是美国产的，建议销售商是不是该把产地加上？ 5.这货国内好像没有服务商，海外购退换货成本忒高了。</t>
  </si>
  <si>
    <t>货评 尺寸合适，质量也还好，款式感觉普通</t>
  </si>
  <si>
    <t>薄，掉色 给三分是因为尺码合适，本人腰围78cm，32码系最近正常、稍显宽松，冬天穿的多应该没问题，夏天可能需要再打孔。 另外就是掉色，要是运动出汗、还穿浅色裤子，千万不能系这个皮带，不然会毁了裤子的</t>
  </si>
  <si>
    <t>盖子不结实 用了不到一周盖子就坏了。</t>
  </si>
  <si>
    <t>质量特别不好 裤子特别特别薄。穿了几天开始起球，质量特别不好。</t>
  </si>
  <si>
    <t>250ml绿色 旧的，感觉用过了，准备退货</t>
  </si>
  <si>
    <t>质量差 质量太差，穿一天屁股就破了洞</t>
  </si>
  <si>
    <t>为什么，外包装总是损坏的！ 盒子四个角都是瘪的，里面东西咣当咣当像！里面的6.5mm转接头，镀金表面有损坏！</t>
  </si>
  <si>
    <t>还行吧 目前看着还行，7天到货，就是不知道真伪！</t>
  </si>
  <si>
    <t>略有些遗憾 身高178公分 体重67公斤，选的29/30，长短及腰围都非常合身，面料厚实偏硬，适合秋冬季穿。版型比国内的直筒型略肥，是我想要的类型。做工还行，但是裤腿上有一个很大的疵癖，令人有点失望。</t>
  </si>
  <si>
    <t>CHAMPION 男式正品 Originals 长袖亨利 .. 包装完好  衣服质量不错</t>
  </si>
  <si>
    <t>衣服尺码 我是179 76kg左右，比较瘦的身体，骨架大，m码可以了。但是我发现没有吊牌，而且5天就到了，很快。</t>
  </si>
  <si>
    <t>合身 提供数据供你参考，身高180、体重104公斤，XL码合身，薄、柔~~</t>
  </si>
  <si>
    <t>精致 精致的盆子，之前的都看不顺眼了准备全部换掉。</t>
  </si>
  <si>
    <t>180，90kg，xl偏小，xxl比较合适 180，90kg，xl偏小，xxl比较合适</t>
  </si>
  <si>
    <t>材质不错 材质不错。</t>
  </si>
  <si>
    <t>老牌音响品牌，高颜值，靓声音。 音质感觉和mid差不多，主动降噪功能个人感觉不太明显。毕竟是老牌音响品牌，高颜值，靓声音。主动降噪这个功能无论运用在任何一个品牌的耳机上，感觉都是多余的，是耳机商家的一个叫卖点和噱头，当然，这是个人的看法。</t>
  </si>
  <si>
    <t>很好，不错 很好，囤货中，还没用</t>
  </si>
  <si>
    <t>送达速度超过五十 很好</t>
  </si>
  <si>
    <t>为啥国内都没货了呐 我个人不适合平头耳塞，因为几分钟就会耳朵疼；入耳式的还好，就是戴久了总觉得有点痒痒。找了一圈还是用这种挂耳式的了，透气，耳机单元也较大。貌似挂耳式耳机产品很少了。 这款耳机感觉不错，声场较大，人声较靠前，低频是有的，比耳塞要好很多。品质十分对得起售价。</t>
  </si>
  <si>
    <t>性价比高 推荐 买了两个 两个浴室 用了半年多的很好 出水舒服 外形美丽 强推</t>
  </si>
  <si>
    <t>舒服 带着一点都不勒，很舒服，比某宝便宜太多啦</t>
  </si>
  <si>
    <t>有效果 吃了之后感觉眼睛没有那么干涩了。相信亚马逊自营</t>
  </si>
  <si>
    <t>质量 很好！</t>
  </si>
  <si>
    <t>鞋面舒适 大小刚好 这双鞋最舒服的就是鞋面贴合脚背的感觉  前掌稍硬  总体脚感肯定不如运动鞋 但是设计感佳 穿着有型  加上价格优惠配送速度一流  很满意的一次购物</t>
  </si>
  <si>
    <t>表盘厚！服务好！ 商品就不说什么了，上面写的厚度7毫米，最后看来，实际超过11毫米，太厚了，若大家看中厚度的话，可以解毒了。但是，亚马逊海外购的速度和服务还是点赞，五星评价全部给了服务，商品作保留评价吧。</t>
  </si>
  <si>
    <t>I bought for someone, not for myself i don't know how it looks like and what's the quality, but seems fine since no one complains about it</t>
  </si>
  <si>
    <t>添柏岚男靴 鞋子结实耐穿，很好。</t>
  </si>
  <si>
    <t>商品比较满意，码子偏大，推荐 商品比较满意，码子偏大，推荐</t>
  </si>
  <si>
    <t>满意的海外购 做工不错，很满意。看细节应不是高仿，发货流程显示是UK发货，判断是正品。尺寸的话，身高180，体重80Kg，买的是L号，夏天试穿略宽松一点，冬天穿会比较合适。 实惠，同样款式比美亚便宜几百块，比国内便宜更多，收到货就放心了。😊</t>
  </si>
  <si>
    <t>还行 还没有穿，摸着挺厚。等穿了再来追加评价吧。</t>
  </si>
  <si>
    <t>最最值得拥有 非常非常值得拥有的鞋子，无论是外观还是舒适度都是让你最值得拥有的</t>
  </si>
  <si>
    <t>买的话绝对要比国内的要小一号 国内穿M，这个要买S号。不然要后悔，会穿出大短裤的感觉</t>
  </si>
  <si>
    <t>鞋带问题 鞋子不错，但鞋带我就无语了</t>
  </si>
  <si>
    <t>Smelly boots ever OMG, they are too smelly to wear.I have to put them outside to release the smell.I wonder why these expensive boot( made in USA) have such bad smell ....</t>
  </si>
  <si>
    <t>太大 我按照在国内购买同样是lee的尺码购买，大太多了，可以装两个我了。。。。。幸好有家店能改，改后就很不错了。主要是腰部和腿部，太肥，这个应该是欧版的尺码吧</t>
  </si>
  <si>
    <t>三件中两件大小一样，其中一件比另外两件短 码数都是按照国人标准，国内穿L的我买的M码，打开一看，里面三件两件一样长，一件比另外两件短，我就怀疑这玩意的真伪了，不要说是海外购就保真，我真不信会出现这种商品，退换货麻烦，算了，反正能穿，只是短了一截。</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</si>
</sst>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row>
    <row r="2">
      <c r="A2" s="1">
        <v>2.0</v>
      </c>
      <c r="B2" s="1" t="s">
        <v>3</v>
      </c>
      <c r="C2" t="str">
        <f>IFERROR(__xludf.DUMMYFUNCTION("GOOGLETRANSLATE(B2, ""zh"", ""en"")"),"After not want to open up a second-hand opening, and the other dirty, this model can not connect a Bluetooth, can not see is not being used, the machine a try, do not know really easy to use")</f>
        <v>After not want to open up a second-hand opening, and the other dirty, this model can not connect a Bluetooth, can not see is not being used, the machine a try, do not know really easy to use</v>
      </c>
    </row>
    <row r="3">
      <c r="A3" s="1">
        <v>3.0</v>
      </c>
      <c r="B3" s="1" t="s">
        <v>4</v>
      </c>
      <c r="C3" t="str">
        <f>IFERROR(__xludf.DUMMYFUNCTION("GOOGLETRANSLATE(B3, ""zh"", ""en"")"),"Tight-fitting models, suitable for tall, thin type I 173,66kg, s tight code, only bottoming wear. Work in general, thread and more, beginning to wash will fade, and more to soak a few times.")</f>
        <v>Tight-fitting models, suitable for tall, thin type I 173,66kg, s tight code, only bottoming wear. Work in general, thread and more, beginning to wash will fade, and more to soak a few times.</v>
      </c>
    </row>
    <row r="4">
      <c r="A4" s="1">
        <v>1.0</v>
      </c>
      <c r="B4" s="1" t="s">
        <v>5</v>
      </c>
      <c r="C4" t="str">
        <f>IFERROR(__xludf.DUMMYFUNCTION("GOOGLETRANSLATE(B4, ""zh"", ""en"")"),"Capacity is not the same as the English do not like the subject, Chinese display capacity is 8t, bought before we know is 6t, could not buy things amazon")</f>
        <v>Capacity is not the same as the English do not like the subject, Chinese display capacity is 8t, bought before we know is 6t, could not buy things amazon</v>
      </c>
    </row>
    <row r="5">
      <c r="A5" s="1">
        <v>4.0</v>
      </c>
      <c r="B5" s="1" t="s">
        <v>6</v>
      </c>
      <c r="C5" t="str">
        <f>IFERROR(__xludf.DUMMYFUNCTION("GOOGLETRANSLATE(B5, ""zh"", ""en"")"),"Under the waist will roll under waist will roll, hot summer wear")</f>
        <v>Under the waist will roll under waist will roll, hot summer wear</v>
      </c>
    </row>
    <row r="6">
      <c r="A6" s="1">
        <v>5.0</v>
      </c>
      <c r="B6" s="1" t="s">
        <v>7</v>
      </c>
      <c r="C6" t="str">
        <f>IFERROR(__xludf.DUMMYFUNCTION("GOOGLETRANSLATE(B6, ""zh"", ""en"")"),"Satisfied with the size and almost home, 172m77 kg, 32 is appropriate, this is loose type, legs wider.")</f>
        <v>Satisfied with the size and almost home, 172m77 kg, 32 is appropriate, this is loose type, legs wider.</v>
      </c>
    </row>
    <row r="7">
      <c r="A7" s="1">
        <v>5.0</v>
      </c>
      <c r="B7" s="1" t="s">
        <v>8</v>
      </c>
      <c r="C7" t="str">
        <f>IFERROR(__xludf.DUMMYFUNCTION("GOOGLETRANSLATE(B7, ""zh"", ""en"")"),"Overseas cheap stuff is good stuff, is a bit long transport time. But also the value. Together with fast response speed, read speed, feel good.")</f>
        <v>Overseas cheap stuff is good stuff, is a bit long transport time. But also the value. Together with fast response speed, read speed, feel good.</v>
      </c>
    </row>
    <row r="8">
      <c r="A8" s="1">
        <v>5.0</v>
      </c>
      <c r="B8" s="1" t="s">
        <v>9</v>
      </c>
      <c r="C8" t="str">
        <f>IFERROR(__xludf.DUMMYFUNCTION("GOOGLETRANSLATE(B8, ""zh"", ""en"")"),"A good coat cold I have purchased an other brand shirt style jacket, very warm, so buy this color again. First of all, this is a shirt colors and styles of jackets, shirts in the traditional sense (can also be worn as a shirt), size coat is natural size. "&amp;"Secondly, this coat is definitely still wear underwear. It lamb in English, it is what we often say that the fleece. Third, this jacket will not play static, but it is best to wear cotton underwear. Suitable temperatures 5-15 degrees wearing this coat, ju"&amp;"st to wear a short-sleeved compassionate enough. Bangladesh manufacturing, quality can be.")</f>
        <v>A good coat cold I have purchased an other brand shirt style jacket, very warm, so buy this color again. First of all, this is a shirt colors and styles of jackets, shirts in the traditional sense (can also be worn as a shirt), size coat is natural size. Secondly, this coat is definitely still wear underwear. It lamb in English, it is what we often say that the fleece. Third, this jacket will not play static, but it is best to wear cotton underwear. Suitable temperatures 5-15 degrees wearing this coat, just to wear a short-sleeved compassionate enough. Bangladesh manufacturing, quality can be.</v>
      </c>
    </row>
    <row r="9">
      <c r="A9" s="1">
        <v>5.0</v>
      </c>
      <c r="B9" s="1" t="s">
        <v>10</v>
      </c>
      <c r="C9" t="str">
        <f>IFERROR(__xludf.DUMMYFUNCTION("GOOGLETRANSLATE(B9, ""zh"", ""en"")"),"Affordable, comfortable inexpensive, comfortable, will buy again")</f>
        <v>Affordable, comfortable inexpensive, comfortable, will buy again</v>
      </c>
    </row>
    <row r="10">
      <c r="A10" s="1">
        <v>5.0</v>
      </c>
      <c r="B10" s="1" t="s">
        <v>11</v>
      </c>
      <c r="C10" t="str">
        <f>IFERROR(__xludf.DUMMYFUNCTION("GOOGLETRANSLATE(B10, ""zh"", ""en"")"),"🐘 excellent printing quality has been tried, good results")</f>
        <v>🐘 excellent printing quality has been tried, good results</v>
      </c>
    </row>
    <row r="11">
      <c r="A11" s="1">
        <v>5.0</v>
      </c>
      <c r="B11" s="1" t="s">
        <v>12</v>
      </c>
      <c r="C11" t="str">
        <f>IFERROR(__xludf.DUMMYFUNCTION("GOOGLETRANSLATE(B11, ""zh"", ""en"")"),"Okay go before the evaluation, I do not know how many wasted points, points can change money now know, they should look carefully evaluated, then I put these words to copy to go, both to earn points, but also the easy way, where are copy where, most impor"&amp;"tantly, do not seriously review, do not think how much worse word, sent directly to it, recommend it to everyone! !")</f>
        <v>Okay go before the evaluation, I do not know how many wasted points, points can change money now know, they should look carefully evaluated, then I put these words to copy to go, both to earn points, but also the easy way, where are copy where, most importantly, do not seriously review, do not think how much worse word, sent directly to it, recommend it to everyone! !</v>
      </c>
    </row>
    <row r="12">
      <c r="A12" s="1">
        <v>5.0</v>
      </c>
      <c r="B12" s="1" t="s">
        <v>13</v>
      </c>
      <c r="C12" t="str">
        <f>IFERROR(__xludf.DUMMYFUNCTION("GOOGLETRANSLATE(B12, ""zh"", ""en"")"),"I feel good ah! Low may I ask, feeling just fine. 175,78 election M, are also quite suitable. Native American clothes more suitable for long-bodied people!")</f>
        <v>I feel good ah! Low may I ask, feeling just fine. 175,78 election M, are also quite suitable. Native American clothes more suitable for long-bodied people!</v>
      </c>
    </row>
    <row r="13">
      <c r="A13" s="1">
        <v>5.0</v>
      </c>
      <c r="B13" s="1" t="s">
        <v>14</v>
      </c>
      <c r="C13" t="str">
        <f>IFERROR(__xludf.DUMMYFUNCTION("GOOGLETRANSLATE(B13, ""zh"", ""en"")"),"Clothes line 175 75kg M number just good clothes are a bit thick")</f>
        <v>Clothes line 175 75kg M number just good clothes are a bit thick</v>
      </c>
    </row>
    <row r="14">
      <c r="A14" s="1">
        <v>5.0</v>
      </c>
      <c r="B14" s="1" t="s">
        <v>15</v>
      </c>
      <c r="C14" t="str">
        <f>IFERROR(__xludf.DUMMYFUNCTION("GOOGLETRANSLATE(B14, ""zh"", ""en"")"),"Very satisfied with the title written eight loaded, actually received was 12, we worry very affordable price, confirmation is genuine, you can buy")</f>
        <v>Very satisfied with the title written eight loaded, actually received was 12, we worry very affordable price, confirmation is genuine, you can buy</v>
      </c>
    </row>
    <row r="15">
      <c r="A15" s="1">
        <v>5.0</v>
      </c>
      <c r="B15" s="1" t="s">
        <v>16</v>
      </c>
      <c r="C15" t="str">
        <f>IFERROR(__xludf.DUMMYFUNCTION("GOOGLETRANSLATE(B15, ""zh"", ""en"")"),"8.15 am playing well! The disadvantage is small but tight left foot just right, and I was left-handed, really no way out")</f>
        <v>8.15 am playing well! The disadvantage is small but tight left foot just right, and I was left-handed, really no way out</v>
      </c>
    </row>
    <row r="16">
      <c r="A16" s="1">
        <v>5.0</v>
      </c>
      <c r="B16" s="1" t="s">
        <v>17</v>
      </c>
      <c r="C16" t="str">
        <f>IFERROR(__xludf.DUMMYFUNCTION("GOOGLETRANSLATE(B16, ""zh"", ""en"")"),"The quality of the clothes get our hands on a lot of new clothes to glue hair, very strange, I do not recommend buying")</f>
        <v>The quality of the clothes get our hands on a lot of new clothes to glue hair, very strange, I do not recommend buying</v>
      </c>
    </row>
    <row r="17">
      <c r="A17" s="1">
        <v>5.0</v>
      </c>
      <c r="B17" s="1" t="s">
        <v>18</v>
      </c>
      <c r="C17" t="str">
        <f>IFERROR(__xludf.DUMMYFUNCTION("GOOGLETRANSLATE(B17, ""zh"", ""en"")"),"Stylish hats stylish, comfortable wearing.")</f>
        <v>Stylish hats stylish, comfortable wearing.</v>
      </c>
    </row>
    <row r="18">
      <c r="A18" s="1">
        <v>5.0</v>
      </c>
      <c r="B18" s="1" t="s">
        <v>19</v>
      </c>
      <c r="C18" t="str">
        <f>IFERROR(__xludf.DUMMYFUNCTION("GOOGLETRANSLATE(B18, ""zh"", ""en"")"),"Fine workmanship, material good comfortable fit, very much.")</f>
        <v>Fine workmanship, material good comfortable fit, very much.</v>
      </c>
    </row>
    <row r="19">
      <c r="A19" s="1">
        <v>5.0</v>
      </c>
      <c r="B19" s="1" t="s">
        <v>20</v>
      </c>
      <c r="C19" t="str">
        <f>IFERROR(__xludf.DUMMYFUNCTION("GOOGLETRANSLATE(B19, ""zh"", ""en"")"),"Great 235mm, uk4 very appropriate, very good foot wear. Buy cherry red, produced in Vietnam, with yellow laces. 400+ start. Amazon's customer service is also great.")</f>
        <v>Great 235mm, uk4 very appropriate, very good foot wear. Buy cherry red, produced in Vietnam, with yellow laces. 400+ start. Amazon's customer service is also great.</v>
      </c>
    </row>
    <row r="20">
      <c r="A20" s="1">
        <v>5.0</v>
      </c>
      <c r="B20" s="1" t="s">
        <v>21</v>
      </c>
      <c r="C20" t="str">
        <f>IFERROR(__xludf.DUMMYFUNCTION("GOOGLETRANSLATE(B20, ""zh"", ""en"")"),"Artifact Artifact Artifact recommended by a friend, a twin sons who set up early to practice together, eat a few mouthfuls can own, we have just one year old")</f>
        <v>Artifact Artifact Artifact recommended by a friend, a twin sons who set up early to practice together, eat a few mouthfuls can own, we have just one year old</v>
      </c>
    </row>
    <row r="21">
      <c r="A21" s="1">
        <v>5.0</v>
      </c>
      <c r="B21" s="1" t="s">
        <v>22</v>
      </c>
      <c r="C21" t="str">
        <f>IFERROR(__xludf.DUMMYFUNCTION("GOOGLETRANSLATE(B21, ""zh"", ""en"")"),"Writing a dollar an easy to use, beads heart a million times better than the dawn of")</f>
        <v>Writing a dollar an easy to use, beads heart a million times better than the dawn of</v>
      </c>
    </row>
    <row r="22">
      <c r="A22" s="1">
        <v>5.0</v>
      </c>
      <c r="B22" s="1" t="s">
        <v>23</v>
      </c>
      <c r="C22" t="str">
        <f>IFERROR(__xludf.DUMMYFUNCTION("GOOGLETRANSLATE(B22, ""zh"", ""en"")"),"Okay wore a short-sleeved or long-sleeved T-shirt Slim just good, then freshman yards estimated to be slightly loose a little! Just do not know is not genuine")</f>
        <v>Okay wore a short-sleeved or long-sleeved T-shirt Slim just good, then freshman yards estimated to be slightly loose a little! Just do not know is not genuine</v>
      </c>
    </row>
    <row r="23">
      <c r="A23" s="1">
        <v>5.0</v>
      </c>
      <c r="B23" s="1" t="s">
        <v>24</v>
      </c>
      <c r="C23" t="str">
        <f>IFERROR(__xludf.DUMMYFUNCTION("GOOGLETRANSLATE(B23, ""zh"", ""en"")"),"With sports and leisure pants. Shoe size can receive, is the point Pianzhai")</f>
        <v>With sports and leisure pants. Shoe size can receive, is the point Pianzhai</v>
      </c>
    </row>
    <row r="24">
      <c r="A24" s="1">
        <v>5.0</v>
      </c>
      <c r="B24" s="1" t="s">
        <v>25</v>
      </c>
      <c r="C24" t="str">
        <f>IFERROR(__xludf.DUMMYFUNCTION("GOOGLETRANSLATE(B24, ""zh"", ""en"")"),"Dark clothes fall and winter wild wild section")</f>
        <v>Dark clothes fall and winter wild wild section</v>
      </c>
    </row>
    <row r="25">
      <c r="A25" s="1">
        <v>5.0</v>
      </c>
      <c r="B25" s="1" t="s">
        <v>26</v>
      </c>
      <c r="C25" t="str">
        <f>IFERROR(__xludf.DUMMYFUNCTION("GOOGLETRANSLATE(B25, ""zh"", ""en"")"),"Good pants are very appropriate size marked accurately.")</f>
        <v>Good pants are very appropriate size marked accurately.</v>
      </c>
    </row>
    <row r="26">
      <c r="A26" s="1">
        <v>5.0</v>
      </c>
      <c r="B26" s="1" t="s">
        <v>27</v>
      </c>
      <c r="C26" t="str">
        <f>IFERROR(__xludf.DUMMYFUNCTION("GOOGLETRANSLATE(B26, ""zh"", ""en"")"),"Good quality is a little expensive, with hot dishes or porridge is very rapid cooling, as well as a lunch box with cover for outdoor use, orange is very beautiful.")</f>
        <v>Good quality is a little expensive, with hot dishes or porridge is very rapid cooling, as well as a lunch box with cover for outdoor use, orange is very beautiful.</v>
      </c>
    </row>
    <row r="27">
      <c r="A27" s="1">
        <v>5.0</v>
      </c>
      <c r="B27" s="1" t="s">
        <v>28</v>
      </c>
      <c r="C27" t="str">
        <f>IFERROR(__xludf.DUMMYFUNCTION("GOOGLETRANSLATE(B27, ""zh"", ""en"")"),"Deserve to have good running shoes, very satisfied.")</f>
        <v>Deserve to have good running shoes, very satisfied.</v>
      </c>
    </row>
    <row r="28">
      <c r="A28" s="1">
        <v>2.0</v>
      </c>
      <c r="B28" s="1" t="s">
        <v>29</v>
      </c>
      <c r="C28" t="str">
        <f>IFERROR(__xludf.DUMMYFUNCTION("GOOGLETRANSLATE(B28, ""zh"", ""en"")"),"Suitable this brand briefs I bought a little code, buy big yards on four corners of the appropriate material is very comfortable to wear in summer, 71 kg high-173")</f>
        <v>Suitable this brand briefs I bought a little code, buy big yards on four corners of the appropriate material is very comfortable to wear in summer, 71 kg high-173</v>
      </c>
    </row>
    <row r="29">
      <c r="A29" s="1">
        <v>3.0</v>
      </c>
      <c r="B29" s="1" t="s">
        <v>30</v>
      </c>
      <c r="C29" t="str">
        <f>IFERROR(__xludf.DUMMYFUNCTION("GOOGLETRANSLATE(B29, ""zh"", ""en"")"),"Hemming bad handkerchief soft, but edging rough work")</f>
        <v>Hemming bad handkerchief soft, but edging rough work</v>
      </c>
    </row>
    <row r="30">
      <c r="A30" s="1">
        <v>1.0</v>
      </c>
      <c r="B30" s="1" t="s">
        <v>31</v>
      </c>
      <c r="C30" t="str">
        <f>IFERROR(__xludf.DUMMYFUNCTION("GOOGLETRANSLATE(B30, ""zh"", ""en"")"),"False false impression that I bought the spoon and fork length are not the same, not the same color and could not be opened back")</f>
        <v>False false impression that I bought the spoon and fork length are not the same, not the same color and could not be opened back</v>
      </c>
    </row>
    <row r="31">
      <c r="A31" s="1">
        <v>4.0</v>
      </c>
      <c r="B31" s="1" t="s">
        <v>32</v>
      </c>
      <c r="C31" t="str">
        <f>IFERROR(__xludf.DUMMYFUNCTION("GOOGLETRANSLATE(B31, ""zh"", ""en"")"),"Also two shoulder straps, shoulder strap Flanagan fine sutures to do bad, but fortunately did not intend to use! Leather no big taste")</f>
        <v>Also two shoulder straps, shoulder strap Flanagan fine sutures to do bad, but fortunately did not intend to use! Leather no big taste</v>
      </c>
    </row>
    <row r="32">
      <c r="A32" s="1">
        <v>4.0</v>
      </c>
      <c r="B32" s="1" t="s">
        <v>33</v>
      </c>
      <c r="C32" t="str">
        <f>IFERROR(__xludf.DUMMYFUNCTION("GOOGLETRANSLATE(B32, ""zh"", ""en"")"),"OK 1, or some chuck, or the most comfortable in-ear 2, more balanced sound quality, each part 3 are relatively clear, the price is slightly higher, the sound quality is not recommended for purchase")</f>
        <v>OK 1, or some chuck, or the most comfortable in-ear 2, more balanced sound quality, each part 3 are relatively clear, the price is slightly higher, the sound quality is not recommended for purchase</v>
      </c>
    </row>
    <row r="33">
      <c r="A33" s="1">
        <v>4.0</v>
      </c>
      <c r="B33" s="1" t="s">
        <v>34</v>
      </c>
      <c r="C33" t="str">
        <f>IFERROR(__xludf.DUMMYFUNCTION("GOOGLETRANSLATE(B33, ""zh"", ""en"")"),"Comfort soles hard, the other ok. Number one yard small one yard to half.")</f>
        <v>Comfort soles hard, the other ok. Number one yard small one yard to half.</v>
      </c>
    </row>
    <row r="34">
      <c r="A34" s="1">
        <v>4.0</v>
      </c>
      <c r="B34" s="1" t="s">
        <v>35</v>
      </c>
      <c r="C34" t="str">
        <f>IFERROR(__xludf.DUMMYFUNCTION("GOOGLETRANSLATE(B34, ""zh"", ""en"")"),"It is generally too loud, too loud")</f>
        <v>It is generally too loud, too loud</v>
      </c>
    </row>
    <row r="35">
      <c r="A35" s="1">
        <v>5.0</v>
      </c>
      <c r="B35" s="1" t="s">
        <v>36</v>
      </c>
      <c r="C35" t="str">
        <f>IFERROR(__xludf.DUMMYFUNCTION("GOOGLETRANSLATE(B35, ""zh"", ""en"")"),"Good good fabric, cut is right, is not Slim")</f>
        <v>Good good fabric, cut is right, is not Slim</v>
      </c>
    </row>
    <row r="36">
      <c r="A36" s="1">
        <v>5.0</v>
      </c>
      <c r="B36" s="1" t="s">
        <v>37</v>
      </c>
      <c r="C36" t="str">
        <f>IFERROR(__xludf.DUMMYFUNCTION("GOOGLETRANSLATE(B36, ""zh"", ""en"")"),"AIU good delivery is too slow, waited four or five days, but the logistics very good, 7 days after the arrival of AIU delivery, much faster than the speed of all kinds of transport, good customer service attitude Central Asia. Banana received to see the p"&amp;"ackaging label should be produced in the United States, no smell of open, relatively easy to stick hair, silicone products but always inevitable, children liked to play the first time, do not know for how long")</f>
        <v>AIU good delivery is too slow, waited four or five days, but the logistics very good, 7 days after the arrival of AIU delivery, much faster than the speed of all kinds of transport, good customer service attitude Central Asia. Banana received to see the packaging label should be produced in the United States, no smell of open, relatively easy to stick hair, silicone products but always inevitable, children liked to play the first time, do not know for how long</v>
      </c>
    </row>
    <row r="37">
      <c r="A37" s="1">
        <v>5.0</v>
      </c>
      <c r="B37" s="1" t="s">
        <v>38</v>
      </c>
      <c r="C37" t="str">
        <f>IFERROR(__xludf.DUMMYFUNCTION("GOOGLETRANSLATE(B37, ""zh"", ""en"")"),"Better than expected good")</f>
        <v>Better than expected good</v>
      </c>
    </row>
    <row r="38">
      <c r="A38" s="1">
        <v>5.0</v>
      </c>
      <c r="B38" s="1" t="s">
        <v>39</v>
      </c>
      <c r="C38" t="str">
        <f>IFERROR(__xludf.DUMMYFUNCTION("GOOGLETRANSLATE(B38, ""zh"", ""en"")"),"Pitt Zander filter effectiveness.")</f>
        <v>Pitt Zander filter effectiveness.</v>
      </c>
    </row>
    <row r="39">
      <c r="A39" s="1">
        <v>5.0</v>
      </c>
      <c r="B39" s="1" t="s">
        <v>40</v>
      </c>
      <c r="C39" t="str">
        <f>IFERROR(__xludf.DUMMYFUNCTION("GOOGLETRANSLATE(B39, ""zh"", ""en"")"),"High cost! Cost-effective! To my ears it! enough!")</f>
        <v>High cost! Cost-effective! To my ears it! enough!</v>
      </c>
    </row>
    <row r="40">
      <c r="A40" s="1">
        <v>5.0</v>
      </c>
      <c r="B40" s="1" t="s">
        <v>41</v>
      </c>
      <c r="C40" t="str">
        <f>IFERROR(__xludf.DUMMYFUNCTION("GOOGLETRANSLATE(B40, ""zh"", ""en"")"),"Not too large do not buy small shoes with no obvious flaws fine Dominica bought before and does not produce slim ankle lining is too large floral yellow boots that section than the 10361 but less than half the code or whether to wear me in his hand Floral"&amp;" than feeling a little big fat point 37.5 feet to buy 7.5w us / 5.5uk can not be small")</f>
        <v>Not too large do not buy small shoes with no obvious flaws fine Dominica bought before and does not produce slim ankle lining is too large floral yellow boots that section than the 10361 but less than half the code or whether to wear me in his hand Floral than feeling a little big fat point 37.5 feet to buy 7.5w us / 5.5uk can not be small</v>
      </c>
    </row>
    <row r="41">
      <c r="A41" s="1">
        <v>5.0</v>
      </c>
      <c r="B41" s="1" t="s">
        <v>42</v>
      </c>
      <c r="C41" t="str">
        <f>IFERROR(__xludf.DUMMYFUNCTION("GOOGLETRANSLATE(B41, ""zh"", ""en"")"),"Pretty good today received, check the next model, 4T, WD's blue plate, 5400 rpm. Simple tried, in all aspects okay.")</f>
        <v>Pretty good today received, check the next model, 4T, WD's blue plate, 5400 rpm. Simple tried, in all aspects okay.</v>
      </c>
    </row>
    <row r="42">
      <c r="A42" s="1">
        <v>5.0</v>
      </c>
      <c r="B42" s="1" t="s">
        <v>43</v>
      </c>
      <c r="C42" t="str">
        <f>IFERROR(__xludf.DUMMYFUNCTION("GOOGLETRANSLATE(B42, ""zh"", ""en"")"),"Buy-back would have been a good thing to wear this super good, immediately after arrival at a single, with the money to buy another color.")</f>
        <v>Buy-back would have been a good thing to wear this super good, immediately after arrival at a single, with the money to buy another color.</v>
      </c>
    </row>
    <row r="43">
      <c r="A43" s="1">
        <v>5.0</v>
      </c>
      <c r="B43" s="1" t="s">
        <v>44</v>
      </c>
      <c r="C43" t="str">
        <f>IFERROR(__xludf.DUMMYFUNCTION("GOOGLETRANSLATE(B43, ""zh"", ""en"")"),"Nice has received very red, the UK direct mail only five days to go. Very nice Nice. During transport has been so I'm looking forward to, with a few days made him look like a very wild, walking down the street feel like the most beautiful street in Aberde"&amp;"en.")</f>
        <v>Nice has received very red, the UK direct mail only five days to go. Very nice Nice. During transport has been so I'm looking forward to, with a few days made him look like a very wild, walking down the street feel like the most beautiful street in Aberdeen.</v>
      </c>
    </row>
    <row r="44">
      <c r="A44" s="1">
        <v>5.0</v>
      </c>
      <c r="B44" s="1" t="s">
        <v>45</v>
      </c>
      <c r="C44" t="str">
        <f>IFERROR(__xludf.DUMMYFUNCTION("GOOGLETRANSLATE(B44, ""zh"", ""en"")"),"Like very good use, I received the same day used!")</f>
        <v>Like very good use, I received the same day used!</v>
      </c>
    </row>
    <row r="45">
      <c r="A45" s="1">
        <v>5.0</v>
      </c>
      <c r="B45" s="1" t="s">
        <v>46</v>
      </c>
      <c r="C45" t="str">
        <f>IFERROR(__xludf.DUMMYFUNCTION("GOOGLETRANSLATE(B45, ""zh"", ""en"")"),"not bad! Is the original! With very good. It is shipped super-slow speed!")</f>
        <v>not bad! Is the original! With very good. It is shipped super-slow speed!</v>
      </c>
    </row>
    <row r="46">
      <c r="A46" s="1">
        <v>5.0</v>
      </c>
      <c r="B46" s="1" t="s">
        <v>47</v>
      </c>
      <c r="C46" t="str">
        <f>IFERROR(__xludf.DUMMYFUNCTION("GOOGLETRANSLATE(B46, ""zh"", ""en"")"),"Good insulation effect, high color value to my father bought, he liked all kinds of insulation Cup, for this very satisfied, I feel Yen value is high, the insulation effect is also very good")</f>
        <v>Good insulation effect, high color value to my father bought, he liked all kinds of insulation Cup, for this very satisfied, I feel Yen value is high, the insulation effect is also very good</v>
      </c>
    </row>
    <row r="47">
      <c r="A47" s="1">
        <v>5.0</v>
      </c>
      <c r="B47" s="1" t="s">
        <v>48</v>
      </c>
      <c r="C47" t="str">
        <f>IFERROR(__xludf.DUMMYFUNCTION("GOOGLETRANSLATE(B47, ""zh"", ""en"")"),"Amazon has been genuine trust, thermal pot is the Japanese version. Insulation for a long time, a long time favorite, finally bite. Baby also like")</f>
        <v>Amazon has been genuine trust, thermal pot is the Japanese version. Insulation for a long time, a long time favorite, finally bite. Baby also like</v>
      </c>
    </row>
    <row r="48">
      <c r="A48" s="1">
        <v>5.0</v>
      </c>
      <c r="B48" s="1" t="s">
        <v>49</v>
      </c>
      <c r="C48" t="str">
        <f>IFERROR(__xludf.DUMMYFUNCTION("GOOGLETRANSLATE(B48, ""zh"", ""en"")"),"Comfort is not transparent thin white outer wear, comfortable fabrics. 17275 wearing appropriate")</f>
        <v>Comfort is not transparent thin white outer wear, comfortable fabrics. 17275 wearing appropriate</v>
      </c>
    </row>
    <row r="49">
      <c r="A49" s="1">
        <v>5.0</v>
      </c>
      <c r="B49" s="1" t="s">
        <v>50</v>
      </c>
      <c r="C49" t="str">
        <f>IFERROR(__xludf.DUMMYFUNCTION("GOOGLETRANSLATE(B49, ""zh"", ""en"")"),"Blue is a great show points, buy big on the 1st, but add insoles or closed foot. Pressure phenomenon instep with foot wear can not be avoided, while wearing just fine")</f>
        <v>Blue is a great show points, buy big on the 1st, but add insoles or closed foot. Pressure phenomenon instep with foot wear can not be avoided, while wearing just fine</v>
      </c>
    </row>
    <row r="50">
      <c r="A50" s="1">
        <v>5.0</v>
      </c>
      <c r="B50" s="1" t="s">
        <v>51</v>
      </c>
      <c r="C50" t="str">
        <f>IFERROR(__xludf.DUMMYFUNCTION("GOOGLETRANSLATE(B50, ""zh"", ""en"")"),"Perfect boots! First overseas purchase direct mail, very good experience, to a total of ten days. Shoes are very fit, usually wear sports shoes to buy 40 or 41 of this 7.5EE just add insoles, parcels and comfort are the best shoes I wore a. Ref plus taxes"&amp;" a total of 1600, is still very cost ~ looking forward to the foot feeling after a run-in period -")</f>
        <v>Perfect boots! First overseas purchase direct mail, very good experience, to a total of ten days. Shoes are very fit, usually wear sports shoes to buy 40 or 41 of this 7.5EE just add insoles, parcels and comfort are the best shoes I wore a. Ref plus taxes a total of 1600, is still very cost ~ looking forward to the foot feeling after a run-in period -</v>
      </c>
    </row>
    <row r="51">
      <c r="A51" s="1">
        <v>5.0</v>
      </c>
      <c r="B51" s="1" t="s">
        <v>52</v>
      </c>
      <c r="C51" t="str">
        <f>IFERROR(__xludf.DUMMYFUNCTION("GOOGLETRANSLATE(B51, ""zh"", ""en"")"),"Good quality 173cm, 70kg, m wearing a little big, like loose words are right, I should like compact s better")</f>
        <v>Good quality 173cm, 70kg, m wearing a little big, like loose words are right, I should like compact s better</v>
      </c>
    </row>
    <row r="52">
      <c r="A52" s="1">
        <v>5.0</v>
      </c>
      <c r="B52" s="1" t="s">
        <v>53</v>
      </c>
      <c r="C52" t="str">
        <f>IFERROR(__xludf.DUMMYFUNCTION("GOOGLETRANSLATE(B52, ""zh"", ""en"")"),"re series, recording the best choice for use with a recording bought in Taiwan, where is re20, home recording would have 20 to buy, when to buy out of stock, to buy a 320. How should I say, it is certainly better than ordinary microphone, including some c"&amp;"ondenser mics, record out treble is very beautiful, great texture, very solid bass, then 20 kind of blessing is not pleasure, but also a very real reaction out of people sound color, in short, is a great value really high color, black good read, good-look"&amp;"ing than the next 20 to say the logistics, they are inconsistent with the payer and the recipient, customs clearance when the delay, a full five card in Beijing then the wind day delivery, next day arrived, spent a total of 15 days, courier bags is very h"&amp;"igh-tech, Xu is a child kraft paper bag material like cotton, the most important thing is pretty good, only spent a total the 2500, than any other platform, including suppliers are much cheaper, also only 20 3000, Taiwan in 8000 I bought ... terrible soun"&amp;"d card Yamaha ur22ll, the built-in microphone preamp is great, the sound can be pushed, listen to people say other sound cards, dynamic not move, you need an external mic preamps, this really have to pay attention ...... Finally, this series of microphone"&amp;"s recorded vocals really great, after all, come standard with CNR")</f>
        <v>re series, recording the best choice for use with a recording bought in Taiwan, where is re20, home recording would have 20 to buy, when to buy out of stock, to buy a 320. How should I say, it is certainly better than ordinary microphone, including some condenser mics, record out treble is very beautiful, great texture, very solid bass, then 20 kind of blessing is not pleasure, but also a very real reaction out of people sound color, in short, is a great value really high color, black good read, good-looking than the next 20 to say the logistics, they are inconsistent with the payer and the recipient, customs clearance when the delay, a full five card in Beijing then the wind day delivery, next day arrived, spent a total of 15 days, courier bags is very high-tech, Xu is a child kraft paper bag material like cotton, the most important thing is pretty good, only spent a total the 2500, than any other platform, including suppliers are much cheaper, also only 20 3000, Taiwan in 8000 I bought ... terrible sound card Yamaha ur22ll, the built-in microphone preamp is great, the sound can be pushed, listen to people say other sound cards, dynamic not move, you need an external mic preamps, this really have to pay attention ...... Finally, this series of microphones recorded vocals really great, after all, come standard with CNR</v>
      </c>
    </row>
    <row r="53">
      <c r="A53" s="1">
        <v>5.0</v>
      </c>
      <c r="B53" s="1" t="s">
        <v>54</v>
      </c>
      <c r="C53" t="str">
        <f>IFERROR(__xludf.DUMMYFUNCTION("GOOGLETRANSLATE(B53, ""zh"", ""en"")"),"Good quality cotton, a little little freshman does not affect")</f>
        <v>Good quality cotton, a little little freshman does not affect</v>
      </c>
    </row>
    <row r="54">
      <c r="A54" s="1">
        <v>5.0</v>
      </c>
      <c r="B54" s="1" t="s">
        <v>55</v>
      </c>
      <c r="C54" t="str">
        <f>IFERROR(__xludf.DUMMYFUNCTION("GOOGLETRANSLATE(B54, ""zh"", ""en"")"),"Highly cost-effective overseas purchase used 4 months, I have not yet found comment. All is well, bad not yet found flaws.")</f>
        <v>Highly cost-effective overseas purchase used 4 months, I have not yet found comment. All is well, bad not yet found flaws.</v>
      </c>
    </row>
    <row r="55">
      <c r="A55" s="1">
        <v>5.0</v>
      </c>
      <c r="B55" s="1" t="s">
        <v>56</v>
      </c>
      <c r="C55" t="str">
        <f>IFERROR(__xludf.DUMMYFUNCTION("GOOGLETRANSLATE(B55, ""zh"", ""en"")"),"Very nice soft comfortable clothes, the right size.")</f>
        <v>Very nice soft comfortable clothes, the right size.</v>
      </c>
    </row>
    <row r="56">
      <c r="A56" s="1">
        <v>5.0</v>
      </c>
      <c r="B56" s="1" t="s">
        <v>57</v>
      </c>
      <c r="C56" t="str">
        <f>IFERROR(__xludf.DUMMYFUNCTION("GOOGLETRANSLATE(B56, ""zh"", ""en"")"),"Satisfied with the right size to wear very comfortable and satisfied")</f>
        <v>Satisfied with the right size to wear very comfortable and satisfied</v>
      </c>
    </row>
    <row r="57">
      <c r="A57" s="1">
        <v>2.0</v>
      </c>
      <c r="B57" s="1" t="s">
        <v>58</v>
      </c>
      <c r="C57" t="str">
        <f>IFERROR(__xludf.DUMMYFUNCTION("GOOGLETRANSLATE(B57, ""zh"", ""en"")"),"Equipment made in China flavored water, flavored water equipment.")</f>
        <v>Equipment made in China flavored water, flavored water equipment.</v>
      </c>
    </row>
    <row r="58">
      <c r="A58" s="1">
        <v>3.0</v>
      </c>
      <c r="B58" s="1" t="s">
        <v>59</v>
      </c>
      <c r="C58" t="str">
        <f>IFERROR(__xludf.DUMMYFUNCTION("GOOGLETRANSLATE(B58, ""zh"", ""en"")"),"Received some rough work shoes made in China ... work a little rough do not dare to really believe that before determining whether to buy Amazon genuine self after a little attention seems to have ......")</f>
        <v>Received some rough work shoes made in China ... work a little rough do not dare to really believe that before determining whether to buy Amazon genuine self after a little attention seems to have ......</v>
      </c>
    </row>
    <row r="59">
      <c r="A59" s="1">
        <v>1.0</v>
      </c>
      <c r="B59" s="1" t="s">
        <v>60</v>
      </c>
      <c r="C59" t="str">
        <f>IFERROR(__xludf.DUMMYFUNCTION("GOOGLETRANSLATE(B59, ""zh"", ""en"")"),"It was surprising to see the difference between the printed word was in the country cottage products are considered the worst in that grade. 1 Star high.")</f>
        <v>It was surprising to see the difference between the printed word was in the country cottage products are considered the worst in that grade. 1 Star high.</v>
      </c>
    </row>
    <row r="60">
      <c r="A60" s="1">
        <v>4.0</v>
      </c>
      <c r="B60" s="1" t="s">
        <v>61</v>
      </c>
      <c r="C60" t="str">
        <f>IFERROR(__xludf.DUMMYFUNCTION("GOOGLETRANSLATE(B60, ""zh"", ""en"")"),"Texture is very cost-effective and affordable is the actual color and page description large deviations can be something of quality and comfort")</f>
        <v>Texture is very cost-effective and affordable is the actual color and page description large deviations can be something of quality and comfort</v>
      </c>
    </row>
    <row r="61">
      <c r="A61" s="1">
        <v>4.0</v>
      </c>
      <c r="B61" s="1" t="s">
        <v>62</v>
      </c>
      <c r="C61" t="str">
        <f>IFERROR(__xludf.DUMMYFUNCTION("GOOGLETRANSLATE(B61, ""zh"", ""en"")"),"Pretty good, did not handle the ball well and mixing, but not with a handle, this is not good, the older children help but think I will not help ah")</f>
        <v>Pretty good, did not handle the ball well and mixing, but not with a handle, this is not good, the older children help but think I will not help ah</v>
      </c>
    </row>
    <row r="62">
      <c r="A62" s="1">
        <v>4.0</v>
      </c>
      <c r="B62" s="1" t="s">
        <v>63</v>
      </c>
      <c r="C62" t="str">
        <f>IFERROR(__xludf.DUMMYFUNCTION("GOOGLETRANSLATE(B62, ""zh"", ""en"")"),"Color physical and picture color is not consistent")</f>
        <v>Color physical and picture color is not consistent</v>
      </c>
    </row>
    <row r="63">
      <c r="A63" s="1">
        <v>4.0</v>
      </c>
      <c r="B63" s="1" t="s">
        <v>64</v>
      </c>
      <c r="C63" t="str">
        <f>IFERROR(__xludf.DUMMYFUNCTION("GOOGLETRANSLATE(B63, ""zh"", ""en"")"),"Upper supposed to have scars? Shoe came slightly larger cushion insole just right, but there are scars do not know how to deal with uppers?")</f>
        <v>Upper supposed to have scars? Shoe came slightly larger cushion insole just right, but there are scars do not know how to deal with uppers?</v>
      </c>
    </row>
    <row r="64">
      <c r="A64" s="1">
        <v>4.0</v>
      </c>
      <c r="B64" s="1" t="s">
        <v>65</v>
      </c>
      <c r="C64" t="str">
        <f>IFERROR(__xludf.DUMMYFUNCTION("GOOGLETRANSLATE(B64, ""zh"", ""en"")"),"Shirt size and the actual discrepancy is not ideal, the large size of the")</f>
        <v>Shirt size and the actual discrepancy is not ideal, the large size of the</v>
      </c>
    </row>
    <row r="65">
      <c r="A65" s="1">
        <v>5.0</v>
      </c>
      <c r="B65" s="1" t="s">
        <v>66</v>
      </c>
      <c r="C65" t="str">
        <f>IFERROR(__xludf.DUMMYFUNCTION("GOOGLETRANSLATE(B65, ""zh"", ""en"")"),"Genuine shoes are very light, very comfortable!")</f>
        <v>Genuine shoes are very light, very comfortable!</v>
      </c>
    </row>
    <row r="66">
      <c r="A66" s="1">
        <v>5.0</v>
      </c>
      <c r="B66" s="1" t="s">
        <v>67</v>
      </c>
      <c r="C66" t="str">
        <f>IFERROR(__xludf.DUMMYFUNCTION("GOOGLETRANSLATE(B66, ""zh"", ""en"")"),"Like arm leg armpit are also used twice, the effect is really stunning, two weeks once, some did not grow, grow out of the very slow looked obvious, Mao star's savior")</f>
        <v>Like arm leg armpit are also used twice, the effect is really stunning, two weeks once, some did not grow, grow out of the very slow looked obvious, Mao star's savior</v>
      </c>
    </row>
    <row r="67">
      <c r="A67" s="1">
        <v>5.0</v>
      </c>
      <c r="B67" s="1" t="s">
        <v>68</v>
      </c>
      <c r="C67" t="str">
        <f>IFERROR(__xludf.DUMMYFUNCTION("GOOGLETRANSLATE(B67, ""zh"", ""en"")"),"AKG Y500 (green) good quality, Nichia goods, earmuffs somewhat hot")</f>
        <v>AKG Y500 (green) good quality, Nichia goods, earmuffs somewhat hot</v>
      </c>
    </row>
    <row r="68">
      <c r="A68" s="1">
        <v>5.0</v>
      </c>
      <c r="B68" s="1" t="s">
        <v>69</v>
      </c>
      <c r="C68" t="str">
        <f>IFERROR(__xludf.DUMMYFUNCTION("GOOGLETRANSLATE(B68, ""zh"", ""en"")"),"Appropriate size appropriate, 186,82 kg, far l")</f>
        <v>Appropriate size appropriate, 186,82 kg, far l</v>
      </c>
    </row>
    <row r="69">
      <c r="A69" s="1">
        <v>5.0</v>
      </c>
      <c r="B69" s="1" t="s">
        <v>70</v>
      </c>
      <c r="C69" t="str">
        <f>IFERROR(__xludf.DUMMYFUNCTION("GOOGLETRANSLATE(B69, ""zh"", ""en"")"),"Just fine ~ ~ ~ very comfortable to wear ~ ~ ~ ~ ~ ~ ~ very cost-effective")</f>
        <v>Just fine ~ ~ ~ very comfortable to wear ~ ~ ~ ~ ~ ~ ~ very cost-effective</v>
      </c>
    </row>
    <row r="70">
      <c r="A70" s="1">
        <v>5.0</v>
      </c>
      <c r="B70" s="1" t="s">
        <v>71</v>
      </c>
      <c r="C70" t="str">
        <f>IFERROR(__xludf.DUMMYFUNCTION("GOOGLETRANSLATE(B70, ""zh"", ""en"")"),"Pants smaller sellers representations with the Chinese people's habits, they do not have a platform to communicate directly with the seller. So, for wear in Hainan Island, the somewhat thick point, put on the body a little tight ⋯ fabric of things, good w"&amp;"orkmanship.")</f>
        <v>Pants smaller sellers representations with the Chinese people's habits, they do not have a platform to communicate directly with the seller. So, for wear in Hainan Island, the somewhat thick point, put on the body a little tight ⋯ fabric of things, good workmanship.</v>
      </c>
    </row>
    <row r="71">
      <c r="A71" s="1">
        <v>5.0</v>
      </c>
      <c r="B71" s="1" t="s">
        <v>72</v>
      </c>
      <c r="C71" t="str">
        <f>IFERROR(__xludf.DUMMYFUNCTION("GOOGLETRANSLATE(B71, ""zh"", ""en"")"),"Japanese cotton is still very consistent with the size of the country, easy to buy.")</f>
        <v>Japanese cotton is still very consistent with the size of the country, easy to buy.</v>
      </c>
    </row>
    <row r="72">
      <c r="A72" s="1">
        <v>5.0</v>
      </c>
      <c r="B72" s="1" t="s">
        <v>73</v>
      </c>
      <c r="C72" t="str">
        <f>IFERROR(__xludf.DUMMYFUNCTION("GOOGLETRANSLATE(B72, ""zh"", ""en"")"),"The right size, but the shape does not stand up very suitable size, shape suitable for tall relatively little burly man, but it is still common and slim Asian version better buy")</f>
        <v>The right size, but the shape does not stand up very suitable size, shape suitable for tall relatively little burly man, but it is still common and slim Asian version better buy</v>
      </c>
    </row>
    <row r="73">
      <c r="A73" s="1">
        <v>5.0</v>
      </c>
      <c r="B73" s="1" t="s">
        <v>74</v>
      </c>
      <c r="C73" t="str">
        <f>IFERROR(__xludf.DUMMYFUNCTION("GOOGLETRANSLATE(B73, ""zh"", ""en"")"),"Neckline is a little small 173cm, 78Kg domestic buy 41 shirts, this time to buy the right size M can be a small collar, buttons are actually not buckle. But do not wear no problem buckle collar button")</f>
        <v>Neckline is a little small 173cm, 78Kg domestic buy 41 shirts, this time to buy the right size M can be a small collar, buttons are actually not buckle. But do not wear no problem buckle collar button</v>
      </c>
    </row>
    <row r="74">
      <c r="A74" s="1">
        <v>5.0</v>
      </c>
      <c r="B74" s="1" t="s">
        <v>75</v>
      </c>
      <c r="C74" t="str">
        <f>IFERROR(__xludf.DUMMYFUNCTION("GOOGLETRANSLATE(B74, ""zh"", ""en"")"),"Beautiful delicate fashion very beautiful, held envy")</f>
        <v>Beautiful delicate fashion very beautiful, held envy</v>
      </c>
    </row>
    <row r="75">
      <c r="A75" s="1">
        <v>5.0</v>
      </c>
      <c r="B75" s="1" t="s">
        <v>76</v>
      </c>
      <c r="C75" t="str">
        <f>IFERROR(__xludf.DUMMYFUNCTION("GOOGLETRANSLATE(B75, ""zh"", ""en"")"),"Color color under their own feelings. nice! You love it")</f>
        <v>Color color under their own feelings. nice! You love it</v>
      </c>
    </row>
    <row r="76">
      <c r="A76" s="1">
        <v>5.0</v>
      </c>
      <c r="B76" s="1" t="s">
        <v>77</v>
      </c>
      <c r="C76" t="str">
        <f>IFERROR(__xludf.DUMMYFUNCTION("GOOGLETRANSLATE(B76, ""zh"", ""en"")"),"Hats overall okay, position marks a bit of work problems, too lazy to toss, leaving the hat as a whole okay, position marks a bit of work problems, too lazy to toss, leaving")</f>
        <v>Hats overall okay, position marks a bit of work problems, too lazy to toss, leaving the hat as a whole okay, position marks a bit of work problems, too lazy to toss, leaving</v>
      </c>
    </row>
    <row r="77">
      <c r="A77" s="1">
        <v>5.0</v>
      </c>
      <c r="B77" s="1" t="s">
        <v>78</v>
      </c>
      <c r="C77" t="str">
        <f>IFERROR(__xludf.DUMMYFUNCTION("GOOGLETRANSLATE(B77, ""zh"", ""en"")"),"The price is good, the sound is relatively large price good, sound is relatively large, cost-effective.")</f>
        <v>The price is good, the sound is relatively large price good, sound is relatively large, cost-effective.</v>
      </c>
    </row>
    <row r="78">
      <c r="A78" s="1">
        <v>5.0</v>
      </c>
      <c r="B78" s="1" t="s">
        <v>79</v>
      </c>
      <c r="C78" t="str">
        <f>IFERROR(__xludf.DUMMYFUNCTION("GOOGLETRANSLATE(B78, ""zh"", ""en"")"),"Good good good clothes, like, flexible")</f>
        <v>Good good good clothes, like, flexible</v>
      </c>
    </row>
    <row r="79">
      <c r="A79" s="1">
        <v>5.0</v>
      </c>
      <c r="B79" s="1" t="s">
        <v>80</v>
      </c>
      <c r="C79" t="str">
        <f>IFERROR(__xludf.DUMMYFUNCTION("GOOGLETRANSLATE(B79, ""zh"", ""en"")"),"[Hard] to move relatively fast hardware useful, with 1 year without any problems ~")</f>
        <v>[Hard] to move relatively fast hardware useful, with 1 year without any problems ~</v>
      </c>
    </row>
    <row r="80">
      <c r="A80" s="1">
        <v>5.0</v>
      </c>
      <c r="B80" s="1" t="s">
        <v>81</v>
      </c>
      <c r="C80" t="str">
        <f>IFERROR(__xludf.DUMMYFUNCTION("GOOGLETRANSLATE(B80, ""zh"", ""en"")"),"Nice little good quality very comfortable")</f>
        <v>Nice little good quality very comfortable</v>
      </c>
    </row>
    <row r="81">
      <c r="A81" s="1">
        <v>5.0</v>
      </c>
      <c r="B81" s="1" t="s">
        <v>82</v>
      </c>
      <c r="C81" t="str">
        <f>IFERROR(__xludf.DUMMYFUNCTION("GOOGLETRANSLATE(B81, ""zh"", ""en"")"),"Cool a little big, like. Is a little bit big, too big to wear socks")</f>
        <v>Cool a little big, like. Is a little bit big, too big to wear socks</v>
      </c>
    </row>
    <row r="82">
      <c r="A82" s="1">
        <v>5.0</v>
      </c>
      <c r="B82" s="1" t="s">
        <v>83</v>
      </c>
      <c r="C82" t="str">
        <f>IFERROR(__xludf.DUMMYFUNCTION("GOOGLETRANSLATE(B82, ""zh"", ""en"")"),"Two baby has not practical to increase food supplement, bought spare. Particularly given medicines used to respect.")</f>
        <v>Two baby has not practical to increase food supplement, bought spare. Particularly given medicines used to respect.</v>
      </c>
    </row>
    <row r="83">
      <c r="A83" s="1">
        <v>5.0</v>
      </c>
      <c r="B83" s="1" t="s">
        <v>84</v>
      </c>
      <c r="C83" t="str">
        <f>IFERROR(__xludf.DUMMYFUNCTION("GOOGLETRANSLATE(B83, ""zh"", ""en"")"),"Although easy to use transformers, but really easy to use, effective insulation super good")</f>
        <v>Although easy to use transformers, but really easy to use, effective insulation super good</v>
      </c>
    </row>
    <row r="84">
      <c r="A84" s="1">
        <v>5.0</v>
      </c>
      <c r="B84" s="1" t="s">
        <v>85</v>
      </c>
      <c r="C84" t="str">
        <f>IFERROR(__xludf.DUMMYFUNCTION("GOOGLETRANSLATE(B84, ""zh"", ""en"")"),"Husband thin warm heat intolerance to cold, just right to wear this winter")</f>
        <v>Husband thin warm heat intolerance to cold, just right to wear this winter</v>
      </c>
    </row>
    <row r="85">
      <c r="A85" s="1">
        <v>5.0</v>
      </c>
      <c r="B85" s="1" t="s">
        <v>86</v>
      </c>
      <c r="C85" t="str">
        <f>IFERROR(__xludf.DUMMYFUNCTION("GOOGLETRANSLATE(B85, ""zh"", ""en"")"),"Golden vintage watches with super good like ah ~ There conspicuous luminous function I really miss ah Oh delivery speed packaging is very delicate")</f>
        <v>Golden vintage watches with super good like ah ~ There conspicuous luminous function I really miss ah Oh delivery speed packaging is very delicate</v>
      </c>
    </row>
    <row r="86">
      <c r="A86" s="1">
        <v>5.0</v>
      </c>
      <c r="B86" s="1" t="s">
        <v>87</v>
      </c>
      <c r="C86" t="str">
        <f>IFERROR(__xludf.DUMMYFUNCTION("GOOGLETRANSLATE(B86, ""zh"", ""en"")"),"For the first time with a very good, sound accurate positioning, heard the more flavored, light, refined temperament.")</f>
        <v>For the first time with a very good, sound accurate positioning, heard the more flavored, light, refined temperament.</v>
      </c>
    </row>
    <row r="87">
      <c r="A87" s="1">
        <v>2.0</v>
      </c>
      <c r="B87" s="1" t="s">
        <v>88</v>
      </c>
      <c r="C87" t="str">
        <f>IFERROR(__xludf.DUMMYFUNCTION("GOOGLETRANSLATE(B87, ""zh"", ""en"")"),"Made in China Japan purchased originally thought it was Japanese goods, the result is Made in China")</f>
        <v>Made in China Japan purchased originally thought it was Japanese goods, the result is Made in China</v>
      </c>
    </row>
    <row r="88">
      <c r="A88" s="1">
        <v>3.0</v>
      </c>
      <c r="B88" s="1" t="s">
        <v>89</v>
      </c>
      <c r="C88" t="str">
        <f>IFERROR(__xludf.DUMMYFUNCTION("GOOGLETRANSLATE(B88, ""zh"", ""en"")"),"The general feeling is not worth it, not a good imagination")</f>
        <v>The general feeling is not worth it, not a good imagination</v>
      </c>
    </row>
    <row r="89">
      <c r="A89" s="1">
        <v>1.0</v>
      </c>
      <c r="B89" s="1" t="s">
        <v>90</v>
      </c>
      <c r="C89" t="str">
        <f>IFERROR(__xludf.DUMMYFUNCTION("GOOGLETRANSLATE(B89, ""zh"", ""en"")"),"Used a few times a year does not write to the school not only the warranty period of thirty days returned")</f>
        <v>Used a few times a year does not write to the school not only the warranty period of thirty days returned</v>
      </c>
    </row>
    <row r="90">
      <c r="A90" s="1">
        <v>1.0</v>
      </c>
      <c r="B90" s="1" t="s">
        <v>91</v>
      </c>
      <c r="C90" t="str">
        <f>IFERROR(__xludf.DUMMYFUNCTION("GOOGLETRANSLATE(B90, ""zh"", ""en"")"),"This is obviously fake fake goods. 1 shoebox no certificate, various types of seals no. 2 soles lion is completely incompatible with the genuine. 3 To buy friends, please note that once purchased, return shipping will not be refunded (over 100 freight).")</f>
        <v>This is obviously fake fake goods. 1 shoebox no certificate, various types of seals no. 2 soles lion is completely incompatible with the genuine. 3 To buy friends, please note that once purchased, return shipping will not be refunded (over 100 freight).</v>
      </c>
    </row>
    <row r="91">
      <c r="A91" s="1">
        <v>1.0</v>
      </c>
      <c r="B91" s="1" t="s">
        <v>92</v>
      </c>
      <c r="C91" t="str">
        <f>IFERROR(__xludf.DUMMYFUNCTION("GOOGLETRANSLATE(B91, ""zh"", ""en"")"),"30 waist too short, actually buy five of the tightest hole 30 a hole is not buckle! ! No place to punch a direct void! That there are such sizes?")</f>
        <v>30 waist too short, actually buy five of the tightest hole 30 a hole is not buckle! ! No place to punch a direct void! That there are such sizes?</v>
      </c>
    </row>
    <row r="92">
      <c r="A92" s="1">
        <v>4.0</v>
      </c>
      <c r="B92" s="1" t="s">
        <v>93</v>
      </c>
      <c r="C92" t="str">
        <f>IFERROR(__xludf.DUMMYFUNCTION("GOOGLETRANSLATE(B92, ""zh"", ""en"")"),"Cheap cheaper to buy two, thick material, feel good.")</f>
        <v>Cheap cheaper to buy two, thick material, feel good.</v>
      </c>
    </row>
    <row r="93">
      <c r="A93" s="1">
        <v>4.0</v>
      </c>
      <c r="B93" s="1" t="s">
        <v>94</v>
      </c>
      <c r="C93" t="str">
        <f>IFERROR(__xludf.DUMMYFUNCTION("GOOGLETRANSLATE(B93, ""zh"", ""en"")"),"Satisfaction at home Chuan Chuan very good, when pajamas.")</f>
        <v>Satisfaction at home Chuan Chuan very good, when pajamas.</v>
      </c>
    </row>
    <row r="94">
      <c r="A94" s="1">
        <v>4.0</v>
      </c>
      <c r="B94" s="1" t="s">
        <v>95</v>
      </c>
      <c r="C94" t="str">
        <f>IFERROR(__xludf.DUMMYFUNCTION("GOOGLETRANSLATE(B94, ""zh"", ""en"")"),"Sticky hair, pilling, rough to the touch, I 174cm, 75kg, for the first time to buy a champion of pants, M code I wear a size disadvantage of very appropriate to talk about the pants: 1, stick to the hair, it is best to separate from other clothing color w"&amp;"rite; 2, to play ball, feeling the rough to the touch. But, after all, the price here, regardless of brand, recommended paste a little bit of money to buy Anta, Li Ning.")</f>
        <v>Sticky hair, pilling, rough to the touch, I 174cm, 75kg, for the first time to buy a champion of pants, M code I wear a size disadvantage of very appropriate to talk about the pants: 1, stick to the hair, it is best to separate from other clothing color write; 2, to play ball, feeling the rough to the touch. But, after all, the price here, regardless of brand, recommended paste a little bit of money to buy Anta, Li Ning.</v>
      </c>
    </row>
    <row r="95">
      <c r="A95" s="1">
        <v>4.0</v>
      </c>
      <c r="B95" s="1" t="s">
        <v>96</v>
      </c>
      <c r="C95" t="str">
        <f>IFERROR(__xludf.DUMMYFUNCTION("GOOGLETRANSLATE(B95, ""zh"", ""en"")"),"Color is too old color is a little old, and a front pocket. China 170 yards to wear this little. Sleeve slim.")</f>
        <v>Color is too old color is a little old, and a front pocket. China 170 yards to wear this little. Sleeve slim.</v>
      </c>
    </row>
    <row r="96">
      <c r="A96" s="1">
        <v>4.0</v>
      </c>
      <c r="B96" s="1" t="s">
        <v>97</v>
      </c>
      <c r="C96" t="str">
        <f>IFERROR(__xludf.DUMMYFUNCTION("GOOGLETRANSLATE(B96, ""zh"", ""en"")"),"Need to handle more portable with a handle would be better, easy to carry.")</f>
        <v>Need to handle more portable with a handle would be better, easy to carry.</v>
      </c>
    </row>
    <row r="97">
      <c r="A97" s="1">
        <v>5.0</v>
      </c>
      <c r="B97" s="1" t="s">
        <v>98</v>
      </c>
      <c r="C97" t="str">
        <f>IFERROR(__xludf.DUMMYFUNCTION("GOOGLETRANSLATE(B97, ""zh"", ""en"")"),"Love love this style, good fabric")</f>
        <v>Love love this style, good fabric</v>
      </c>
    </row>
    <row r="98">
      <c r="A98" s="1">
        <v>5.0</v>
      </c>
      <c r="B98" s="1" t="s">
        <v>99</v>
      </c>
      <c r="C98" t="str">
        <f>IFERROR(__xludf.DUMMYFUNCTION("GOOGLETRANSLATE(B98, ""zh"", ""en"")"),"Good Good baggy comfortable")</f>
        <v>Good Good baggy comfortable</v>
      </c>
    </row>
    <row r="99">
      <c r="A99" s="1">
        <v>5.0</v>
      </c>
      <c r="B99" s="1" t="s">
        <v>100</v>
      </c>
      <c r="C99" t="str">
        <f>IFERROR(__xludf.DUMMYFUNCTION("GOOGLETRANSLATE(B99, ""zh"", ""en"")"),"It can also be the right size. Cozy")</f>
        <v>It can also be the right size. Cozy</v>
      </c>
    </row>
    <row r="100">
      <c r="A100" s="1">
        <v>5.0</v>
      </c>
      <c r="B100" s="1" t="s">
        <v>101</v>
      </c>
      <c r="C100" t="str">
        <f>IFERROR(__xludf.DUMMYFUNCTION("GOOGLETRANSLATE(B100, ""zh"", ""en"")"),"Good pants very very satisfied! Nice!")</f>
        <v>Good pants very very satisfied! Nice!</v>
      </c>
    </row>
    <row r="101">
      <c r="A101" s="1">
        <v>5.0</v>
      </c>
      <c r="B101" s="1" t="s">
        <v>102</v>
      </c>
      <c r="C101" t="str">
        <f>IFERROR(__xludf.DUMMYFUNCTION("GOOGLETRANSLATE(B101, ""zh"", ""en"")"),"A little bit small, the rest are good")</f>
        <v>A little bit small, the rest are good</v>
      </c>
    </row>
    <row r="102">
      <c r="A102" s="1">
        <v>5.0</v>
      </c>
      <c r="B102" s="1" t="s">
        <v>103</v>
      </c>
      <c r="C102" t="str">
        <f>IFERROR(__xludf.DUMMYFUNCTION("GOOGLETRANSLATE(B102, ""zh"", ""en"")"),"Short black shirt body something good, good price, size fit, will continue to buy! !")</f>
        <v>Short black shirt body something good, good price, size fit, will continue to buy! !</v>
      </c>
    </row>
    <row r="103">
      <c r="A103" s="1">
        <v>5.0</v>
      </c>
      <c r="B103" s="1" t="s">
        <v>104</v>
      </c>
      <c r="C103" t="str">
        <f>IFERROR(__xludf.DUMMYFUNCTION("GOOGLETRANSLATE(B103, ""zh"", ""en"")"),"Very comfortable, good quality, good fabrics, ah, very comfortable, feel good")</f>
        <v>Very comfortable, good quality, good fabrics, ah, very comfortable, feel good</v>
      </c>
    </row>
    <row r="104">
      <c r="A104" s="1">
        <v>5.0</v>
      </c>
      <c r="B104" s="1" t="s">
        <v>105</v>
      </c>
      <c r="C104" t="str">
        <f>IFERROR(__xludf.DUMMYFUNCTION("GOOGLETRANSLATE(B104, ""zh"", ""en"")"),"Milk system, one-click menu 1.6 kinds of one-button menu system is very convenient 2. The milk is very convenient, taste good 3. Tip not very intuitive with flashing lights when they boot")</f>
        <v>Milk system, one-click menu 1.6 kinds of one-button menu system is very convenient 2. The milk is very convenient, taste good 3. Tip not very intuitive with flashing lights when they boot</v>
      </c>
    </row>
    <row r="105">
      <c r="A105" s="1">
        <v>5.0</v>
      </c>
      <c r="B105" s="1" t="s">
        <v>106</v>
      </c>
      <c r="C105" t="str">
        <f>IFERROR(__xludf.DUMMYFUNCTION("GOOGLETRANSLATE(B105, ""zh"", ""en"")"),"Inexpensive to buy two hundred fifty-three tax, slightly larger than normal yards, wider at the toes W version, suitable for foot fat, and this double time to buy is tight this time to buy a little loose side of the same code .")</f>
        <v>Inexpensive to buy two hundred fifty-three tax, slightly larger than normal yards, wider at the toes W version, suitable for foot fat, and this double time to buy is tight this time to buy a little loose side of the same code .</v>
      </c>
    </row>
    <row r="106">
      <c r="A106" s="1">
        <v>5.0</v>
      </c>
      <c r="B106" s="1" t="s">
        <v>107</v>
      </c>
      <c r="C106" t="str">
        <f>IFERROR(__xludf.DUMMYFUNCTION("GOOGLETRANSLATE(B106, ""zh"", ""en"")"),"A few good! ! However, individuals may be relatively large hands, so that the watch is relatively small! ! Watch very delicate! ! A few good! ! However, individuals may be relatively large hands, so that the watch is relatively small! ! Watch very delicat"&amp;"e! !")</f>
        <v>A few good! ! However, individuals may be relatively large hands, so that the watch is relatively small! ! Watch very delicate! ! A few good! ! However, individuals may be relatively large hands, so that the watch is relatively small! ! Watch very delicate! !</v>
      </c>
    </row>
    <row r="107">
      <c r="A107" s="1">
        <v>5.0</v>
      </c>
      <c r="B107" s="1" t="s">
        <v>108</v>
      </c>
      <c r="C107" t="str">
        <f>IFERROR(__xludf.DUMMYFUNCTION("GOOGLETRANSLATE(B107, ""zh"", ""en"")"),"Long-term use once a day, the effect is estimated to have long-term use")</f>
        <v>Long-term use once a day, the effect is estimated to have long-term use</v>
      </c>
    </row>
    <row r="108">
      <c r="A108" s="1">
        <v>5.0</v>
      </c>
      <c r="B108" s="1" t="s">
        <v>109</v>
      </c>
      <c r="C108" t="str">
        <f>IFERROR(__xludf.DUMMYFUNCTION("GOOGLETRANSLATE(B108, ""zh"", ""en"")"),"Good prices are very favorable! Consumables can buy spare")</f>
        <v>Good prices are very favorable! Consumables can buy spare</v>
      </c>
    </row>
    <row r="109">
      <c r="A109" s="1">
        <v>5.0</v>
      </c>
      <c r="B109" s="1" t="s">
        <v>110</v>
      </c>
      <c r="C109" t="str">
        <f>IFERROR(__xludf.DUMMYFUNCTION("GOOGLETRANSLATE(B109, ""zh"", ""en"")"),"Very good very good use. Used to work with a very appropriate ~")</f>
        <v>Very good very good use. Used to work with a very appropriate ~</v>
      </c>
    </row>
    <row r="110">
      <c r="A110" s="1">
        <v>5.0</v>
      </c>
      <c r="B110" s="1" t="s">
        <v>111</v>
      </c>
      <c r="C110" t="str">
        <f>IFERROR(__xludf.DUMMYFUNCTION("GOOGLETRANSLATE(B110, ""zh"", ""en"")"),"The high cost of the headphones cost-effective not have to say, three-tone balance, resolution and imaging are great. It is a little bit chuck.")</f>
        <v>The high cost of the headphones cost-effective not have to say, three-tone balance, resolution and imaging are great. It is a little bit chuck.</v>
      </c>
    </row>
    <row r="111">
      <c r="A111" s="1">
        <v>5.0</v>
      </c>
      <c r="B111" s="1" t="s">
        <v>112</v>
      </c>
      <c r="C111" t="str">
        <f>IFERROR(__xludf.DUMMYFUNCTION("GOOGLETRANSLATE(B111, ""zh"", ""en"")"),"Buy big hands ... there is a demand it ... normal brain pumping almost 8.5 should Onitsuka Tiger 42.5, the election became 9.5 ... finally arrived ... or good looking ... that is a big TT now come up with his usual sneakers feel ... 44 almost there ... I "&amp;"want friends can contact me at ...")</f>
        <v>Buy big hands ... there is a demand it ... normal brain pumping almost 8.5 should Onitsuka Tiger 42.5, the election became 9.5 ... finally arrived ... or good looking ... that is a big TT now come up with his usual sneakers feel ... 44 almost there ... I want friends can contact me at ...</v>
      </c>
    </row>
    <row r="112">
      <c r="A112" s="1">
        <v>5.0</v>
      </c>
      <c r="B112" s="1" t="s">
        <v>113</v>
      </c>
      <c r="C112" t="str">
        <f>IFERROR(__xludf.DUMMYFUNCTION("GOOGLETRANSLATE(B112, ""zh"", ""en"")"),"Satisfaction &lt;div id = ""video-block-RNAGZRYXUWMC1"" class = ""a-section a-spacing-small a-spacing-top-mini video-block""&gt; &lt;/ div&gt; &lt;input type = ""hidden"" name = """" value = ""https://images-cn.ssl-images-amazon.com/images/I/91W5fF2PgsS.mp4"" class = """&amp;"video-url""&gt; &lt;input type = ""hidden"" name = """" value = ""https : //images-cn.ssl-images-amazon.com/images/I/71aOhLkTvpS.png ""class ="" video-slate-img-url ""&gt; &amp; nbsp; yourself installation very easy, just use the Osaka hands with the change of use for"&amp;" nearly 20 years before the water mixers (also Nissan)")</f>
        <v>Satisfaction &lt;div id = "video-block-RNAGZRYXUWMC1" class = "a-section a-spacing-small a-spacing-top-mini video-block"&gt; &lt;/ div&gt; &lt;input type = "hidden" name = "" value = "https://images-cn.ssl-images-amazon.com/images/I/91W5fF2PgsS.mp4" class = "video-url"&gt; &lt;input type = "hidden" name = "" value = "https : //images-cn.ssl-images-amazon.com/images/I/71aOhLkTvpS.png "class =" video-slate-img-url "&gt; &amp; nbsp; yourself installation very easy, just use the Osaka hands with the change of use for nearly 20 years before the water mixers (also Nissan)</v>
      </c>
    </row>
    <row r="113">
      <c r="A113" s="1">
        <v>5.0</v>
      </c>
      <c r="B113" s="1" t="s">
        <v>114</v>
      </c>
      <c r="C113" t="str">
        <f>IFERROR(__xludf.DUMMYFUNCTION("GOOGLETRANSLATE(B113, ""zh"", ""en"")"),"Good quality, good price quality baby OK, prices OK, is the color pattern is unlikely character. To return from a mailing trouble, forget it.")</f>
        <v>Good quality, good price quality baby OK, prices OK, is the color pattern is unlikely character. To return from a mailing trouble, forget it.</v>
      </c>
    </row>
    <row r="114">
      <c r="A114" s="1">
        <v>5.0</v>
      </c>
      <c r="B114" s="1" t="s">
        <v>115</v>
      </c>
      <c r="C114" t="str">
        <f>IFERROR(__xludf.DUMMYFUNCTION("GOOGLETRANSLATE(B114, ""zh"", ""en"")"),"Like 160. 90 kg. Xs wear just right. I am feeling a little oversize sleeves very long. Well liked. Genuine ten percent")</f>
        <v>Like 160. 90 kg. Xs wear just right. I am feeling a little oversize sleeves very long. Well liked. Genuine ten percent</v>
      </c>
    </row>
    <row r="115">
      <c r="A115" s="1">
        <v>5.0</v>
      </c>
      <c r="B115" s="1" t="s">
        <v>116</v>
      </c>
      <c r="C115" t="str">
        <f>IFERROR(__xludf.DUMMYFUNCTION("GOOGLETRANSLATE(B115, ""zh"", ""en"")"),"The right size to facilitate back Kua very good very good very good")</f>
        <v>The right size to facilitate back Kua very good very good very good</v>
      </c>
    </row>
    <row r="116">
      <c r="A116" s="1">
        <v>5.0</v>
      </c>
      <c r="B116" s="1" t="s">
        <v>117</v>
      </c>
      <c r="C116" t="str">
        <f>IFERROR(__xludf.DUMMYFUNCTION("GOOGLETRANSLATE(B116, ""zh"", ""en"")"),"Bought the most expensive air dryer wetter this time, we can not test the efficacy of deionised water. Compared to $ 198 Panasonic anion hair dryer old, this low wind noise, it is like holding down instantly become cool features.")</f>
        <v>Bought the most expensive air dryer wetter this time, we can not test the efficacy of deionised water. Compared to $ 198 Panasonic anion hair dryer old, this low wind noise, it is like holding down instantly become cool features.</v>
      </c>
    </row>
    <row r="117">
      <c r="A117" s="1">
        <v>5.0</v>
      </c>
      <c r="B117" s="1" t="s">
        <v>118</v>
      </c>
      <c r="C117" t="str">
        <f>IFERROR(__xludf.DUMMYFUNCTION("GOOGLETRANSLATE(B117, ""zh"", ""en"")"),"Product quality is acceptable product quality OK, right size, affordable, more recommended. I 179CM 75KG buy M, exactly. Do you give a reference.")</f>
        <v>Product quality is acceptable product quality OK, right size, affordable, more recommended. I 179CM 75KG buy M, exactly. Do you give a reference.</v>
      </c>
    </row>
    <row r="118">
      <c r="A118" s="1">
        <v>5.0</v>
      </c>
      <c r="B118" s="1" t="s">
        <v>119</v>
      </c>
      <c r="C118" t="str">
        <f>IFERROR(__xludf.DUMMYFUNCTION("GOOGLETRANSLATE(B118, ""zh"", ""en"")"),"Very good buy big, good quality clothes")</f>
        <v>Very good buy big, good quality clothes</v>
      </c>
    </row>
    <row r="119">
      <c r="A119" s="1">
        <v>2.0</v>
      </c>
      <c r="B119" s="1" t="s">
        <v>120</v>
      </c>
      <c r="C119" t="str">
        <f>IFERROR(__xludf.DUMMYFUNCTION("GOOGLETRANSLATE(B119, ""zh"", ""en"")"),"When the quality of the watch has not received the goods gone, bought by a month or two will not go")</f>
        <v>When the quality of the watch has not received the goods gone, bought by a month or two will not go</v>
      </c>
    </row>
    <row r="120">
      <c r="A120" s="1">
        <v>3.0</v>
      </c>
      <c r="B120" s="1" t="s">
        <v>121</v>
      </c>
      <c r="C120" t="str">
        <f>IFERROR(__xludf.DUMMYFUNCTION("GOOGLETRANSLATE(B120, ""zh"", ""en"")"),"Especially cool is much much 173cm 90kg wear XXL only two yards fat, but too short, there is a certain distance away from the knee. Comfortable is comfortable, relatively cool.")</f>
        <v>Especially cool is much much 173cm 90kg wear XXL only two yards fat, but too short, there is a certain distance away from the knee. Comfortable is comfortable, relatively cool.</v>
      </c>
    </row>
    <row r="121">
      <c r="A121" s="1">
        <v>3.0</v>
      </c>
      <c r="B121" s="1" t="s">
        <v>122</v>
      </c>
      <c r="C121" t="str">
        <f>IFERROR(__xludf.DUMMYFUNCTION("GOOGLETRANSLATE(B121, ""zh"", ""en"")"),"Genuine packaging is not good, but the packaging back, there are a lot of hatched")</f>
        <v>Genuine packaging is not good, but the packaging back, there are a lot of hatched</v>
      </c>
    </row>
    <row r="122">
      <c r="A122" s="1">
        <v>1.0</v>
      </c>
      <c r="B122" s="1" t="s">
        <v>123</v>
      </c>
      <c r="C122" t="str">
        <f>IFERROR(__xludf.DUMMYFUNCTION("GOOGLETRANSLATE(B122, ""zh"", ""en"")"),"Not taste particularly large cup can not use, I have been torn down not back")</f>
        <v>Not taste particularly large cup can not use, I have been torn down not back</v>
      </c>
    </row>
    <row r="123">
      <c r="A123" s="1">
        <v>1.0</v>
      </c>
      <c r="B123" s="1" t="s">
        <v>124</v>
      </c>
      <c r="C123" t="str">
        <f>IFERROR(__xludf.DUMMYFUNCTION("GOOGLETRANSLATE(B123, ""zh"", ""en"")"),"Tasteless product. Not easy to use with a little bad, in the end not as their own cut.")</f>
        <v>Tasteless product. Not easy to use with a little bad, in the end not as their own cut.</v>
      </c>
    </row>
    <row r="124">
      <c r="A124" s="1">
        <v>4.0</v>
      </c>
      <c r="B124" s="1" t="s">
        <v>125</v>
      </c>
      <c r="C124" t="str">
        <f>IFERROR(__xludf.DUMMYFUNCTION("GOOGLETRANSLATE(B124, ""zh"", ""en"")"),"Very nice leather is very soft us7.5 the right to buy 38 yards, do a little increased within the ah ha ha is the new gold standard arrow. We received two shoes are worn traces, chose to return, re-order, and hope no problem.")</f>
        <v>Very nice leather is very soft us7.5 the right to buy 38 yards, do a little increased within the ah ha ha is the new gold standard arrow. We received two shoes are worn traces, chose to return, re-order, and hope no problem.</v>
      </c>
    </row>
    <row r="125">
      <c r="A125" s="1">
        <v>4.0</v>
      </c>
      <c r="B125" s="1" t="s">
        <v>126</v>
      </c>
      <c r="C125" t="str">
        <f>IFERROR(__xludf.DUMMYFUNCTION("GOOGLETRANSLATE(B125, ""zh"", ""en"")"),"In fact, the quality is not good texture, very thin, not quite. In particular multi-thread, buttons, sewing poor workmanship. With the price of domestic brands ratio is also no advantage")</f>
        <v>In fact, the quality is not good texture, very thin, not quite. In particular multi-thread, buttons, sewing poor workmanship. With the price of domestic brands ratio is also no advantage</v>
      </c>
    </row>
    <row r="126">
      <c r="A126" s="1">
        <v>4.0</v>
      </c>
      <c r="B126" s="1" t="s">
        <v>127</v>
      </c>
      <c r="C126" t="str">
        <f>IFERROR(__xludf.DUMMYFUNCTION("GOOGLETRANSLATE(B126, ""zh"", ""en"")"),"Very good clothes, good clothes, logistics experience itself is very good. A certain thickness, there are wool. Wear very warm (ten degree weather). Pockets on both sides, one side of the pocket where there is a grid similar coin pocket pouch. There headp"&amp;"hone cable hole. Clothes slightly long, but I 175,75 wear M is still relatively fit. Work on the texture much better than the champion as a general. While the left chest logo stamping is up, but that there are projections, a certain thickness of the paint"&amp;" rather than feeling similar printed. Slightly thread, but not much. Speaking of logistics, very bad experience. Understand the double eleven logistics slow, I November 11 Kusakabe single to the 26th. But this attitude courier company personnel unpleasant"&amp;". Originally overseas purchase plus two-eleven is also no problem. But it is interesting to see logistics tracking information, 23rd goods went to Shanghai, to display the distribution. But then that is displayed peak parcel delivery delays. Had wanted to"&amp;" make a phone call to ask delivery staff will probably be delayed until what time. Distribution person's phone is always turned off. The next 2 days are the same circumstances. Look information, morning delivery staff began the delivery, but delayed to th"&amp;"e evening show, the phone is turned off during the day and night. And finally to 26th. Received a phone distribution members, said downstairs in your house, the family how no one (blunt and impatient tone). I replied, embarrassed hours of work at home doe"&amp;"s no one, to avoid him run again, you can have two options, a floor door got into the goods can be placed water meter box stairwell, or the abundance of nest cell door. Then he impatiently responded abundance of nest maybe full. I said, has been a peak ti"&amp;"me, there should be no problem. I had finished, he said impatiently know the hung up the phone. Amazon this time I bought three things, there are two kind is this courier delivery are delayed. While the third was sent tact, no problem. So at least the Ama"&amp;"zon than Taobao and Jingdong less on what the logistics performance of two-eleven")</f>
        <v>Very good clothes, good clothes, logistics experience itself is very good. A certain thickness, there are wool. Wear very warm (ten degree weather). Pockets on both sides, one side of the pocket where there is a grid similar coin pocket pouch. There headphone cable hole. Clothes slightly long, but I 175,75 wear M is still relatively fit. Work on the texture much better than the champion as a general. While the left chest logo stamping is up, but that there are projections, a certain thickness of the paint rather than feeling similar printed. Slightly thread, but not much. Speaking of logistics, very bad experience. Understand the double eleven logistics slow, I November 11 Kusakabe single to the 26th. But this attitude courier company personnel unpleasant. Originally overseas purchase plus two-eleven is also no problem. But it is interesting to see logistics tracking information, 23rd goods went to Shanghai, to display the distribution. But then that is displayed peak parcel delivery delays. Had wanted to make a phone call to ask delivery staff will probably be delayed until what time. Distribution person's phone is always turned off. The next 2 days are the same circumstances. Look information, morning delivery staff began the delivery, but delayed to the evening show, the phone is turned off during the day and night. And finally to 26th. Received a phone distribution members, said downstairs in your house, the family how no one (blunt and impatient tone). I replied, embarrassed hours of work at home does no one, to avoid him run again, you can have two options, a floor door got into the goods can be placed water meter box stairwell, or the abundance of nest cell door. Then he impatiently responded abundance of nest maybe full. I said, has been a peak time, there should be no problem. I had finished, he said impatiently know the hung up the phone. Amazon this time I bought three things, there are two kind is this courier delivery are delayed. While the third was sent tact, no problem. So at least the Amazon than Taobao and Jingdong less on what the logistics performance of two-eleven</v>
      </c>
    </row>
    <row r="127">
      <c r="A127" s="1">
        <v>4.0</v>
      </c>
      <c r="B127" s="1" t="s">
        <v>128</v>
      </c>
      <c r="C127" t="str">
        <f>IFERROR(__xludf.DUMMYFUNCTION("GOOGLETRANSLATE(B127, ""zh"", ""en"")"),"Water quality will change you feel good, that water is not detected.")</f>
        <v>Water quality will change you feel good, that water is not detected.</v>
      </c>
    </row>
    <row r="128">
      <c r="A128" s="1">
        <v>4.0</v>
      </c>
      <c r="B128" s="1" t="s">
        <v>129</v>
      </c>
      <c r="C128" t="str">
        <f>IFERROR(__xludf.DUMMYFUNCTION("GOOGLETRANSLATE(B128, ""zh"", ""en"")"),"Has not started with the stockpile, has been useless, we are buying the finished food supplement")</f>
        <v>Has not started with the stockpile, has been useless, we are buying the finished food supplement</v>
      </c>
    </row>
    <row r="129">
      <c r="A129" s="1">
        <v>5.0</v>
      </c>
      <c r="B129" s="1" t="s">
        <v>130</v>
      </c>
      <c r="C129" t="str">
        <f>IFERROR(__xludf.DUMMYFUNCTION("GOOGLETRANSLATE(B129, ""zh"", ""en"")"),"Cost-effective shoe size is very accurate, relaxed style, it can be less than half the number. Light and comfortable to wear. Cost-effective.")</f>
        <v>Cost-effective shoe size is very accurate, relaxed style, it can be less than half the number. Light and comfortable to wear. Cost-effective.</v>
      </c>
    </row>
    <row r="130">
      <c r="A130" s="1">
        <v>5.0</v>
      </c>
      <c r="B130" s="1" t="s">
        <v>131</v>
      </c>
      <c r="C130" t="str">
        <f>IFERROR(__xludf.DUMMYFUNCTION("GOOGLETRANSLATE(B130, ""zh"", ""en"")"),"Japanese champion championship T-shirts, the quality can be, Slim version, suitable for Asian body, inside lined with a thin layer. satisfaction!")</f>
        <v>Japanese champion championship T-shirts, the quality can be, Slim version, suitable for Asian body, inside lined with a thin layer. satisfaction!</v>
      </c>
    </row>
    <row r="131">
      <c r="A131" s="1">
        <v>5.0</v>
      </c>
      <c r="B131" s="1" t="s">
        <v>132</v>
      </c>
      <c r="C131" t="str">
        <f>IFERROR(__xludf.DUMMYFUNCTION("GOOGLETRANSLATE(B131, ""zh"", ""en"")"),"Like the quality shipped quickly, but also improve the packaging very carefully. Gadgets installed a set, do not look at the drawings they can get started. Consistent standard domestic home improvement can be directly replaced, eccentric threaded pipe is "&amp;"adapted to the poor hands a bit more difficult. Good temperature control, the temperature indicated for reference only. Shower is very small, but a large amount of water, hand can feel the reaction force. Hose bit hard, cold water toppings to prevent bias"&amp;".")</f>
        <v>Like the quality shipped quickly, but also improve the packaging very carefully. Gadgets installed a set, do not look at the drawings they can get started. Consistent standard domestic home improvement can be directly replaced, eccentric threaded pipe is adapted to the poor hands a bit more difficult. Good temperature control, the temperature indicated for reference only. Shower is very small, but a large amount of water, hand can feel the reaction force. Hose bit hard, cold water toppings to prevent bias.</v>
      </c>
    </row>
    <row r="132">
      <c r="A132" s="1">
        <v>5.0</v>
      </c>
      <c r="B132" s="1" t="s">
        <v>133</v>
      </c>
      <c r="C132" t="str">
        <f>IFERROR(__xludf.DUMMYFUNCTION("GOOGLETRANSLATE(B132, ""zh"", ""en"")"),"Dema value for money to buy cups generous cup of bright colors, very beautiful production, moderate capacity, fitness and tourism essential goods on Amazon, worth buying.")</f>
        <v>Dema value for money to buy cups generous cup of bright colors, very beautiful production, moderate capacity, fitness and tourism essential goods on Amazon, worth buying.</v>
      </c>
    </row>
    <row r="133">
      <c r="A133" s="1">
        <v>5.0</v>
      </c>
      <c r="B133" s="1" t="s">
        <v>134</v>
      </c>
      <c r="C133" t="str">
        <f>IFERROR(__xludf.DUMMYFUNCTION("GOOGLETRANSLATE(B133, ""zh"", ""en"")"),"Jeans pants right size, is biased a little short. But the size was not any little longer cargo")</f>
        <v>Jeans pants right size, is biased a little short. But the size was not any little longer cargo</v>
      </c>
    </row>
    <row r="134">
      <c r="A134" s="1">
        <v>5.0</v>
      </c>
      <c r="B134" s="1" t="s">
        <v>135</v>
      </c>
      <c r="C134" t="str">
        <f>IFERROR(__xludf.DUMMYFUNCTION("GOOGLETRANSLATE(B134, ""zh"", ""en"")"),"The right to buy one hundred ten, received the bag exactly the same with the picture, but the price back up only seven dozen, Amazon price is a learned skill")</f>
        <v>The right to buy one hundred ten, received the bag exactly the same with the picture, but the price back up only seven dozen, Amazon price is a learned skill</v>
      </c>
    </row>
    <row r="135">
      <c r="A135" s="1">
        <v>5.0</v>
      </c>
      <c r="B135" s="1" t="s">
        <v>136</v>
      </c>
      <c r="C135" t="str">
        <f>IFERROR(__xludf.DUMMYFUNCTION("GOOGLETRANSLATE(B135, ""zh"", ""en"")"),"172 60kg 172 60 kg 29w32l waist just right inseam a little.")</f>
        <v>172 60kg 172 60 kg 29w32l waist just right inseam a little.</v>
      </c>
    </row>
    <row r="136">
      <c r="A136" s="1">
        <v>5.0</v>
      </c>
      <c r="B136" s="1" t="s">
        <v>137</v>
      </c>
      <c r="C136" t="str">
        <f>IFERROR(__xludf.DUMMYFUNCTION("GOOGLETRANSLATE(B136, ""zh"", ""en"")"),"Amoy very cost-effective sea sea to help a friend Amoy, very cost-effective price! Friends say I liked it, better looking than the pictures in kind")</f>
        <v>Amoy very cost-effective sea sea to help a friend Amoy, very cost-effective price! Friends say I liked it, better looking than the pictures in kind</v>
      </c>
    </row>
    <row r="137">
      <c r="A137" s="1">
        <v>5.0</v>
      </c>
      <c r="B137" s="1" t="s">
        <v>138</v>
      </c>
      <c r="C137" t="str">
        <f>IFERROR(__xludf.DUMMYFUNCTION("GOOGLETRANSLATE(B137, ""zh"", ""en"")"),"Effective overseas purchase a bargain, after receipt of things are very good every day, think it is effective, postpartum recovery necessary")</f>
        <v>Effective overseas purchase a bargain, after receipt of things are very good every day, think it is effective, postpartum recovery necessary</v>
      </c>
    </row>
    <row r="138">
      <c r="A138" s="1">
        <v>5.0</v>
      </c>
      <c r="B138" s="1" t="s">
        <v>139</v>
      </c>
      <c r="C138" t="str">
        <f>IFERROR(__xludf.DUMMYFUNCTION("GOOGLETRANSLATE(B138, ""zh"", ""en"")"),"Fit, but too large shoes are very soft, usually wear 42, the results of the 42 big half a yard")</f>
        <v>Fit, but too large shoes are very soft, usually wear 42, the results of the 42 big half a yard</v>
      </c>
    </row>
    <row r="139">
      <c r="A139" s="1">
        <v>5.0</v>
      </c>
      <c r="B139" s="1" t="s">
        <v>140</v>
      </c>
      <c r="C139" t="str">
        <f>IFERROR(__xludf.DUMMYFUNCTION("GOOGLETRANSLATE(B139, ""zh"", ""en"")"),"S 175 65kg buy very close, feeling comfortable fabric. S 175 65kg buy very close, feeling comfortable fabric.")</f>
        <v>S 175 65kg buy very close, feeling comfortable fabric. S 175 65kg buy very close, feeling comfortable fabric.</v>
      </c>
    </row>
    <row r="140">
      <c r="A140" s="1">
        <v>5.0</v>
      </c>
      <c r="B140" s="1" t="s">
        <v>141</v>
      </c>
      <c r="C140" t="str">
        <f>IFERROR(__xludf.DUMMYFUNCTION("GOOGLETRANSLATE(B140, ""zh"", ""en"")"),"very good. Packing some simple, but very beautiful kind received.")</f>
        <v>very good. Packing some simple, but very beautiful kind received.</v>
      </c>
    </row>
    <row r="141">
      <c r="A141" s="1">
        <v>5.0</v>
      </c>
      <c r="B141" s="1" t="s">
        <v>142</v>
      </c>
      <c r="C141" t="str">
        <f>IFERROR(__xludf.DUMMYFUNCTION("GOOGLETRANSLATE(B141, ""zh"", ""en"")"),"Three Perak Malaysia pencil sharpener Sanford indeed, even the pencil sharpener are doing very good, the design specifications of the two-hole pencil, color of lead can be cut may be slimline stubby type, and soon will not be wasted pencil refills, a rela"&amp;"tively large capacity can hold multi-point pen cut - although it is a more than forty dollars, but because it is direct overseas shopping cheaper than purchasing, but also good color of lead with a good sharpener, worth buying! In addition, if the packagi"&amp;"ng is quite tight, the inside filled with inflatable bags, probably because it is issued by the US side, but also in the customs inspection frustrating than a few days, the original packaging has been opened at the scene, but was full of useful and easy r"&amp;"e-sealing tape well, the things inside intact, this is the first overseas purchase just met g20 summit, it is relatively slow clearance, consult the Amazon customer service, service is good, whether telephone, e-mail or text messages are all responses hav"&amp;"e help solve the problem, not neglect, hope to continue their efforts better and better.")</f>
        <v>Three Perak Malaysia pencil sharpener Sanford indeed, even the pencil sharpener are doing very good, the design specifications of the two-hole pencil, color of lead can be cut may be slimline stubby type, and soon will not be wasted pencil refills, a relatively large capacity can hold multi-point pen cut - although it is a more than forty dollars, but because it is direct overseas shopping cheaper than purchasing, but also good color of lead with a good sharpener, worth buying! In addition, if the packaging is quite tight, the inside filled with inflatable bags, probably because it is issued by the US side, but also in the customs inspection frustrating than a few days, the original packaging has been opened at the scene, but was full of useful and easy re-sealing tape well, the things inside intact, this is the first overseas purchase just met g20 summit, it is relatively slow clearance, consult the Amazon customer service, service is good, whether telephone, e-mail or text messages are all responses have help solve the problem, not neglect, hope to continue their efforts better and better.</v>
      </c>
    </row>
    <row r="142">
      <c r="A142" s="1">
        <v>5.0</v>
      </c>
      <c r="B142" s="1" t="s">
        <v>143</v>
      </c>
      <c r="C142" t="str">
        <f>IFERROR(__xludf.DUMMYFUNCTION("GOOGLETRANSLATE(B142, ""zh"", ""en"")"),"Okay thick, so you have a sense of security ......")</f>
        <v>Okay thick, so you have a sense of security ......</v>
      </c>
    </row>
    <row r="143">
      <c r="A143" s="1">
        <v>5.0</v>
      </c>
      <c r="B143" s="1" t="s">
        <v>144</v>
      </c>
      <c r="C143" t="str">
        <f>IFERROR(__xludf.DUMMYFUNCTION("GOOGLETRANSLATE(B143, ""zh"", ""en"")"),"Perfect perfect!")</f>
        <v>Perfect perfect!</v>
      </c>
    </row>
    <row r="144">
      <c r="A144" s="1">
        <v>5.0</v>
      </c>
      <c r="B144" s="1" t="s">
        <v>145</v>
      </c>
      <c r="C144" t="str">
        <f>IFERROR(__xludf.DUMMYFUNCTION("GOOGLETRANSLATE(B144, ""zh"", ""en"")"),"Compare Genjiao worth buying the shoes, wrapped in strong, rigid leather, soles moderate hardness, not Adidas boost so soft, more comfortable overall.")</f>
        <v>Compare Genjiao worth buying the shoes, wrapped in strong, rigid leather, soles moderate hardness, not Adidas boost so soft, more comfortable overall.</v>
      </c>
    </row>
    <row r="145">
      <c r="A145" s="1">
        <v>5.0</v>
      </c>
      <c r="B145" s="1" t="s">
        <v>146</v>
      </c>
      <c r="C145" t="str">
        <f>IFERROR(__xludf.DUMMYFUNCTION("GOOGLETRANSLATE(B145, ""zh"", ""en"")"),"Really nice particularly good, cost-effective, very satisfied")</f>
        <v>Really nice particularly good, cost-effective, very satisfied</v>
      </c>
    </row>
    <row r="146">
      <c r="A146" s="1">
        <v>5.0</v>
      </c>
      <c r="B146" s="1" t="s">
        <v>147</v>
      </c>
      <c r="C146" t="str">
        <f>IFERROR(__xludf.DUMMYFUNCTION("GOOGLETRANSLATE(B146, ""zh"", ""en"")"),"Worth 172,70, size just right, good quality pants, is the thread a little")</f>
        <v>Worth 172,70, size just right, good quality pants, is the thread a little</v>
      </c>
    </row>
    <row r="147">
      <c r="A147" s="1">
        <v>5.0</v>
      </c>
      <c r="B147" s="1" t="s">
        <v>148</v>
      </c>
      <c r="C147" t="str">
        <f>IFERROR(__xludf.DUMMYFUNCTION("GOOGLETRANSLATE(B147, ""zh"", ""en"")"),"You can also very good, the right size, but the soles a little dirty, like the feeling of the exhibits sold in the store, was tried many times")</f>
        <v>You can also very good, the right size, but the soles a little dirty, like the feeling of the exhibits sold in the store, was tried many times</v>
      </c>
    </row>
    <row r="148">
      <c r="A148" s="1">
        <v>5.0</v>
      </c>
      <c r="B148" s="1" t="s">
        <v>149</v>
      </c>
      <c r="C148" t="str">
        <f>IFERROR(__xludf.DUMMYFUNCTION("GOOGLETRANSLATE(B148, ""zh"", ""en"")"),"Suitable 36 yards wearing this code is appropriate, there is no internal lining, a little fade")</f>
        <v>Suitable 36 yards wearing this code is appropriate, there is no internal lining, a little fade</v>
      </c>
    </row>
    <row r="149">
      <c r="A149" s="1">
        <v>5.0</v>
      </c>
      <c r="B149" s="1" t="s">
        <v>150</v>
      </c>
      <c r="C149" t="str">
        <f>IFERROR(__xludf.DUMMYFUNCTION("GOOGLETRANSLATE(B149, ""zh"", ""en"")"),"Very satisfied with the shopping Cheers for the 750 with this, the price is a fraction of the national mainstream. A container, and no difference between the voltage and the like, is also less than the basic warranty, but also to ensure genuine. Removing "&amp;"the dry outer Cheers play function, 32 oz. Size more convenient, making juice now often used, although not as fine wet cup of the juice, but it is more convenient to clean.")</f>
        <v>Very satisfied with the shopping Cheers for the 750 with this, the price is a fraction of the national mainstream. A container, and no difference between the voltage and the like, is also less than the basic warranty, but also to ensure genuine. Removing the dry outer Cheers play function, 32 oz. Size more convenient, making juice now often used, although not as fine wet cup of the juice, but it is more convenient to clean.</v>
      </c>
    </row>
    <row r="150">
      <c r="A150" s="1">
        <v>5.0</v>
      </c>
      <c r="B150" s="1" t="s">
        <v>151</v>
      </c>
      <c r="C150" t="str">
        <f>IFERROR(__xludf.DUMMYFUNCTION("GOOGLETRANSLATE(B150, ""zh"", ""en"")"),"Praise feeling can be, do not know how to effect")</f>
        <v>Praise feeling can be, do not know how to effect</v>
      </c>
    </row>
    <row r="151">
      <c r="A151" s="1">
        <v>2.0</v>
      </c>
      <c r="B151" s="1" t="s">
        <v>152</v>
      </c>
      <c r="C151" t="str">
        <f>IFERROR(__xludf.DUMMYFUNCTION("GOOGLETRANSLATE(B151, ""zh"", ""en"")"),"Scale Scale serious allowed not allowed! ! ! Error can have 10ml! ! !")</f>
        <v>Scale Scale serious allowed not allowed! ! ! Error can have 10ml! ! !</v>
      </c>
    </row>
    <row r="152">
      <c r="A152" s="1">
        <v>3.0</v>
      </c>
      <c r="B152" s="1" t="s">
        <v>153</v>
      </c>
      <c r="C152" t="str">
        <f>IFERROR(__xludf.DUMMYFUNCTION("GOOGLETRANSLATE(B152, ""zh"", ""en"")"),"Mini shoulder bag shoulder bag S PM-01 okay, feel less than 200 yuan more reasonable!")</f>
        <v>Mini shoulder bag shoulder bag S PM-01 okay, feel less than 200 yuan more reasonable!</v>
      </c>
    </row>
    <row r="153">
      <c r="A153" s="1">
        <v>3.0</v>
      </c>
      <c r="B153" s="1" t="s">
        <v>154</v>
      </c>
      <c r="C153" t="str">
        <f>IFERROR(__xludf.DUMMYFUNCTION("GOOGLETRANSLATE(B153, ""zh"", ""en"")"),"Shenru prices continue to decline, installed in a notebook speed in general, it may be limited to the notebook platform, so it seems better to buy other brands cheaper")</f>
        <v>Shenru prices continue to decline, installed in a notebook speed in general, it may be limited to the notebook platform, so it seems better to buy other brands cheaper</v>
      </c>
    </row>
    <row r="154">
      <c r="A154" s="1">
        <v>1.0</v>
      </c>
      <c r="B154" s="1" t="s">
        <v>155</v>
      </c>
      <c r="C154" t="str">
        <f>IFERROR(__xludf.DUMMYFUNCTION("GOOGLETRANSLATE(B154, ""zh"", ""en"")"),"Not worth buying is not worth buying, navigation box battery run out less than a month, after-sales service is poor, impatient answer questions")</f>
        <v>Not worth buying is not worth buying, navigation box battery run out less than a month, after-sales service is poor, impatient answer questions</v>
      </c>
    </row>
    <row r="155">
      <c r="A155" s="1">
        <v>1.0</v>
      </c>
      <c r="B155" s="1" t="s">
        <v>156</v>
      </c>
      <c r="C155" t="str">
        <f>IFERROR(__xludf.DUMMYFUNCTION("GOOGLETRANSLATE(B155, ""zh"", ""en"")"),"With the first few times on the bad things with motors less than 10 times on the bad, and who have a lot of time to turn on the machine is very light patches of white face powder, taking into trouble overseas purchase and return to open the package when t"&amp;"here are even several months from receipt, the other outside food cup lid interface also has two large soybean wear (she did not notice), the new trade should not be so ah; secondly, customer service is simply Tucao Central Asia garbage, there is no integ"&amp;"rity at all, experienced naturally understand overseas Amazon and Central Asia customer service I say.")</f>
        <v>With the first few times on the bad things with motors less than 10 times on the bad, and who have a lot of time to turn on the machine is very light patches of white face powder, taking into trouble overseas purchase and return to open the package when there are even several months from receipt, the other outside food cup lid interface also has two large soybean wear (she did not notice), the new trade should not be so ah; secondly, customer service is simply Tucao Central Asia garbage, there is no integrity at all, experienced naturally understand overseas Amazon and Central Asia customer service I say.</v>
      </c>
    </row>
    <row r="156">
      <c r="A156" s="1">
        <v>1.0</v>
      </c>
      <c r="B156" s="1" t="s">
        <v>157</v>
      </c>
      <c r="C156" t="str">
        <f>IFERROR(__xludf.DUMMYFUNCTION("GOOGLETRANSLATE(B156, ""zh"", ""en"")"),"The quality is indeed as good as comfortable Wacoal")</f>
        <v>The quality is indeed as good as comfortable Wacoal</v>
      </c>
    </row>
    <row r="157">
      <c r="A157" s="1">
        <v>4.0</v>
      </c>
      <c r="B157" s="1" t="s">
        <v>158</v>
      </c>
      <c r="C157" t="str">
        <f>IFERROR(__xludf.DUMMYFUNCTION("GOOGLETRANSLATE(B157, ""zh"", ""en"")"),"Slim clothes, fat people chosen. Clothes work well, like the color of all kind of nice. Right length, more self-cultivation, basically sticking to his. Height 175, weight 66, S number. M certainly has a big number.")</f>
        <v>Slim clothes, fat people chosen. Clothes work well, like the color of all kind of nice. Right length, more self-cultivation, basically sticking to his. Height 175, weight 66, S number. M certainly has a big number.</v>
      </c>
    </row>
    <row r="158">
      <c r="A158" s="1">
        <v>4.0</v>
      </c>
      <c r="B158" s="1" t="s">
        <v>159</v>
      </c>
      <c r="C158" t="str">
        <f>IFERROR(__xludf.DUMMYFUNCTION("GOOGLETRANSLATE(B158, ""zh"", ""en"")"),"Slightly larger, softer fabrics work okay, the fabric softer. I may be small head, with a little big, can be a hat, even if the cap tide. .")</f>
        <v>Slightly larger, softer fabrics work okay, the fabric softer. I may be small head, with a little big, can be a hat, even if the cap tide. .</v>
      </c>
    </row>
    <row r="159">
      <c r="A159" s="1">
        <v>4.0</v>
      </c>
      <c r="B159" s="1" t="s">
        <v>160</v>
      </c>
      <c r="C159" t="str">
        <f>IFERROR(__xludf.DUMMYFUNCTION("GOOGLETRANSLATE(B159, ""zh"", ""en"")"),"Overall good other products are good, a little bit loud sound")</f>
        <v>Overall good other products are good, a little bit loud sound</v>
      </c>
    </row>
    <row r="160">
      <c r="A160" s="1">
        <v>4.0</v>
      </c>
      <c r="B160" s="1" t="s">
        <v>161</v>
      </c>
      <c r="C160" t="str">
        <f>IFERROR(__xludf.DUMMYFUNCTION("GOOGLETRANSLATE(B160, ""zh"", ""en"")"),"A large amount should be true, right, looks like a little effect, the taste is too sweet")</f>
        <v>A large amount should be true, right, looks like a little effect, the taste is too sweet</v>
      </c>
    </row>
    <row r="161">
      <c r="A161" s="1">
        <v>4.0</v>
      </c>
      <c r="B161" s="1" t="s">
        <v>162</v>
      </c>
      <c r="C161" t="str">
        <f>IFERROR(__xludf.DUMMYFUNCTION("GOOGLETRANSLATE(B161, ""zh"", ""en"")"),"The nipple bore hole is very small Y-shaped nipple is small, the suction was difficult.")</f>
        <v>The nipple bore hole is very small Y-shaped nipple is small, the suction was difficult.</v>
      </c>
    </row>
    <row r="162">
      <c r="A162" s="1">
        <v>5.0</v>
      </c>
      <c r="B162" s="1" t="s">
        <v>163</v>
      </c>
      <c r="C162" t="str">
        <f>IFERROR(__xludf.DUMMYFUNCTION("GOOGLETRANSLATE(B162, ""zh"", ""en"")"),"Fit did not expect to buy such a fit of denim clothing. I belong to the big chest, hard to buy clothes. This figure fit, the sleeves a little longer, we need to pull one. But overall it was thin. Fat sister paper can be considered")</f>
        <v>Fit did not expect to buy such a fit of denim clothing. I belong to the big chest, hard to buy clothes. This figure fit, the sleeves a little longer, we need to pull one. But overall it was thin. Fat sister paper can be considered</v>
      </c>
    </row>
    <row r="163">
      <c r="A163" s="1">
        <v>5.0</v>
      </c>
      <c r="B163" s="1" t="s">
        <v>164</v>
      </c>
      <c r="C163" t="str">
        <f>IFERROR(__xludf.DUMMYFUNCTION("GOOGLETRANSLATE(B163, ""zh"", ""en"")"),"Very good shower though small shower faucet, water is not really small, accurate temperature control, faster than the mixing valve is manually controlled speed of many hot water, and the temperature stability, the bath can be happy")</f>
        <v>Very good shower though small shower faucet, water is not really small, accurate temperature control, faster than the mixing valve is manually controlled speed of many hot water, and the temperature stability, the bath can be happy</v>
      </c>
    </row>
    <row r="164">
      <c r="A164" s="1">
        <v>5.0</v>
      </c>
      <c r="B164" s="1" t="s">
        <v>165</v>
      </c>
      <c r="C164" t="str">
        <f>IFERROR(__xludf.DUMMYFUNCTION("GOOGLETRANSLATE(B164, ""zh"", ""en"")"),"Suitable 188/82, the US version will only choose M number, Jordanian goods work better than Honduras")</f>
        <v>Suitable 188/82, the US version will only choose M number, Jordanian goods work better than Honduras</v>
      </c>
    </row>
    <row r="165">
      <c r="A165" s="1">
        <v>5.0</v>
      </c>
      <c r="B165" s="1" t="s">
        <v>166</v>
      </c>
      <c r="C165" t="str">
        <f>IFERROR(__xludf.DUMMYFUNCTION("GOOGLETRANSLATE(B165, ""zh"", ""en"")"),"Pigeon glass bottle received the goods, although the real sense of the box a bit rotten, but inside the packaging is very good, the bottle is imported, there is no damage, for the first time to buy things on Amazon overseas, recommended by a friend, somet"&amp;"hing Ye Hao price concessions")</f>
        <v>Pigeon glass bottle received the goods, although the real sense of the box a bit rotten, but inside the packaging is very good, the bottle is imported, there is no damage, for the first time to buy things on Amazon overseas, recommended by a friend, something Ye Hao price concessions</v>
      </c>
    </row>
    <row r="166">
      <c r="A166" s="1">
        <v>5.0</v>
      </c>
      <c r="B166" s="1" t="s">
        <v>167</v>
      </c>
      <c r="C166" t="str">
        <f>IFERROR(__xludf.DUMMYFUNCTION("GOOGLETRANSLATE(B166, ""zh"", ""en"")"),"The actual transmission speed quickly around 7.2TB, a little disappointed, transmission over 100 MB a second, very fast")</f>
        <v>The actual transmission speed quickly around 7.2TB, a little disappointed, transmission over 100 MB a second, very fast</v>
      </c>
    </row>
    <row r="167">
      <c r="A167" s="1">
        <v>5.0</v>
      </c>
      <c r="B167" s="1" t="s">
        <v>168</v>
      </c>
      <c r="C167" t="str">
        <f>IFERROR(__xludf.DUMMYFUNCTION("GOOGLETRANSLATE(B167, ""zh"", ""en"")"),"Comfortable to a friend buy, he said wear comfortable")</f>
        <v>Comfortable to a friend buy, he said wear comfortable</v>
      </c>
    </row>
    <row r="168">
      <c r="A168" s="1">
        <v>5.0</v>
      </c>
      <c r="B168" s="1" t="s">
        <v>169</v>
      </c>
      <c r="C168" t="str">
        <f>IFERROR(__xludf.DUMMYFUNCTION("GOOGLETRANSLATE(B168, ""zh"", ""en"")"),"Good very comfortable. Narrow elastic band, like")</f>
        <v>Good very comfortable. Narrow elastic band, like</v>
      </c>
    </row>
    <row r="169">
      <c r="A169" s="1">
        <v>5.0</v>
      </c>
      <c r="B169" s="1" t="s">
        <v>170</v>
      </c>
      <c r="C169" t="str">
        <f>IFERROR(__xludf.DUMMYFUNCTION("GOOGLETRANSLATE(B169, ""zh"", ""en"")"),"Praise to colleagues in both Nichia one person, less than five days on arrival, packaging is very delicate, something very satisfied. Oh, the price is very affordable")</f>
        <v>Praise to colleagues in both Nichia one person, less than five days on arrival, packaging is very delicate, something very satisfied. Oh, the price is very affordable</v>
      </c>
    </row>
    <row r="170">
      <c r="A170" s="1">
        <v>5.0</v>
      </c>
      <c r="B170" s="1" t="s">
        <v>171</v>
      </c>
      <c r="C170" t="str">
        <f>IFERROR(__xludf.DUMMYFUNCTION("GOOGLETRANSLATE(B170, ""zh"", ""en"")"),"Affordable number of suitable, affordable lot.")</f>
        <v>Affordable number of suitable, affordable lot.</v>
      </c>
    </row>
    <row r="171">
      <c r="A171" s="1">
        <v>5.0</v>
      </c>
      <c r="B171" s="1" t="s">
        <v>172</v>
      </c>
      <c r="C171" t="str">
        <f>IFERROR(__xludf.DUMMYFUNCTION("GOOGLETRANSLATE(B171, ""zh"", ""en"")"),"Be sure to set up the system before use. Can write to 100M, need to set up virtual memory, hard disk attributes which opens a high-performance mode, otherwise only write speed of more than 20 M.")</f>
        <v>Be sure to set up the system before use. Can write to 100M, need to set up virtual memory, hard disk attributes which opens a high-performance mode, otherwise only write speed of more than 20 M.</v>
      </c>
    </row>
    <row r="172">
      <c r="A172" s="1">
        <v>5.0</v>
      </c>
      <c r="B172" s="1" t="s">
        <v>173</v>
      </c>
      <c r="C172" t="str">
        <f>IFERROR(__xludf.DUMMYFUNCTION("GOOGLETRANSLATE(B172, ""zh"", ""en"")"),"Sound good sound quality is good, or Baia classic taste, fast delivery")</f>
        <v>Sound good sound quality is good, or Baia classic taste, fast delivery</v>
      </c>
    </row>
    <row r="173">
      <c r="A173" s="1">
        <v>5.0</v>
      </c>
      <c r="B173" s="1" t="s">
        <v>174</v>
      </c>
      <c r="C173" t="str">
        <f>IFERROR(__xludf.DUMMYFUNCTION("GOOGLETRANSLATE(B173, ""zh"", ""en"")"),"Suitable systems classic jeans. Style trousers Americans do have a little bit big, is really straight")</f>
        <v>Suitable systems classic jeans. Style trousers Americans do have a little bit big, is really straight</v>
      </c>
    </row>
    <row r="174">
      <c r="A174" s="1">
        <v>5.0</v>
      </c>
      <c r="B174" s="1" t="s">
        <v>175</v>
      </c>
      <c r="C174" t="str">
        <f>IFERROR(__xludf.DUMMYFUNCTION("GOOGLETRANSLATE(B174, ""zh"", ""en"")"),"Pretty good size is very accurate, pants texture relatively thick, elastic waist band and the whole is, the pants are more generous. Such pants to buy domestic prices have doubled.")</f>
        <v>Pretty good size is very accurate, pants texture relatively thick, elastic waist band and the whole is, the pants are more generous. Such pants to buy domestic prices have doubled.</v>
      </c>
    </row>
    <row r="175">
      <c r="A175" s="1">
        <v>5.0</v>
      </c>
      <c r="B175" s="1" t="s">
        <v>176</v>
      </c>
      <c r="C175" t="str">
        <f>IFERROR(__xludf.DUMMYFUNCTION("GOOGLETRANSLATE(B175, ""zh"", ""en"")"),"perfect shoes i bought a smaller size than normal. It's perfect fit. Looking very beautiful as well. Wearing together with jean very cool. i'm from DX state, IT'S A PRIVINCE OF SHANDONG, NOT SOUTH OF US")</f>
        <v>perfect shoes i bought a smaller size than normal. It's perfect fit. Looking very beautiful as well. Wearing together with jean very cool. i'm from DX state, IT'S A PRIVINCE OF SHANDONG, NOT SOUTH OF US</v>
      </c>
    </row>
    <row r="176">
      <c r="A176" s="1">
        <v>5.0</v>
      </c>
      <c r="B176" s="1" t="s">
        <v>177</v>
      </c>
      <c r="C176" t="str">
        <f>IFERROR(__xludf.DUMMYFUNCTION("GOOGLETRANSLATE(B176, ""zh"", ""en"")"),"Yes well, belonging to summer models, thin")</f>
        <v>Yes well, belonging to summer models, thin</v>
      </c>
    </row>
    <row r="177">
      <c r="A177" s="1">
        <v>5.0</v>
      </c>
      <c r="B177" s="1" t="s">
        <v>178</v>
      </c>
      <c r="C177" t="str">
        <f>IFERROR(__xludf.DUMMYFUNCTION("GOOGLETRANSLATE(B177, ""zh"", ""en"")"),"Calcium has been a good choice for children at home feel with what it's really like no problem child")</f>
        <v>Calcium has been a good choice for children at home feel with what it's really like no problem child</v>
      </c>
    </row>
    <row r="178">
      <c r="A178" s="1">
        <v>5.0</v>
      </c>
      <c r="B178" s="1" t="s">
        <v>179</v>
      </c>
      <c r="C178" t="str">
        <f>IFERROR(__xludf.DUMMYFUNCTION("GOOGLETRANSLATE(B178, ""zh"", ""en"")"),"Good material is very thick. . . . Good material is very thick. . . . . .")</f>
        <v>Good material is very thick. . . . Good material is very thick. . . . . .</v>
      </c>
    </row>
    <row r="179">
      <c r="A179" s="1">
        <v>5.0</v>
      </c>
      <c r="B179" s="1" t="s">
        <v>180</v>
      </c>
      <c r="C179" t="str">
        <f>IFERROR(__xludf.DUMMYFUNCTION("GOOGLETRANSLATE(B179, ""zh"", ""en"")"),"Nice jeans very good, the right size, affordable, a lot cheaper than the store.")</f>
        <v>Nice jeans very good, the right size, affordable, a lot cheaper than the store.</v>
      </c>
    </row>
    <row r="180">
      <c r="A180" s="1">
        <v>5.0</v>
      </c>
      <c r="B180" s="1" t="s">
        <v>181</v>
      </c>
      <c r="C180" t="str">
        <f>IFERROR(__xludf.DUMMYFUNCTION("GOOGLETRANSLATE(B180, ""zh"", ""en"")"),"..... nice tableware, baby likes to use")</f>
        <v>..... nice tableware, baby likes to use</v>
      </c>
    </row>
    <row r="181">
      <c r="A181" s="1">
        <v>5.0</v>
      </c>
      <c r="B181" s="1" t="s">
        <v>182</v>
      </c>
      <c r="C181" t="str">
        <f>IFERROR(__xludf.DUMMYFUNCTION("GOOGLETRANSLATE(B181, ""zh"", ""en"")"),"With great difficulty feeling is gone! Very smooth, waxy feel nothing")</f>
        <v>With great difficulty feeling is gone! Very smooth, waxy feel nothing</v>
      </c>
    </row>
    <row r="182">
      <c r="A182" s="1">
        <v>5.0</v>
      </c>
      <c r="B182" s="1" t="s">
        <v>183</v>
      </c>
      <c r="C182" t="str">
        <f>IFERROR(__xludf.DUMMYFUNCTION("GOOGLETRANSLATE(B182, ""zh"", ""en"")"),"Good fat weight of normal size to buy points on the line long sleeves")</f>
        <v>Good fat weight of normal size to buy points on the line long sleeves</v>
      </c>
    </row>
    <row r="183">
      <c r="A183" s="1">
        <v>2.0</v>
      </c>
      <c r="B183" s="1" t="s">
        <v>184</v>
      </c>
      <c r="C183" t="str">
        <f>IFERROR(__xludf.DUMMYFUNCTION("GOOGLETRANSLATE(B183, ""zh"", ""en"")"),"This really believe! Start looking for a lot of brands, it can not be determined. Finally saw this, Schneider, good brand, many buyers, but also multi-product theory, so chose this. . But I tried to come back only to find that I should believe the words o"&amp;"f her brother upstairs. . This pen is really a little problem. . When the pen is really no water. . After I tried really believed. . But other better. . . For the first time in here to buy. . A little disappointed. . When ready to go to Macau to buy one. "&amp;". This will spare the. . .")</f>
        <v>This really believe! Start looking for a lot of brands, it can not be determined. Finally saw this, Schneider, good brand, many buyers, but also multi-product theory, so chose this. . But I tried to come back only to find that I should believe the words of her brother upstairs. . This pen is really a little problem. . When the pen is really no water. . After I tried really believed. . But other better. . . For the first time in here to buy. . A little disappointed. . When ready to go to Macau to buy one. . This will spare the. . .</v>
      </c>
    </row>
    <row r="184">
      <c r="A184" s="1">
        <v>3.0</v>
      </c>
      <c r="B184" s="1" t="s">
        <v>185</v>
      </c>
      <c r="C184" t="str">
        <f>IFERROR(__xludf.DUMMYFUNCTION("GOOGLETRANSLATE(B184, ""zh"", ""en"")"),"Quality not feel size is cotton, did not want big as pajamas, this quality is not, and I 170 m high 140 re-buy is too large.")</f>
        <v>Quality not feel size is cotton, did not want big as pajamas, this quality is not, and I 170 m high 140 re-buy is too large.</v>
      </c>
    </row>
    <row r="185">
      <c r="A185" s="1">
        <v>3.0</v>
      </c>
      <c r="B185" s="1" t="s">
        <v>186</v>
      </c>
      <c r="C185" t="str">
        <f>IFERROR(__xludf.DUMMYFUNCTION("GOOGLETRANSLATE(B185, ""zh"", ""en"")"),"Recommend buying 160,96 pounds, the right size, color is beige, which add velvet, the chest is printing, embroidery on the sleeves, the price was right, you can buy.")</f>
        <v>Recommend buying 160,96 pounds, the right size, color is beige, which add velvet, the chest is printing, embroidery on the sleeves, the price was right, you can buy.</v>
      </c>
    </row>
    <row r="186">
      <c r="A186" s="1">
        <v>3.0</v>
      </c>
      <c r="B186" s="1" t="s">
        <v>187</v>
      </c>
      <c r="C186" t="str">
        <f>IFERROR(__xludf.DUMMYFUNCTION("GOOGLETRANSLATE(B186, ""zh"", ""en"")"),"Ah ...... big as originally thought and columbia buy the US version of the XL just for me, to know what's Champion XL code so great, I consider themselves very wide shoulders dress like singing, because it is not expensive, do not bother to back up, direc"&amp;"t when put home wearing pajamas, after all, touch and feel the materials down is still very good, size is difficult to grasp ......")</f>
        <v>Ah ...... big as originally thought and columbia buy the US version of the XL just for me, to know what's Champion XL code so great, I consider themselves very wide shoulders dress like singing, because it is not expensive, do not bother to back up, direct when put home wearing pajamas, after all, touch and feel the materials down is still very good, size is difficult to grasp ......</v>
      </c>
    </row>
    <row r="187">
      <c r="A187" s="1">
        <v>1.0</v>
      </c>
      <c r="B187" s="1" t="s">
        <v>188</v>
      </c>
      <c r="C187" t="str">
        <f>IFERROR(__xludf.DUMMYFUNCTION("GOOGLETRANSLATE(B187, ""zh"", ""en"")"),"Mass generally hold a pen is pen-yl place is stitching together two plastic, obviously the seams")</f>
        <v>Mass generally hold a pen is pen-yl place is stitching together two plastic, obviously the seams</v>
      </c>
    </row>
    <row r="188">
      <c r="A188" s="1">
        <v>1.0</v>
      </c>
      <c r="B188" s="1" t="s">
        <v>189</v>
      </c>
      <c r="C188" t="str">
        <f>IFERROR(__xludf.DUMMYFUNCTION("GOOGLETRANSLATE(B188, ""zh"", ""en"")"),"Not bad, sent me a pen obviously used, not smooth")</f>
        <v>Not bad, sent me a pen obviously used, not smooth</v>
      </c>
    </row>
    <row r="189">
      <c r="A189" s="1">
        <v>1.0</v>
      </c>
      <c r="B189" s="1" t="s">
        <v>190</v>
      </c>
      <c r="C189" t="str">
        <f>IFERROR(__xludf.DUMMYFUNCTION("GOOGLETRANSLATE(B189, ""zh"", ""en"")"),"Overpaid overpaid, overpaid, a difference of 1000, 5800 before buying")</f>
        <v>Overpaid overpaid, overpaid, a difference of 1000, 5800 before buying</v>
      </c>
    </row>
    <row r="190">
      <c r="A190" s="1">
        <v>4.0</v>
      </c>
      <c r="B190" s="1" t="s">
        <v>191</v>
      </c>
      <c r="C190" t="str">
        <f>IFERROR(__xludf.DUMMYFUNCTION("GOOGLETRANSLATE(B190, ""zh"", ""en"")"),"No rims comfortable to wear very comfortable, gather good results, wear do not feel the summer heat in the body.")</f>
        <v>No rims comfortable to wear very comfortable, gather good results, wear do not feel the summer heat in the body.</v>
      </c>
    </row>
    <row r="191">
      <c r="A191" s="1">
        <v>4.0</v>
      </c>
      <c r="B191" s="1" t="s">
        <v>192</v>
      </c>
      <c r="C191" t="str">
        <f>IFERROR(__xludf.DUMMYFUNCTION("GOOGLETRANSLATE(B191, ""zh"", ""en"")"),"Wearing feeling of the day usually wear nike, adidas sports shoes is 36.5 to 37, this dual buy uk4 crowded forward, then followed it is also a little big, but prefer to wear loose a little so can be said to be appropriate, to walk indeed fall but as long "&amp;"as the heel that will not be tied shoelaces. puma details of the deal really is no good other brands, models wearing not care about quality, then start ok")</f>
        <v>Wearing feeling of the day usually wear nike, adidas sports shoes is 36.5 to 37, this dual buy uk4 crowded forward, then followed it is also a little big, but prefer to wear loose a little so can be said to be appropriate, to walk indeed fall but as long as the heel that will not be tied shoelaces. puma details of the deal really is no good other brands, models wearing not care about quality, then start ok</v>
      </c>
    </row>
    <row r="192">
      <c r="A192" s="1">
        <v>4.0</v>
      </c>
      <c r="B192" s="1" t="s">
        <v>193</v>
      </c>
      <c r="C192" t="str">
        <f>IFERROR(__xludf.DUMMYFUNCTION("GOOGLETRANSLATE(B192, ""zh"", ""en"")"),"Taste flavor, she washes a few times, or taste")</f>
        <v>Taste flavor, she washes a few times, or taste</v>
      </c>
    </row>
    <row r="193">
      <c r="A193" s="1">
        <v>4.0</v>
      </c>
      <c r="B193" s="1" t="s">
        <v>194</v>
      </c>
      <c r="C193" t="str">
        <f>IFERROR(__xludf.DUMMYFUNCTION("GOOGLETRANSLATE(B193, ""zh"", ""en"")"),"The only drawback is no good-looking hat rope. . . Where to go with ah")</f>
        <v>The only drawback is no good-looking hat rope. . . Where to go with ah</v>
      </c>
    </row>
    <row r="194">
      <c r="A194" s="1">
        <v>5.0</v>
      </c>
      <c r="B194" s="1" t="s">
        <v>195</v>
      </c>
      <c r="C194" t="str">
        <f>IFERROR(__xludf.DUMMYFUNCTION("GOOGLETRANSLATE(B194, ""zh"", ""en"")"),"A return to basic functions, that require only a simple chronograph movement and waterproof and outdoor enthusiasts is definitely the first choice. Back to nature, follow your heart and hobbies go, do not let all kinds of intelligent data own home!")</f>
        <v>A return to basic functions, that require only a simple chronograph movement and waterproof and outdoor enthusiasts is definitely the first choice. Back to nature, follow your heart and hobbies go, do not let all kinds of intelligent data own home!</v>
      </c>
    </row>
    <row r="195">
      <c r="A195" s="1">
        <v>5.0</v>
      </c>
      <c r="B195" s="1" t="s">
        <v>196</v>
      </c>
      <c r="C195" t="str">
        <f>IFERROR(__xludf.DUMMYFUNCTION("GOOGLETRANSLATE(B195, ""zh"", ""en"")"),"Cost-effective to buy her mother, very cost-effective, cost-effective.")</f>
        <v>Cost-effective to buy her mother, very cost-effective, cost-effective.</v>
      </c>
    </row>
    <row r="196">
      <c r="A196" s="1">
        <v>5.0</v>
      </c>
      <c r="B196" s="1" t="s">
        <v>197</v>
      </c>
      <c r="C196" t="str">
        <f>IFERROR(__xludf.DUMMYFUNCTION("GOOGLETRANSLATE(B196, ""zh"", ""en"")"),"Value for money is very nice and comfortable Chelsea, shoe size is very accurate")</f>
        <v>Value for money is very nice and comfortable Chelsea, shoe size is very accurate</v>
      </c>
    </row>
    <row r="197">
      <c r="A197" s="1">
        <v>5.0</v>
      </c>
      <c r="B197" s="1" t="s">
        <v>198</v>
      </c>
      <c r="C197" t="str">
        <f>IFERROR(__xludf.DUMMYFUNCTION("GOOGLETRANSLATE(B197, ""zh"", ""en"")"),"Good size just right, very comfortable to wear")</f>
        <v>Good size just right, very comfortable to wear</v>
      </c>
    </row>
    <row r="198">
      <c r="A198" s="1">
        <v>5.0</v>
      </c>
      <c r="B198" s="1" t="s">
        <v>199</v>
      </c>
      <c r="C198" t="str">
        <f>IFERROR(__xludf.DUMMYFUNCTION("GOOGLETRANSLATE(B198, ""zh"", ""en"")"),"Things can still ten dollars of things. Or can. China is now difficult to buy the crotch a little long pants. Especially the tall boy.")</f>
        <v>Things can still ten dollars of things. Or can. China is now difficult to buy the crotch a little long pants. Especially the tall boy.</v>
      </c>
    </row>
    <row r="199">
      <c r="A199" s="1">
        <v>5.0</v>
      </c>
      <c r="B199" s="1" t="s">
        <v>200</v>
      </c>
      <c r="C199" t="str">
        <f>IFERROR(__xludf.DUMMYFUNCTION("GOOGLETRANSLATE(B199, ""zh"", ""en"")"),"Can speed much faster than expected non-experts can not quite understand it")</f>
        <v>Can speed much faster than expected non-experts can not quite understand it</v>
      </c>
    </row>
    <row r="200">
      <c r="A200" s="1">
        <v>5.0</v>
      </c>
      <c r="B200" s="1" t="s">
        <v>201</v>
      </c>
      <c r="C200" t="str">
        <f>IFERROR(__xludf.DUMMYFUNCTION("GOOGLETRANSLATE(B200, ""zh"", ""en"")"),"US version being and body. 182cm, 110kg. In the country is not good to buy clothes, the US version XL positive and body.")</f>
        <v>US version being and body. 182cm, 110kg. In the country is not good to buy clothes, the US version XL positive and body.</v>
      </c>
    </row>
    <row r="201">
      <c r="A201" s="1">
        <v>5.0</v>
      </c>
      <c r="B201" s="1" t="s">
        <v>202</v>
      </c>
      <c r="C201" t="str">
        <f>IFERROR(__xludf.DUMMYFUNCTION("GOOGLETRANSLATE(B201, ""zh"", ""en"")"),"Grass for a long time! Grass for a long time ~! But Vita Mies things are too expensive, this is the classic version, which belongs to the business simple packaging, simple and practical, finally bite. Something good soy milk, rice cereal is very delicate "&amp;"oh ~!")</f>
        <v>Grass for a long time! Grass for a long time ~! But Vita Mies things are too expensive, this is the classic version, which belongs to the business simple packaging, simple and practical, finally bite. Something good soy milk, rice cereal is very delicate oh ~!</v>
      </c>
    </row>
    <row r="202">
      <c r="A202" s="1">
        <v>5.0</v>
      </c>
      <c r="B202" s="1" t="s">
        <v>203</v>
      </c>
      <c r="C202" t="str">
        <f>IFERROR(__xludf.DUMMYFUNCTION("GOOGLETRANSLATE(B202, ""zh"", ""en"")"),"Worth buying something good, I believe the country will also do out of such a product, but a lack of trust in the country, so it is still willing to buy in a foreign country. Copy on a computer issued a document, an average speed of 65 ~ 70M, three USB po"&amp;"rts are tried, a very slow 20M, the same as the other two, he said the speed of 380M did not see on my computer, I estimate computer USB port output problem, very stable, this time to buy such a good flash drive, also for the first time to buy expensive.")</f>
        <v>Worth buying something good, I believe the country will also do out of such a product, but a lack of trust in the country, so it is still willing to buy in a foreign country. Copy on a computer issued a document, an average speed of 65 ~ 70M, three USB ports are tried, a very slow 20M, the same as the other two, he said the speed of 380M did not see on my computer, I estimate computer USB port output problem, very stable, this time to buy such a good flash drive, also for the first time to buy expensive.</v>
      </c>
    </row>
    <row r="203">
      <c r="A203" s="1">
        <v>5.0</v>
      </c>
      <c r="B203" s="1" t="s">
        <v>204</v>
      </c>
      <c r="C203" t="str">
        <f>IFERROR(__xludf.DUMMYFUNCTION("GOOGLETRANSLATE(B203, ""zh"", ""en"")"),"Bang Bang workmanship is amazing, the price is beautiful")</f>
        <v>Bang Bang workmanship is amazing, the price is beautiful</v>
      </c>
    </row>
    <row r="204">
      <c r="A204" s="1">
        <v>5.0</v>
      </c>
      <c r="B204" s="1" t="s">
        <v>205</v>
      </c>
      <c r="C204" t="str">
        <f>IFERROR(__xludf.DUMMYFUNCTION("GOOGLETRANSLATE(B204, ""zh"", ""en"")"),"The Fleece very good workmanship is good, perfectly cut and comfortable to wear, worth buying.")</f>
        <v>The Fleece very good workmanship is good, perfectly cut and comfortable to wear, worth buying.</v>
      </c>
    </row>
    <row r="205">
      <c r="A205" s="1">
        <v>5.0</v>
      </c>
      <c r="B205" s="1" t="s">
        <v>206</v>
      </c>
      <c r="C205" t="str">
        <f>IFERROR(__xludf.DUMMYFUNCTION("GOOGLETRANSLATE(B205, ""zh"", ""en"")"),"Easy to use good use, sealing strong ..")</f>
        <v>Easy to use good use, sealing strong ..</v>
      </c>
    </row>
    <row r="206">
      <c r="A206" s="1">
        <v>5.0</v>
      </c>
      <c r="B206" s="1" t="s">
        <v>207</v>
      </c>
      <c r="C206" t="str">
        <f>IFERROR(__xludf.DUMMYFUNCTION("GOOGLETRANSLATE(B206, ""zh"", ""en"")"),"Overall good. Logistics very quickly, for the existence of the phenomenon of missing seconds, but overall still good table.")</f>
        <v>Overall good. Logistics very quickly, for the existence of the phenomenon of missing seconds, but overall still good table.</v>
      </c>
    </row>
    <row r="207">
      <c r="A207" s="1">
        <v>5.0</v>
      </c>
      <c r="B207" s="1" t="s">
        <v>208</v>
      </c>
      <c r="C207" t="str">
        <f>IFERROR(__xludf.DUMMYFUNCTION("GOOGLETRANSLATE(B207, ""zh"", ""en"")"),"I beautifully Oh, I liked it, liked the texture")</f>
        <v>I beautifully Oh, I liked it, liked the texture</v>
      </c>
    </row>
    <row r="208">
      <c r="A208" s="1">
        <v>5.0</v>
      </c>
      <c r="B208" s="1" t="s">
        <v>209</v>
      </c>
      <c r="C208" t="str">
        <f>IFERROR(__xludf.DUMMYFUNCTION("GOOGLETRANSLATE(B208, ""zh"", ""en"")"),"Strong man incarnation thick, put on just feel a lot of big, Slim may be more appropriate. But wear long to adapt. Very warm, slightly longer sleeves, the other very good, worth having")</f>
        <v>Strong man incarnation thick, put on just feel a lot of big, Slim may be more appropriate. But wear long to adapt. Very warm, slightly longer sleeves, the other very good, worth having</v>
      </c>
    </row>
    <row r="209">
      <c r="A209" s="1">
        <v>5.0</v>
      </c>
      <c r="B209" s="1" t="s">
        <v>210</v>
      </c>
      <c r="C209" t="str">
        <f>IFERROR(__xludf.DUMMYFUNCTION("GOOGLETRANSLATE(B209, ""zh"", ""en"")"),"So fit 172,64 kg, 30 * 30 perfect mess. First time to buy really good stuff LEE")</f>
        <v>So fit 172,64 kg, 30 * 30 perfect mess. First time to buy really good stuff LEE</v>
      </c>
    </row>
    <row r="210">
      <c r="A210" s="1">
        <v>5.0</v>
      </c>
      <c r="B210" s="1" t="s">
        <v>211</v>
      </c>
      <c r="C210" t="str">
        <f>IFERROR(__xludf.DUMMYFUNCTION("GOOGLETRANSLATE(B210, ""zh"", ""en"")"),"Men's comfortable, lightweight, suitable for foot, continue to support 😊")</f>
        <v>Men's comfortable, lightweight, suitable for foot, continue to support 😊</v>
      </c>
    </row>
    <row r="211">
      <c r="A211" s="1">
        <v>5.0</v>
      </c>
      <c r="B211" s="1" t="s">
        <v>212</v>
      </c>
      <c r="C211" t="str">
        <f>IFERROR(__xludf.DUMMYFUNCTION("GOOGLETRANSLATE(B211, ""zh"", ""en"")"),"When suitable for sports wear, flexible, parcel is also good, I usually like to wear loose underwear. The disadvantage is a little faded and shrunk after washing several times for sports when wearing, flexible, parcel is also good, I usually like to wear "&amp;"loose underwear. The disadvantage is a little faded and shrunk after washing several times")</f>
        <v>When suitable for sports wear, flexible, parcel is also good, I usually like to wear loose underwear. The disadvantage is a little faded and shrunk after washing several times for sports when wearing, flexible, parcel is also good, I usually like to wear loose underwear. The disadvantage is a little faded and shrunk after washing several times</v>
      </c>
    </row>
    <row r="212">
      <c r="A212" s="1">
        <v>5.0</v>
      </c>
      <c r="B212" s="1" t="s">
        <v>213</v>
      </c>
      <c r="C212" t="str">
        <f>IFERROR(__xludf.DUMMYFUNCTION("GOOGLETRANSLATE(B212, ""zh"", ""en"")"),"S is not good enough counter 166 67kg feel no good domestic counter in the lee work. Origin are Bangladesh and Cambodia. One")</f>
        <v>S is not good enough counter 166 67kg feel no good domestic counter in the lee work. Origin are Bangladesh and Cambodia. One</v>
      </c>
    </row>
    <row r="213">
      <c r="A213" s="1">
        <v>5.0</v>
      </c>
      <c r="B213" s="1" t="s">
        <v>214</v>
      </c>
      <c r="C213" t="str">
        <f>IFERROR(__xludf.DUMMYFUNCTION("GOOGLETRANSLATE(B213, ""zh"", ""en"")"),"Color a bit biased black color and a little difference Parker")</f>
        <v>Color a bit biased black color and a little difference Parker</v>
      </c>
    </row>
    <row r="214">
      <c r="A214" s="1">
        <v>5.0</v>
      </c>
      <c r="B214" s="1" t="s">
        <v>215</v>
      </c>
      <c r="C214" t="str">
        <f>IFERROR(__xludf.DUMMYFUNCTION("GOOGLETRANSLATE(B214, ""zh"", ""en"")"),"Comfortable very comfortable shoes, do not wear the foot as well as soft type, the disadvantage is easy to James Gray")</f>
        <v>Comfortable very comfortable shoes, do not wear the foot as well as soft type, the disadvantage is easy to James Gray</v>
      </c>
    </row>
    <row r="215">
      <c r="A215" s="1">
        <v>5.0</v>
      </c>
      <c r="B215" s="1" t="s">
        <v>216</v>
      </c>
      <c r="C215" t="str">
        <f>IFERROR(__xludf.DUMMYFUNCTION("GOOGLETRANSLATE(B215, ""zh"", ""en"")"),"Very good price, colleagues said things have been very satisfied with Panasonic's reliable. And do not buy a transformer. Cost-effective.")</f>
        <v>Very good price, colleagues said things have been very satisfied with Panasonic's reliable. And do not buy a transformer. Cost-effective.</v>
      </c>
    </row>
    <row r="216">
      <c r="A216" s="1">
        <v>2.0</v>
      </c>
      <c r="B216" s="1" t="s">
        <v>217</v>
      </c>
      <c r="C216" t="str">
        <f>IFERROR(__xludf.DUMMYFUNCTION("GOOGLETRANSLATE(B216, ""zh"", ""en"")"),"Poor quality have nothing to say, than it is good to spread the goods!")</f>
        <v>Poor quality have nothing to say, than it is good to spread the goods!</v>
      </c>
    </row>
    <row r="217">
      <c r="A217" s="1">
        <v>3.0</v>
      </c>
      <c r="B217" s="1" t="s">
        <v>218</v>
      </c>
      <c r="C217" t="str">
        <f>IFERROR(__xludf.DUMMYFUNCTION("GOOGLETRANSLATE(B217, ""zh"", ""en"")"),"Cost is not high picture looks pretty good, with not how physical and material goods. The price is not too low.")</f>
        <v>Cost is not high picture looks pretty good, with not how physical and material goods. The price is not too low.</v>
      </c>
    </row>
    <row r="218">
      <c r="A218" s="1">
        <v>3.0</v>
      </c>
      <c r="B218" s="1" t="s">
        <v>219</v>
      </c>
      <c r="C218" t="str">
        <f>IFERROR(__xludf.DUMMYFUNCTION("GOOGLETRANSLATE(B218, ""zh"", ""en"")"),"The right size. 176CM, 88KG, large size is not a little big myself.")</f>
        <v>The right size. 176CM, 88KG, large size is not a little big myself.</v>
      </c>
    </row>
    <row r="219">
      <c r="A219" s="1">
        <v>3.0</v>
      </c>
      <c r="B219" s="1" t="s">
        <v>220</v>
      </c>
      <c r="C219" t="str">
        <f>IFERROR(__xludf.DUMMYFUNCTION("GOOGLETRANSLATE(B219, ""zh"", ""en"")"),"Too lax loose, not tight weave preparation is not tight, the quality is generally")</f>
        <v>Too lax loose, not tight weave preparation is not tight, the quality is generally</v>
      </c>
    </row>
    <row r="220">
      <c r="A220" s="1">
        <v>1.0</v>
      </c>
      <c r="B220" s="1" t="s">
        <v>221</v>
      </c>
      <c r="C220" t="str">
        <f>IFERROR(__xludf.DUMMYFUNCTION("GOOGLETRANSLATE(B220, ""zh"", ""en"")"),"Within a year, the hard bit sound, the computer does not recognize less than a year, the hard bit sound, the computer does not recognize")</f>
        <v>Within a year, the hard bit sound, the computer does not recognize less than a year, the hard bit sound, the computer does not recognize</v>
      </c>
    </row>
    <row r="221">
      <c r="A221" s="1">
        <v>1.0</v>
      </c>
      <c r="B221" s="1" t="s">
        <v>222</v>
      </c>
      <c r="C221" t="str">
        <f>IFERROR(__xludf.DUMMYFUNCTION("GOOGLETRANSLATE(B221, ""zh"", ""en"")"),"Send us a bad table sent over a bad table, do not go. Too bad the online shopping experience. After're not on Amazon spending.")</f>
        <v>Send us a bad table sent over a bad table, do not go. Too bad the online shopping experience. After're not on Amazon spending.</v>
      </c>
    </row>
    <row r="222">
      <c r="A222" s="1">
        <v>4.0</v>
      </c>
      <c r="B222" s="1" t="s">
        <v>223</v>
      </c>
      <c r="C222" t="str">
        <f>IFERROR(__xludf.DUMMYFUNCTION("GOOGLETRANSLATE(B222, ""zh"", ""en"")"),"According to the usual size to buy enough, comfort is better not playing bad, but also very good is also good, but also buy the British-was inevitably shipping")</f>
        <v>According to the usual size to buy enough, comfort is better not playing bad, but also very good is also good, but also buy the British-was inevitably shipping</v>
      </c>
    </row>
    <row r="223">
      <c r="A223" s="1">
        <v>4.0</v>
      </c>
      <c r="B223" s="1" t="s">
        <v>224</v>
      </c>
      <c r="C223" t="str">
        <f>IFERROR(__xludf.DUMMYFUNCTION("GOOGLETRANSLATE(B223, ""zh"", ""en"")"),"Too large one yard 42 bit large, cushion insole can, like the 41")</f>
        <v>Too large one yard 42 bit large, cushion insole can, like the 41</v>
      </c>
    </row>
    <row r="224">
      <c r="A224" s="1">
        <v>4.0</v>
      </c>
      <c r="B224" s="1" t="s">
        <v>225</v>
      </c>
      <c r="C224" t="str">
        <f>IFERROR(__xludf.DUMMYFUNCTION("GOOGLETRANSLATE(B224, ""zh"", ""en"")"),"Warm slacks loose, wear warm.")</f>
        <v>Warm slacks loose, wear warm.</v>
      </c>
    </row>
    <row r="225">
      <c r="A225" s="1">
        <v>4.0</v>
      </c>
      <c r="B225" s="1" t="s">
        <v>226</v>
      </c>
      <c r="C225" t="str">
        <f>IFERROR(__xludf.DUMMYFUNCTION("GOOGLETRANSLATE(B225, ""zh"", ""en"")"),"The overall feeling okay. Fortunately, the general feeling in general. No ck comfortable. Logistics very quickly, the Vietnamese production.")</f>
        <v>The overall feeling okay. Fortunately, the general feeling in general. No ck comfortable. Logistics very quickly, the Vietnamese production.</v>
      </c>
    </row>
    <row r="226">
      <c r="A226" s="1">
        <v>4.0</v>
      </c>
      <c r="B226" s="1" t="s">
        <v>227</v>
      </c>
      <c r="C226" t="str">
        <f>IFERROR(__xludf.DUMMYFUNCTION("GOOGLETRANSLATE(B226, ""zh"", ""en"")"),"Pretty good, the price advantage, 6 days after the order to the waist 94-95, LEE jeans wear W34L32, selected 36 of the belt, the belt a total of five buttonholes, just to tie the third buttonhole length perfect. Quality in general, not very thick, not a g"&amp;"ood imagination.")</f>
        <v>Pretty good, the price advantage, 6 days after the order to the waist 94-95, LEE jeans wear W34L32, selected 36 of the belt, the belt a total of five buttonholes, just to tie the third buttonhole length perfect. Quality in general, not very thick, not a good imagination.</v>
      </c>
    </row>
    <row r="227">
      <c r="A227" s="1">
        <v>5.0</v>
      </c>
      <c r="B227" s="1" t="s">
        <v>228</v>
      </c>
      <c r="C227" t="str">
        <f>IFERROR(__xludf.DUMMYFUNCTION("GOOGLETRANSLATE(B227, ""zh"", ""en"")"),"Commodity good size")</f>
        <v>Commodity good size</v>
      </c>
    </row>
    <row r="228">
      <c r="A228" s="1">
        <v>5.0</v>
      </c>
      <c r="B228" s="1" t="s">
        <v>229</v>
      </c>
      <c r="C228" t="str">
        <f>IFERROR(__xludf.DUMMYFUNCTION("GOOGLETRANSLATE(B228, ""zh"", ""en"")"),"Children is the norm! I height 184, weight 86kg, long-term exercise, just wear L")</f>
        <v>Children is the norm! I height 184, weight 86kg, long-term exercise, just wear L</v>
      </c>
    </row>
    <row r="229">
      <c r="A229" s="1">
        <v>5.0</v>
      </c>
      <c r="B229" s="1" t="s">
        <v>230</v>
      </c>
      <c r="C229" t="str">
        <f>IFERROR(__xludf.DUMMYFUNCTION("GOOGLETRANSLATE(B229, ""zh"", ""en"")"),"Like very fit, 100 praise, but I want the code is only one color")</f>
        <v>Like very fit, 100 praise, but I want the code is only one color</v>
      </c>
    </row>
    <row r="230">
      <c r="A230" s="1">
        <v>5.0</v>
      </c>
      <c r="B230" s="1" t="s">
        <v>231</v>
      </c>
      <c r="C230" t="str">
        <f>IFERROR(__xludf.DUMMYFUNCTION("GOOGLETRANSLATE(B230, ""zh"", ""en"")"),"Cheaper genuine Amazon's something cheap and affordable, and authentic. It will come back.")</f>
        <v>Cheaper genuine Amazon's something cheap and affordable, and authentic. It will come back.</v>
      </c>
    </row>
    <row r="231">
      <c r="A231" s="1">
        <v>5.0</v>
      </c>
      <c r="B231" s="1" t="s">
        <v>232</v>
      </c>
      <c r="C231" t="str">
        <f>IFERROR(__xludf.DUMMYFUNCTION("GOOGLETRANSLATE(B231, ""zh"", ""en"")"),"Suitable to wear very comfortable, the right size, the sleeves a bit long, seemingly clothes in Europe and America, have long sleeves.")</f>
        <v>Suitable to wear very comfortable, the right size, the sleeves a bit long, seemingly clothes in Europe and America, have long sleeves.</v>
      </c>
    </row>
    <row r="232">
      <c r="A232" s="1">
        <v>5.0</v>
      </c>
      <c r="B232" s="1" t="s">
        <v>233</v>
      </c>
      <c r="C232" t="str">
        <f>IFERROR(__xludf.DUMMYFUNCTION("GOOGLETRANSLATE(B232, ""zh"", ""en"")"),"Super comfortable pants overall good, cost-effective, flexible material, comfortable, 182 high. 85KG, 33 * 32 Suitable basic, required functions as waist band elastic, slightly tight a little, do not know why no LEE W33 / L33 of this code, if the code, on"&amp;" the perfect.")</f>
        <v>Super comfortable pants overall good, cost-effective, flexible material, comfortable, 182 high. 85KG, 33 * 32 Suitable basic, required functions as waist band elastic, slightly tight a little, do not know why no LEE W33 / L33 of this code, if the code, on the perfect.</v>
      </c>
    </row>
    <row r="233">
      <c r="A233" s="1">
        <v>5.0</v>
      </c>
      <c r="B233" s="1" t="s">
        <v>234</v>
      </c>
      <c r="C233" t="str">
        <f>IFERROR(__xludf.DUMMYFUNCTION("GOOGLETRANSLATE(B233, ""zh"", ""en"")"),"Of good quality, simple and durable leather of good quality, the price is very appropriate. Very comfortable to wear. It is little more than the average 6 yards freshman. But belonging thin version of the shoe, and there is no zipper, and then if less tha"&amp;"n half yards, wear thick socks may step into a bit strenuous. Foot long net 24 tons, less than 24.5.")</f>
        <v>Of good quality, simple and durable leather of good quality, the price is very appropriate. Very comfortable to wear. It is little more than the average 6 yards freshman. But belonging thin version of the shoe, and there is no zipper, and then if less than half yards, wear thick socks may step into a bit strenuous. Foot long net 24 tons, less than 24.5.</v>
      </c>
    </row>
    <row r="234">
      <c r="A234" s="1">
        <v>5.0</v>
      </c>
      <c r="B234" s="1" t="s">
        <v>235</v>
      </c>
      <c r="C234" t="str">
        <f>IFERROR(__xludf.DUMMYFUNCTION("GOOGLETRANSLATE(B234, ""zh"", ""en"")"),"Good clothes very appropriate, very satisfied, the fabric is soft, very comfortable to wear")</f>
        <v>Good clothes very appropriate, very satisfied, the fabric is soft, very comfortable to wear</v>
      </c>
    </row>
    <row r="235">
      <c r="A235" s="1">
        <v>5.0</v>
      </c>
      <c r="B235" s="1" t="s">
        <v>236</v>
      </c>
      <c r="C235" t="str">
        <f>IFERROR(__xludf.DUMMYFUNCTION("GOOGLETRANSLATE(B235, ""zh"", ""en"")"),"Chinese production pattern is very bright, quality is also very thick, just do not know whether the material is 100% safe. Baby's cutlery we should do, really safe food grade! ! Is the foundation of humanity, but also the brand enduring!")</f>
        <v>Chinese production pattern is very bright, quality is also very thick, just do not know whether the material is 100% safe. Baby's cutlery we should do, really safe food grade! ! Is the foundation of humanity, but also the brand enduring!</v>
      </c>
    </row>
    <row r="236">
      <c r="A236" s="1">
        <v>5.0</v>
      </c>
      <c r="B236" s="1" t="s">
        <v>237</v>
      </c>
      <c r="C236" t="str">
        <f>IFERROR(__xludf.DUMMYFUNCTION("GOOGLETRANSLATE(B236, ""zh"", ""en"")"),"high speed. Fast, a little voice")</f>
        <v>high speed. Fast, a little voice</v>
      </c>
    </row>
    <row r="237">
      <c r="A237" s="1">
        <v>5.0</v>
      </c>
      <c r="B237" s="1" t="s">
        <v>238</v>
      </c>
      <c r="C237" t="str">
        <f>IFERROR(__xludf.DUMMYFUNCTION("GOOGLETRANSLATE(B237, ""zh"", ""en"")"),"Pants Pants very comfortable to wear, very warm")</f>
        <v>Pants Pants very comfortable to wear, very warm</v>
      </c>
    </row>
    <row r="238">
      <c r="A238" s="1">
        <v>5.0</v>
      </c>
      <c r="B238" s="1" t="s">
        <v>239</v>
      </c>
      <c r="C238" t="str">
        <f>IFERROR(__xludf.DUMMYFUNCTION("GOOGLETRANSLATE(B238, ""zh"", ""en"")"),"Comfortable, the right size high instep I, thumbs long, 40 yards of the foot, is to buy 6.5 yards, this is my pair of the most fit through their music, although still a little too low instep, but may loose shoelaces, wearing package is very strong, comfor"&amp;"table to walk, also very good with. Even greater than before to buy a pair of similar styles of Ecco comfortable.")</f>
        <v>Comfortable, the right size high instep I, thumbs long, 40 yards of the foot, is to buy 6.5 yards, this is my pair of the most fit through their music, although still a little too low instep, but may loose shoelaces, wearing package is very strong, comfortable to walk, also very good with. Even greater than before to buy a pair of similar styles of Ecco comfortable.</v>
      </c>
    </row>
    <row r="239">
      <c r="A239" s="1">
        <v>5.0</v>
      </c>
      <c r="B239" s="1" t="s">
        <v>240</v>
      </c>
      <c r="C239" t="str">
        <f>IFERROR(__xludf.DUMMYFUNCTION("GOOGLETRANSLATE(B239, ""zh"", ""en"")"),"Perfect bought four, and light, strict, effective insulation")</f>
        <v>Perfect bought four, and light, strict, effective insulation</v>
      </c>
    </row>
    <row r="240">
      <c r="A240" s="1">
        <v>5.0</v>
      </c>
      <c r="B240" s="1" t="s">
        <v>241</v>
      </c>
      <c r="C240" t="str">
        <f>IFERROR(__xludf.DUMMYFUNCTION("GOOGLETRANSLATE(B240, ""zh"", ""en"")"),"Professional headphone frequency response equalization, a very good headphones")</f>
        <v>Professional headphone frequency response equalization, a very good headphones</v>
      </c>
    </row>
    <row r="241">
      <c r="A241" s="1">
        <v>5.0</v>
      </c>
      <c r="B241" s="1" t="s">
        <v>242</v>
      </c>
      <c r="C241" t="str">
        <f>IFERROR(__xludf.DUMMYFUNCTION("GOOGLETRANSLATE(B241, ""zh"", ""en"")"),"Slightly higher price very good, very good color, is slightly higher price, is produced in the United States")</f>
        <v>Slightly higher price very good, very good color, is slightly higher price, is produced in the United States</v>
      </c>
    </row>
    <row r="242">
      <c r="A242" s="1">
        <v>5.0</v>
      </c>
      <c r="B242" s="1" t="s">
        <v>243</v>
      </c>
      <c r="C242" t="str">
        <f>IFERROR(__xludf.DUMMYFUNCTION("GOOGLETRANSLATE(B242, ""zh"", ""en"")"),"Super cute cutlery super cute color, very practical")</f>
        <v>Super cute cutlery super cute color, very practical</v>
      </c>
    </row>
    <row r="243">
      <c r="A243" s="1">
        <v>5.0</v>
      </c>
      <c r="B243" s="1" t="s">
        <v>244</v>
      </c>
      <c r="C243" t="str">
        <f>IFERROR(__xludf.DUMMYFUNCTION("GOOGLETRANSLATE(B243, ""zh"", ""en"")"),"Overseas shopping benefits package is very solid, very thin, Seagate shipped more, the failure rate is too low, with the hope that this long period of time, the bin tray.")</f>
        <v>Overseas shopping benefits package is very solid, very thin, Seagate shipped more, the failure rate is too low, with the hope that this long period of time, the bin tray.</v>
      </c>
    </row>
    <row r="244">
      <c r="A244" s="1">
        <v>5.0</v>
      </c>
      <c r="B244" s="1" t="s">
        <v>245</v>
      </c>
      <c r="C244" t="str">
        <f>IFERROR(__xludf.DUMMYFUNCTION("GOOGLETRANSLATE(B244, ""zh"", ""en"")"),"Yes genuine, very complete, almost seamless charcoal")</f>
        <v>Yes genuine, very complete, almost seamless charcoal</v>
      </c>
    </row>
    <row r="245">
      <c r="A245" s="1">
        <v>5.0</v>
      </c>
      <c r="B245" s="1" t="s">
        <v>246</v>
      </c>
      <c r="C245" t="str">
        <f>IFERROR(__xludf.DUMMYFUNCTION("GOOGLETRANSLATE(B245, ""zh"", ""en"")"),"Very comfortable to wear than expected soft and comfortable, it is recommended to buy a small one yards than sneakers, very good")</f>
        <v>Very comfortable to wear than expected soft and comfortable, it is recommended to buy a small one yards than sneakers, very good</v>
      </c>
    </row>
    <row r="246">
      <c r="A246" s="1">
        <v>5.0</v>
      </c>
      <c r="B246" s="1" t="s">
        <v>247</v>
      </c>
      <c r="C246" t="str">
        <f>IFERROR(__xludf.DUMMYFUNCTION("GOOGLETRANSLATE(B246, ""zh"", ""en"")"),"Thermostatic faucets relatively small, cost-effective five days they received, please install the master while to get, with a little temperature control buttons (black dots) seems does not work, press and press can not rotate, but the temperature control "&amp;"or fine, small showers, thermostatic faucets in general this relatively small, very high cost. Shower plastic tube is relatively hard to change their original tube")</f>
        <v>Thermostatic faucets relatively small, cost-effective five days they received, please install the master while to get, with a little temperature control buttons (black dots) seems does not work, press and press can not rotate, but the temperature control or fine, small showers, thermostatic faucets in general this relatively small, very high cost. Shower plastic tube is relatively hard to change their original tube</v>
      </c>
    </row>
    <row r="247">
      <c r="A247" s="1">
        <v>5.0</v>
      </c>
      <c r="B247" s="1" t="s">
        <v>248</v>
      </c>
      <c r="C247" t="str">
        <f>IFERROR(__xludf.DUMMYFUNCTION("GOOGLETRANSLATE(B247, ""zh"", ""en"")"),"Recommend this lean people to wear pants is still very good, is a little more rigid, excessive water will be much better, my height 181CM, 65 kg, waist circumference 2 feet 4, wearing 31WX32L just right. I want to start can be used as reference")</f>
        <v>Recommend this lean people to wear pants is still very good, is a little more rigid, excessive water will be much better, my height 181CM, 65 kg, waist circumference 2 feet 4, wearing 31WX32L just right. I want to start can be used as reference</v>
      </c>
    </row>
    <row r="248">
      <c r="A248" s="1">
        <v>5.0</v>
      </c>
      <c r="B248" s="1" t="s">
        <v>249</v>
      </c>
      <c r="C248" t="str">
        <f>IFERROR(__xludf.DUMMYFUNCTION("GOOGLETRANSLATE(B248, ""zh"", ""en"")"),"Good straight jeans, nice and comfortable, standard size.")</f>
        <v>Good straight jeans, nice and comfortable, standard size.</v>
      </c>
    </row>
    <row r="249">
      <c r="A249" s="1">
        <v>2.0</v>
      </c>
      <c r="B249" s="1" t="s">
        <v>250</v>
      </c>
      <c r="C249" t="str">
        <f>IFERROR(__xludf.DUMMYFUNCTION("GOOGLETRANSLATE(B249, ""zh"", ""en"")"),"The quality is not spent half a year, there was a small pit bottom of the pot and there is a growing trend, ready to insist on using it until the leak, how long can look at it in the end, not the pot material, this should be it inside the bubble sheet")</f>
        <v>The quality is not spent half a year, there was a small pit bottom of the pot and there is a growing trend, ready to insist on using it until the leak, how long can look at it in the end, not the pot material, this should be it inside the bubble sheet</v>
      </c>
    </row>
    <row r="250">
      <c r="A250" s="1">
        <v>3.0</v>
      </c>
      <c r="B250" s="1" t="s">
        <v>251</v>
      </c>
      <c r="C250" t="str">
        <f>IFERROR(__xludf.DUMMYFUNCTION("GOOGLETRANSLATE(B250, ""zh"", ""en"")"),"Bad chest logo embroidery, like the knockoff")</f>
        <v>Bad chest logo embroidery, like the knockoff</v>
      </c>
    </row>
    <row r="251">
      <c r="A251" s="1">
        <v>3.0</v>
      </c>
      <c r="B251" s="1" t="s">
        <v>252</v>
      </c>
      <c r="C251" t="str">
        <f>IFERROR(__xludf.DUMMYFUNCTION("GOOGLETRANSLATE(B251, ""zh"", ""en"")"),"Product is very general, you can not have too high expectations can not look carefully, otherwise too many flaws. A little disappointed. 1, the case is plastic, do a metal coating, with a long time will definitely fall off. There are instructions that did"&amp;" not look carefully. 2, bracelet good weak, especially in the case and buckle connections. 3, small black dial, beginning some are not used. 4, directed energy to buy, I hope more durable. 5, distance is good. Nichia speed really fast, under a single Sund"&amp;"ay, Wednesday received. Try two months of Prime membership, are a bit embarrassed. Officially joined the prime. 188 which is very cost-effective, express a document to Brazil have more than three.")</f>
        <v>Product is very general, you can not have too high expectations can not look carefully, otherwise too many flaws. A little disappointed. 1, the case is plastic, do a metal coating, with a long time will definitely fall off. There are instructions that did not look carefully. 2, bracelet good weak, especially in the case and buckle connections. 3, small black dial, beginning some are not used. 4, directed energy to buy, I hope more durable. 5, distance is good. Nichia speed really fast, under a single Sunday, Wednesday received. Try two months of Prime membership, are a bit embarrassed. Officially joined the prime. 188 which is very cost-effective, express a document to Brazil have more than three.</v>
      </c>
    </row>
    <row r="252">
      <c r="A252" s="1">
        <v>1.0</v>
      </c>
      <c r="B252" s="1" t="s">
        <v>253</v>
      </c>
      <c r="C252" t="str">
        <f>IFERROR(__xludf.DUMMYFUNCTION("GOOGLETRANSLATE(B252, ""zh"", ""en"")"),"Formaldehyde taste, wash off! very bad! Clothes industrial taste, washed 2 times with salt water soak can not afford!")</f>
        <v>Formaldehyde taste, wash off! very bad! Clothes industrial taste, washed 2 times with salt water soak can not afford!</v>
      </c>
    </row>
    <row r="253">
      <c r="A253" s="1">
        <v>1.0</v>
      </c>
      <c r="B253" s="1" t="s">
        <v>254</v>
      </c>
      <c r="C253" t="str">
        <f>IFERROR(__xludf.DUMMYFUNCTION("GOOGLETRANSLATE(B253, ""zh"", ""en"")"),"Please buy carefully, less than two months out of the second hand, no warranty service overseas purchase! Please buy carefully! ! With durable shatterproof known for GSHOCK actually a couple of days with the occasional once-off frequency using a second ha"&amp;"nd, and start with just less than two months. Overseas purchase orders to return after a month time Amazon on the matter, there is no global service warranty card, coordinate Shanghai, own contact the UK, so we choose carefully Amazon. . Careful ah!")</f>
        <v>Please buy carefully, less than two months out of the second hand, no warranty service overseas purchase! Please buy carefully! ! With durable shatterproof known for GSHOCK actually a couple of days with the occasional once-off frequency using a second hand, and start with just less than two months. Overseas purchase orders to return after a month time Amazon on the matter, there is no global service warranty card, coordinate Shanghai, own contact the UK, so we choose carefully Amazon. . Careful ah!</v>
      </c>
    </row>
    <row r="254">
      <c r="A254" s="1">
        <v>1.0</v>
      </c>
      <c r="B254" s="1" t="s">
        <v>255</v>
      </c>
      <c r="C254" t="str">
        <f>IFERROR(__xludf.DUMMYFUNCTION("GOOGLETRANSLATE(B254, ""zh"", ""en"")"),"Dyeing clothes smell I bought clothes last year with the money belt she receives flavor, is received when the dyeing smell completely different")</f>
        <v>Dyeing clothes smell I bought clothes last year with the money belt she receives flavor, is received when the dyeing smell completely different</v>
      </c>
    </row>
    <row r="255">
      <c r="A255" s="1">
        <v>4.0</v>
      </c>
      <c r="B255" s="1" t="s">
        <v>256</v>
      </c>
      <c r="C255" t="str">
        <f>IFERROR(__xludf.DUMMYFUNCTION("GOOGLETRANSLATE(B255, ""zh"", ""en"")"),"The more low-key, more professional. The first time to get our hands out of the box, inspection, verification, all no problem, the only pity is less headphone package. k240s indeed more difficult to push. The computer also added to the tablet will be very"&amp;" difficult. In short pot headphones hope to have finished pleasant surprise.")</f>
        <v>The more low-key, more professional. The first time to get our hands out of the box, inspection, verification, all no problem, the only pity is less headphone package. k240s indeed more difficult to push. The computer also added to the tablet will be very difficult. In short pot headphones hope to have finished pleasant surprise.</v>
      </c>
    </row>
    <row r="256">
      <c r="A256" s="1">
        <v>4.0</v>
      </c>
      <c r="B256" s="1" t="s">
        <v>257</v>
      </c>
      <c r="C256" t="str">
        <f>IFERROR(__xludf.DUMMYFUNCTION("GOOGLETRANSLATE(B256, ""zh"", ""en"")"),"Delivery delayed! The product itself is OK, delivery delayed quite a long time. SMS notification said to be fastened customs. So it seems, customs clearance is also very complex book it.")</f>
        <v>Delivery delayed! The product itself is OK, delivery delayed quite a long time. SMS notification said to be fastened customs. So it seems, customs clearance is also very complex book it.</v>
      </c>
    </row>
    <row r="257">
      <c r="A257" s="1">
        <v>4.0</v>
      </c>
      <c r="B257" s="1" t="s">
        <v>258</v>
      </c>
      <c r="C257" t="str">
        <f>IFERROR(__xludf.DUMMYFUNCTION("GOOGLETRANSLATE(B257, ""zh"", ""en"")"),"Recommended very good to wear! Usually wear 37, this time to buy the freshman code, a slight surplus, but will not significantly large feet, the very type! A week earlier than we expected to.")</f>
        <v>Recommended very good to wear! Usually wear 37, this time to buy the freshman code, a slight surplus, but will not significantly large feet, the very type! A week earlier than we expected to.</v>
      </c>
    </row>
    <row r="258">
      <c r="A258" s="1">
        <v>4.0</v>
      </c>
      <c r="B258" s="1" t="s">
        <v>259</v>
      </c>
      <c r="C258" t="str">
        <f>IFERROR(__xludf.DUMMYFUNCTION("GOOGLETRANSLATE(B258, ""zh"", ""en"")"),"It can also be made in Thailand. A little flaw, the overall good.")</f>
        <v>It can also be made in Thailand. A little flaw, the overall good.</v>
      </c>
    </row>
    <row r="259">
      <c r="A259" s="1">
        <v>4.0</v>
      </c>
      <c r="B259" s="1" t="s">
        <v>260</v>
      </c>
      <c r="C259" t="str">
        <f>IFERROR(__xludf.DUMMYFUNCTION("GOOGLETRANSLATE(B259, ""zh"", ""en"")"),"Good shoes, size is too good shoes, foot wear very comfortable, lightweight and have a feeling of wearing, but really big. I usually wear sneakers 38, this stretch has a finger into more than colleagues 39 feet, try just right. Like people have to buy a s"&amp;"mall one yard. Note that my German Amazon shipped.")</f>
        <v>Good shoes, size is too good shoes, foot wear very comfortable, lightweight and have a feeling of wearing, but really big. I usually wear sneakers 38, this stretch has a finger into more than colleagues 39 feet, try just right. Like people have to buy a small one yard. Note that my German Amazon shipped.</v>
      </c>
    </row>
    <row r="260">
      <c r="A260" s="1">
        <v>5.0</v>
      </c>
      <c r="B260" s="1" t="s">
        <v>261</v>
      </c>
      <c r="C260" t="str">
        <f>IFERROR(__xludf.DUMMYFUNCTION("GOOGLETRANSLATE(B260, ""zh"", ""en"")"),"Shoes are good shoes, numbers are not decent shoes are good shoes, numbers are not serious?")</f>
        <v>Shoes are good shoes, numbers are not decent shoes are good shoes, numbers are not serious?</v>
      </c>
    </row>
    <row r="261">
      <c r="A261" s="1">
        <v>5.0</v>
      </c>
      <c r="B261" s="1" t="s">
        <v>262</v>
      </c>
      <c r="C261" t="str">
        <f>IFERROR(__xludf.DUMMYFUNCTION("GOOGLETRANSLATE(B261, ""zh"", ""en"")"),"Strongly recommended insulation performance, lightweight fine.")</f>
        <v>Strongly recommended insulation performance, lightweight fine.</v>
      </c>
    </row>
    <row r="262">
      <c r="A262" s="1">
        <v>5.0</v>
      </c>
      <c r="B262" s="1" t="s">
        <v>263</v>
      </c>
      <c r="C262" t="str">
        <f>IFERROR(__xludf.DUMMYFUNCTION("GOOGLETRANSLATE(B262, ""zh"", ""en"")"),"A very comfortable shaping pants I bought more than ten shaping pants, and this is the most comfortable one")</f>
        <v>A very comfortable shaping pants I bought more than ten shaping pants, and this is the most comfortable one</v>
      </c>
    </row>
    <row r="263">
      <c r="A263" s="1">
        <v>5.0</v>
      </c>
      <c r="B263" s="1" t="s">
        <v>264</v>
      </c>
      <c r="C263" t="str">
        <f>IFERROR(__xludf.DUMMYFUNCTION("GOOGLETRANSLATE(B263, ""zh"", ""en"")"),"CAT has been worth buying to wear, not bad play this pair really good to wear, foot feeling good, a lot more comfortable than the CAT boots. Wide really is money, high fat and foot for foot, foot the proposed election of the general standard shoe last is "&amp;"like!")</f>
        <v>CAT has been worth buying to wear, not bad play this pair really good to wear, foot feeling good, a lot more comfortable than the CAT boots. Wide really is money, high fat and foot for foot, foot the proposed election of the general standard shoe last is like!</v>
      </c>
    </row>
    <row r="264">
      <c r="A264" s="1">
        <v>5.0</v>
      </c>
      <c r="B264" s="1" t="s">
        <v>265</v>
      </c>
      <c r="C264" t="str">
        <f>IFERROR(__xludf.DUMMYFUNCTION("GOOGLETRANSLATE(B264, ""zh"", ""en"")"),"The satisfaction of a good shopping")</f>
        <v>The satisfaction of a good shopping</v>
      </c>
    </row>
    <row r="265">
      <c r="A265" s="1">
        <v>5.0</v>
      </c>
      <c r="B265" s="1" t="s">
        <v>266</v>
      </c>
      <c r="C265" t="str">
        <f>IFERROR(__xludf.DUMMYFUNCTION("GOOGLETRANSLATE(B265, ""zh"", ""en"")"),"Fortunately things, but by the time not very long, home, kids are drinking warm water, then drink the easier to cool, after all children to drink water or super slow things better, but with not a long time at home children are drinking warm water, then dr"&amp;"ink the easier to cool, after all children to drink water or ultra-slow")</f>
        <v>Fortunately things, but by the time not very long, home, kids are drinking warm water, then drink the easier to cool, after all children to drink water or super slow things better, but with not a long time at home children are drinking warm water, then drink the easier to cool, after all children to drink water or ultra-slow</v>
      </c>
    </row>
    <row r="266">
      <c r="A266" s="1">
        <v>5.0</v>
      </c>
      <c r="B266" s="1" t="s">
        <v>267</v>
      </c>
      <c r="C266" t="str">
        <f>IFERROR(__xludf.DUMMYFUNCTION("GOOGLETRANSLATE(B266, ""zh"", ""en"")"),"Very good, very good satisfaction, satisfaction, help my brother to buy, he liked, is the price of 1/3")</f>
        <v>Very good, very good satisfaction, satisfaction, help my brother to buy, he liked, is the price of 1/3</v>
      </c>
    </row>
    <row r="267">
      <c r="A267" s="1">
        <v>5.0</v>
      </c>
      <c r="B267" s="1" t="s">
        <v>268</v>
      </c>
      <c r="C267" t="str">
        <f>IFERROR(__xludf.DUMMYFUNCTION("GOOGLETRANSLATE(B267, ""zh"", ""en"")"),"Clarks is very affordable soles relatively soft, comfortable, but not very wearable. Domestic shoe 25.5-26, the election code 7.5UK, 8.5US, 41.5")</f>
        <v>Clarks is very affordable soles relatively soft, comfortable, but not very wearable. Domestic shoe 25.5-26, the election code 7.5UK, 8.5US, 41.5</v>
      </c>
    </row>
    <row r="268">
      <c r="A268" s="1">
        <v>5.0</v>
      </c>
      <c r="B268" s="1" t="s">
        <v>269</v>
      </c>
      <c r="C268" t="str">
        <f>IFERROR(__xludf.DUMMYFUNCTION("GOOGLETRANSLATE(B268, ""zh"", ""en"")"),"Very well liked, better than expected. There are other colors the better.")</f>
        <v>Very well liked, better than expected. There are other colors the better.</v>
      </c>
    </row>
    <row r="269">
      <c r="A269" s="1">
        <v>5.0</v>
      </c>
      <c r="B269" s="1" t="s">
        <v>270</v>
      </c>
      <c r="C269" t="str">
        <f>IFERROR(__xludf.DUMMYFUNCTION("GOOGLETRANSLATE(B269, ""zh"", ""en"")"),"Chuan Chuan soles hard but nothing uncomfortable for everyday wear his house is still the No. 37.5, this pair is a bit tight in front of relatively flat, thin socks can also be, or wear little toe (I belong to a relatively high instep), the sole began to "&amp;"feel hard, then nothing Chuan Chuan uncomfortable naturally adapted")</f>
        <v>Chuan Chuan soles hard but nothing uncomfortable for everyday wear his house is still the No. 37.5, this pair is a bit tight in front of relatively flat, thin socks can also be, or wear little toe (I belong to a relatively high instep), the sole began to feel hard, then nothing Chuan Chuan uncomfortable naturally adapted</v>
      </c>
    </row>
    <row r="270">
      <c r="A270" s="1">
        <v>5.0</v>
      </c>
      <c r="B270" s="1" t="s">
        <v>271</v>
      </c>
      <c r="C270" t="str">
        <f>IFERROR(__xludf.DUMMYFUNCTION("GOOGLETRANSLATE(B270, ""zh"", ""en"")"),"Help a friend buy to help a friend buy, feedback came over and said very good.")</f>
        <v>Help a friend buy to help a friend buy, feedback came over and said very good.</v>
      </c>
    </row>
    <row r="271">
      <c r="A271" s="1">
        <v>5.0</v>
      </c>
      <c r="B271" s="1" t="s">
        <v>272</v>
      </c>
      <c r="C271" t="str">
        <f>IFERROR(__xludf.DUMMYFUNCTION("GOOGLETRANSLATE(B271, ""zh"", ""en"")"),"Satisfied too satisfied, very nice!")</f>
        <v>Satisfied too satisfied, very nice!</v>
      </c>
    </row>
    <row r="272">
      <c r="A272" s="1">
        <v>5.0</v>
      </c>
      <c r="B272" s="1" t="s">
        <v>273</v>
      </c>
      <c r="C272" t="str">
        <f>IFERROR(__xludf.DUMMYFUNCTION("GOOGLETRANSLATE(B272, ""zh"", ""en"")"),"WD My Passport Ultra 2TB mobile hard disk advantages: Amazon five black booty, low price; color carton packaging, sealed, the whole new; shell is two materials, the above aluminum alloy, the following is plastic; mobile hard disk sub-section PC version an"&amp;"d MAC version, but not the same as the original format, the other are the same, no matter which version to buy, you can again change the format so that the application of different systems; USB-C port, the included USB-A interface conversion head; super f"&amp;"ast speed, actually per second, about 230MB, and the speed and stability, basically to maintain full speed, it can be called God disk. Disadvantages: work is acceptable, but not particularly fine, the gap between the upper and lower covers of the housing "&amp;"slightly larger.")</f>
        <v>WD My Passport Ultra 2TB mobile hard disk advantages: Amazon five black booty, low price; color carton packaging, sealed, the whole new; shell is two materials, the above aluminum alloy, the following is plastic; mobile hard disk sub-section PC version and MAC version, but not the same as the original format, the other are the same, no matter which version to buy, you can again change the format so that the application of different systems; USB-C port, the included USB-A interface conversion head; super fast speed, actually per second, about 230MB, and the speed and stability, basically to maintain full speed, it can be called God disk. Disadvantages: work is acceptable, but not particularly fine, the gap between the upper and lower covers of the housing slightly larger.</v>
      </c>
    </row>
    <row r="273">
      <c r="A273" s="1">
        <v>5.0</v>
      </c>
      <c r="B273" s="1" t="s">
        <v>274</v>
      </c>
      <c r="C273" t="str">
        <f>IFERROR(__xludf.DUMMYFUNCTION("GOOGLETRANSLATE(B273, ""zh"", ""en"")"),"Like package good, very practical, is made in China")</f>
        <v>Like package good, very practical, is made in China</v>
      </c>
    </row>
    <row r="274">
      <c r="A274" s="1">
        <v>5.0</v>
      </c>
      <c r="B274" s="1" t="s">
        <v>275</v>
      </c>
      <c r="C274" t="str">
        <f>IFERROR(__xludf.DUMMYFUNCTION("GOOGLETRANSLATE(B274, ""zh"", ""en"")"),"Proper good, very accurate numbers, the version Ye Hao.")</f>
        <v>Proper good, very accurate numbers, the version Ye Hao.</v>
      </c>
    </row>
    <row r="275">
      <c r="A275" s="1">
        <v>5.0</v>
      </c>
      <c r="B275" s="1" t="s">
        <v>276</v>
      </c>
      <c r="C275" t="str">
        <f>IFERROR(__xludf.DUMMYFUNCTION("GOOGLETRANSLATE(B275, ""zh"", ""en"")"),"Whether the packaging is very good, the product is very good!")</f>
        <v>Whether the packaging is very good, the product is very good!</v>
      </c>
    </row>
    <row r="276">
      <c r="A276" s="1">
        <v>5.0</v>
      </c>
      <c r="B276" s="1" t="s">
        <v>277</v>
      </c>
      <c r="C276" t="str">
        <f>IFERROR(__xludf.DUMMYFUNCTION("GOOGLETRANSLATE(B276, ""zh"", ""en"")"),"Very good usually wear No. 43, this buy 43.5. Length is a little rich. Feet more fat, feeling a little bit crowded. Perhaps the buy 44. Heavy, running up and obviously tired. When the weight-bearing exercises")</f>
        <v>Very good usually wear No. 43, this buy 43.5. Length is a little rich. Feet more fat, feeling a little bit crowded. Perhaps the buy 44. Heavy, running up and obviously tired. When the weight-bearing exercises</v>
      </c>
    </row>
    <row r="277">
      <c r="A277" s="1">
        <v>5.0</v>
      </c>
      <c r="B277" s="1" t="s">
        <v>278</v>
      </c>
      <c r="C277" t="str">
        <f>IFERROR(__xludf.DUMMYFUNCTION("GOOGLETRANSLATE(B277, ""zh"", ""en"")"),"Tiger mug Tiger believe this brand is good, look good, cup light, thermal insulation effect is also very good.")</f>
        <v>Tiger mug Tiger believe this brand is good, look good, cup light, thermal insulation effect is also very good.</v>
      </c>
    </row>
    <row r="278">
      <c r="A278" s="1">
        <v>5.0</v>
      </c>
      <c r="B278" s="1" t="s">
        <v>279</v>
      </c>
      <c r="C278" t="str">
        <f>IFERROR(__xludf.DUMMYFUNCTION("GOOGLETRANSLATE(B278, ""zh"", ""en"")"),"Very high cost praise, worthy of promotion.")</f>
        <v>Very high cost praise, worthy of promotion.</v>
      </c>
    </row>
    <row r="279">
      <c r="A279" s="1">
        <v>5.0</v>
      </c>
      <c r="B279" s="1" t="s">
        <v>280</v>
      </c>
      <c r="C279" t="str">
        <f>IFERROR(__xludf.DUMMYFUNCTION("GOOGLETRANSLATE(B279, ""zh"", ""en"")"),"RIVER LIGHT Japan wok 30cm J 1430 good pot, heat conduction fast, too light")</f>
        <v>RIVER LIGHT Japan wok 30cm J 1430 good pot, heat conduction fast, too light</v>
      </c>
    </row>
    <row r="280">
      <c r="A280" s="1">
        <v>5.0</v>
      </c>
      <c r="B280" s="1" t="s">
        <v>281</v>
      </c>
      <c r="C280" t="str">
        <f>IFERROR(__xludf.DUMMYFUNCTION("GOOGLETRANSLATE(B280, ""zh"", ""en"")"),"Suitable size 172 75kg wear m Slim (usually fitness)")</f>
        <v>Suitable size 172 75kg wear m Slim (usually fitness)</v>
      </c>
    </row>
    <row r="281">
      <c r="A281" s="1">
        <v>5.0</v>
      </c>
      <c r="B281" s="1" t="s">
        <v>282</v>
      </c>
      <c r="C281" t="str">
        <f>IFERROR(__xludf.DUMMYFUNCTION("GOOGLETRANSLATE(B281, ""zh"", ""en"")"),"Greater value for money, affordable, a big bottle")</f>
        <v>Greater value for money, affordable, a big bottle</v>
      </c>
    </row>
    <row r="282">
      <c r="A282" s="1">
        <v>2.0</v>
      </c>
      <c r="B282" s="1" t="s">
        <v>283</v>
      </c>
      <c r="C282" t="str">
        <f>IFERROR(__xludf.DUMMYFUNCTION("GOOGLETRANSLATE(B282, ""zh"", ""en"")"),"Material uncomfortable material feels uncomfortable, and imagine a lot worse")</f>
        <v>Material uncomfortable material feels uncomfortable, and imagine a lot worse</v>
      </c>
    </row>
    <row r="283">
      <c r="A283" s="1">
        <v>3.0</v>
      </c>
      <c r="B283" s="1" t="s">
        <v>284</v>
      </c>
      <c r="C283" t="str">
        <f>IFERROR(__xludf.DUMMYFUNCTION("GOOGLETRANSLATE(B283, ""zh"", ""en"")"),"Quality is not ye drop super light, attached to the screen is plastic, easily scratched. Suitable for use as toys for children")</f>
        <v>Quality is not ye drop super light, attached to the screen is plastic, easily scratched. Suitable for use as toys for children</v>
      </c>
    </row>
    <row r="284">
      <c r="A284" s="1">
        <v>3.0</v>
      </c>
      <c r="B284" s="1" t="s">
        <v>285</v>
      </c>
      <c r="C284" t="str">
        <f>IFERROR(__xludf.DUMMYFUNCTION("GOOGLETRANSLATE(B284, ""zh"", ""en"")"),"Okay too thick! And after washing the hair with a lot of inner retreat")</f>
        <v>Okay too thick! And after washing the hair with a lot of inner retreat</v>
      </c>
    </row>
    <row r="285">
      <c r="A285" s="1">
        <v>1.0</v>
      </c>
      <c r="B285" s="1" t="s">
        <v>286</v>
      </c>
      <c r="C285" t="str">
        <f>IFERROR(__xludf.DUMMYFUNCTION("GOOGLETRANSLATE(B285, ""zh"", ""en"")"),"This is a second-hand goods suspected washed pants, emitting a smell of liquid detergent, is the second time the pants do the old do?")</f>
        <v>This is a second-hand goods suspected washed pants, emitting a smell of liquid detergent, is the second time the pants do the old do?</v>
      </c>
    </row>
    <row r="286">
      <c r="A286" s="1">
        <v>1.0</v>
      </c>
      <c r="B286" s="1" t="s">
        <v>287</v>
      </c>
      <c r="C286" t="str">
        <f>IFERROR(__xludf.DUMMYFUNCTION("GOOGLETRANSLATE(B286, ""zh"", ""en"")"),"Warranty service go from here? ? ? Second hand does not scale, no invoices, no tag. Very worried about whether or not genuine. No official seal on the warranty card, it means that there is no guarantee post-warranty service")</f>
        <v>Warranty service go from here? ? ? Second hand does not scale, no invoices, no tag. Very worried about whether or not genuine. No official seal on the warranty card, it means that there is no guarantee post-warranty service</v>
      </c>
    </row>
    <row r="287">
      <c r="A287" s="1">
        <v>4.0</v>
      </c>
      <c r="B287" s="1" t="s">
        <v>288</v>
      </c>
      <c r="C287" t="str">
        <f>IFERROR(__xludf.DUMMYFUNCTION("GOOGLETRANSLATE(B287, ""zh"", ""en"")"),"Shoes too small shoes than usual smaller number two.")</f>
        <v>Shoes too small shoes than usual smaller number two.</v>
      </c>
    </row>
    <row r="288">
      <c r="A288" s="1">
        <v>4.0</v>
      </c>
      <c r="B288" s="1" t="s">
        <v>289</v>
      </c>
      <c r="C288" t="str">
        <f>IFERROR(__xludf.DUMMYFUNCTION("GOOGLETRANSLATE(B288, ""zh"", ""en"")"),"Has been using this brand of good, did not say do not eat baby pacifier")</f>
        <v>Has been using this brand of good, did not say do not eat baby pacifier</v>
      </c>
    </row>
    <row r="289">
      <c r="A289" s="1">
        <v>4.0</v>
      </c>
      <c r="B289" s="1" t="s">
        <v>290</v>
      </c>
      <c r="C289" t="str">
        <f>IFERROR(__xludf.DUMMYFUNCTION("GOOGLETRANSLATE(B289, ""zh"", ""en"")"),"Too long too long. The usual completely different to buy this useless so long. Pants themselves look good. Unfortunately, my short legs")</f>
        <v>Too long too long. The usual completely different to buy this useless so long. Pants themselves look good. Unfortunately, my short legs</v>
      </c>
    </row>
    <row r="290">
      <c r="A290" s="1">
        <v>4.0</v>
      </c>
      <c r="B290" s="1" t="s">
        <v>291</v>
      </c>
      <c r="C290" t="str">
        <f>IFERROR(__xludf.DUMMYFUNCTION("GOOGLETRANSLATE(B290, ""zh"", ""en"")"),"Recommended to buy a larger circumference than the end of 5044, the effect is not as stable 5044, for some low-intensity exercise. Breast shape strange, it seemed a bit sharp. Uh, but this rose red color of the upper body quite significant. Doing yoga wea"&amp;"r or very good. Boast an overseas purchase, orders to be served as long as five days. When prices are low to start very appropriate.")</f>
        <v>Recommended to buy a larger circumference than the end of 5044, the effect is not as stable 5044, for some low-intensity exercise. Breast shape strange, it seemed a bit sharp. Uh, but this rose red color of the upper body quite significant. Doing yoga wear or very good. Boast an overseas purchase, orders to be served as long as five days. When prices are low to start very appropriate.</v>
      </c>
    </row>
    <row r="291">
      <c r="A291" s="1">
        <v>4.0</v>
      </c>
      <c r="B291" s="1" t="s">
        <v>292</v>
      </c>
      <c r="C291" t="str">
        <f>IFERROR(__xludf.DUMMYFUNCTION("GOOGLETRANSLATE(B291, ""zh"", ""en"")"),"Fun feel not so swollen legs but really good Guia spike buy so expensive it would be to wear a long look")</f>
        <v>Fun feel not so swollen legs but really good Guia spike buy so expensive it would be to wear a long look</v>
      </c>
    </row>
    <row r="292">
      <c r="A292" s="1">
        <v>5.0</v>
      </c>
      <c r="B292" s="1" t="s">
        <v>293</v>
      </c>
      <c r="C292" t="str">
        <f>IFERROR(__xludf.DUMMYFUNCTION("GOOGLETRANSLATE(B292, ""zh"", ""en"")"),"Ear, good bass. Bass is good, but plastic brackets inside the headset, a little pressure to the ears, wearing a long time hurts. Noise reduction in general, this headset bass hit it. This price is worth buying!")</f>
        <v>Ear, good bass. Bass is good, but plastic brackets inside the headset, a little pressure to the ears, wearing a long time hurts. Noise reduction in general, this headset bass hit it. This price is worth buying!</v>
      </c>
    </row>
    <row r="293">
      <c r="A293" s="1">
        <v>5.0</v>
      </c>
      <c r="B293" s="1" t="s">
        <v>294</v>
      </c>
      <c r="C293" t="str">
        <f>IFERROR(__xludf.DUMMYFUNCTION("GOOGLETRANSLATE(B293, ""zh"", ""en"")"),"It is very suitable clothes fit, and 170cm trumpet 60 + kg for very fit, wear very significant figure.")</f>
        <v>It is very suitable clothes fit, and 170cm trumpet 60 + kg for very fit, wear very significant figure.</v>
      </c>
    </row>
    <row r="294">
      <c r="A294" s="1">
        <v>5.0</v>
      </c>
      <c r="B294" s="1" t="s">
        <v>295</v>
      </c>
      <c r="C294" t="str">
        <f>IFERROR(__xludf.DUMMYFUNCTION("GOOGLETRANSLATE(B294, ""zh"", ""en"")"),"Cute flowers, cute flowers da savory taste, savory taste da!")</f>
        <v>Cute flowers, cute flowers da savory taste, savory taste da!</v>
      </c>
    </row>
    <row r="295">
      <c r="A295" s="1">
        <v>5.0</v>
      </c>
      <c r="B295" s="1" t="s">
        <v>296</v>
      </c>
      <c r="C295" t="str">
        <f>IFERROR(__xludf.DUMMYFUNCTION("GOOGLETRANSLATE(B295, ""zh"", ""en"")"),"Amazon first time to buy things in the world. This color is very fond of. The price is still relatively affordable.")</f>
        <v>Amazon first time to buy things in the world. This color is very fond of. The price is still relatively affordable.</v>
      </c>
    </row>
    <row r="296">
      <c r="A296" s="1">
        <v>5.0</v>
      </c>
      <c r="B296" s="1" t="s">
        <v>297</v>
      </c>
      <c r="C296" t="str">
        <f>IFERROR(__xludf.DUMMYFUNCTION("GOOGLETRANSLATE(B296, ""zh"", ""en"")"),"Gray often like really worth buying, good insulation effect, use every day of it. Value for money")</f>
        <v>Gray often like really worth buying, good insulation effect, use every day of it. Value for money</v>
      </c>
    </row>
    <row r="297">
      <c r="A297" s="1">
        <v>5.0</v>
      </c>
      <c r="B297" s="1" t="s">
        <v>298</v>
      </c>
      <c r="C297" t="str">
        <f>IFERROR(__xludf.DUMMYFUNCTION("GOOGLETRANSLATE(B297, ""zh"", ""en"")"),"No sense of underwear to wear do not feel it's there! Very comfortable!")</f>
        <v>No sense of underwear to wear do not feel it's there! Very comfortable!</v>
      </c>
    </row>
    <row r="298">
      <c r="A298" s="1">
        <v>5.0</v>
      </c>
      <c r="B298" s="1" t="s">
        <v>299</v>
      </c>
      <c r="C298" t="str">
        <f>IFERROR(__xludf.DUMMYFUNCTION("GOOGLETRANSLATE(B298, ""zh"", ""en"")"),"Moisturizing just used once, more moisture")</f>
        <v>Moisturizing just used once, more moisture</v>
      </c>
    </row>
    <row r="299">
      <c r="A299" s="1">
        <v>5.0</v>
      </c>
      <c r="B299" s="1" t="s">
        <v>300</v>
      </c>
      <c r="C299" t="str">
        <f>IFERROR(__xludf.DUMMYFUNCTION("GOOGLETRANSLATE(B299, ""zh"", ""en"")"),"Wacoal postpartum cummerbund (long section) feel quite useless, and the homework is next only to buy this, very good, to adhere, at least eight hours a day for it")</f>
        <v>Wacoal postpartum cummerbund (long section) feel quite useless, and the homework is next only to buy this, very good, to adhere, at least eight hours a day for it</v>
      </c>
    </row>
    <row r="300">
      <c r="A300" s="1">
        <v>5.0</v>
      </c>
      <c r="B300" s="1" t="s">
        <v>301</v>
      </c>
      <c r="C300" t="str">
        <f>IFERROR(__xludf.DUMMYFUNCTION("GOOGLETRANSLATE(B300, ""zh"", ""en"")"),"Easy to use no taste, very easy to use, very good, but the lack of grip at the rare work, in general, good")</f>
        <v>Easy to use no taste, very easy to use, very good, but the lack of grip at the rare work, in general, good</v>
      </c>
    </row>
    <row r="301">
      <c r="A301" s="1">
        <v>5.0</v>
      </c>
      <c r="B301" s="1" t="s">
        <v>302</v>
      </c>
      <c r="C301" t="str">
        <f>IFERROR(__xludf.DUMMYFUNCTION("GOOGLETRANSLATE(B301, ""zh"", ""en"")"),"High-capacity switch with large capacity, as well as a separate switch, running noise and vibration is very small")</f>
        <v>High-capacity switch with large capacity, as well as a separate switch, running noise and vibration is very small</v>
      </c>
    </row>
    <row r="302">
      <c r="A302" s="1">
        <v>5.0</v>
      </c>
      <c r="B302" s="1" t="s">
        <v>303</v>
      </c>
      <c r="C302" t="str">
        <f>IFERROR(__xludf.DUMMYFUNCTION("GOOGLETRANSLATE(B302, ""zh"", ""en"")"),"Fast delivery, taste satisfaction orders Monday night, Saturday I received, no taste additives, fine")</f>
        <v>Fast delivery, taste satisfaction orders Monday night, Saturday I received, no taste additives, fine</v>
      </c>
    </row>
    <row r="303">
      <c r="A303" s="1">
        <v>5.0</v>
      </c>
      <c r="B303" s="1" t="s">
        <v>304</v>
      </c>
      <c r="C303" t="str">
        <f>IFERROR(__xludf.DUMMYFUNCTION("GOOGLETRANSLATE(B303, ""zh"", ""en"")"),"Ge Mola great shoes is the price too unstable")</f>
        <v>Ge Mola great shoes is the price too unstable</v>
      </c>
    </row>
    <row r="304">
      <c r="A304" s="1">
        <v>5.0</v>
      </c>
      <c r="B304" s="1" t="s">
        <v>305</v>
      </c>
      <c r="C304" t="str">
        <f>IFERROR(__xludf.DUMMYFUNCTION("GOOGLETRANSLATE(B304, ""zh"", ""en"")"),"Comfortable very comfortable, no sense of restraint, like naked, is the effect I want")</f>
        <v>Comfortable very comfortable, no sense of restraint, like naked, is the effect I want</v>
      </c>
    </row>
    <row r="305">
      <c r="A305" s="1">
        <v>5.0</v>
      </c>
      <c r="B305" s="1" t="s">
        <v>306</v>
      </c>
      <c r="C305" t="str">
        <f>IFERROR(__xludf.DUMMYFUNCTION("GOOGLETRANSLATE(B305, ""zh"", ""en"")"),"Original line, balanced sound, headphone and resurrected as the original line, the parcel came from Japan, for about a week. Taobao price and not much worse, mainly buy at ease.")</f>
        <v>Original line, balanced sound, headphone and resurrected as the original line, the parcel came from Japan, for about a week. Taobao price and not much worse, mainly buy at ease.</v>
      </c>
    </row>
    <row r="306">
      <c r="A306" s="1">
        <v>5.0</v>
      </c>
      <c r="B306" s="1" t="s">
        <v>307</v>
      </c>
      <c r="C306" t="str">
        <f>IFERROR(__xludf.DUMMYFUNCTION("GOOGLETRANSLATE(B306, ""zh"", ""en"")"),"Special bar! That's great! Feel good! M size for everyone to reference height 171 weight of just 67 selected! Long sleeves rolled up just ~ wear is also nice")</f>
        <v>Special bar! That's great! Feel good! M size for everyone to reference height 171 weight of just 67 selected! Long sleeves rolled up just ~ wear is also nice</v>
      </c>
    </row>
    <row r="307">
      <c r="A307" s="1">
        <v>5.0</v>
      </c>
      <c r="B307" s="1" t="s">
        <v>308</v>
      </c>
      <c r="C307" t="str">
        <f>IFERROR(__xludf.DUMMYFUNCTION("GOOGLETRANSLATE(B307, ""zh"", ""en"")"),"well! Great! Packaging is also very tricky, there outside the box. ~ A lot cheaper than domestic prices have been tangled or buy DG Nespresso, eventually chose Nes.")</f>
        <v>well! Great! Packaging is also very tricky, there outside the box. ~ A lot cheaper than domestic prices have been tangled or buy DG Nespresso, eventually chose Nes.</v>
      </c>
    </row>
    <row r="308">
      <c r="A308" s="1">
        <v>5.0</v>
      </c>
      <c r="B308" s="1" t="s">
        <v>309</v>
      </c>
      <c r="C308" t="str">
        <f>IFERROR(__xludf.DUMMYFUNCTION("GOOGLETRANSLATE(B308, ""zh"", ""en"")"),"Yes ah bigger cortex, bags than expected")</f>
        <v>Yes ah bigger cortex, bags than expected</v>
      </c>
    </row>
    <row r="309">
      <c r="A309" s="1">
        <v>5.0</v>
      </c>
      <c r="B309" s="1" t="s">
        <v>310</v>
      </c>
      <c r="C309" t="str">
        <f>IFERROR(__xludf.DUMMYFUNCTION("GOOGLETRANSLATE(B309, ""zh"", ""en"")"),"Soft and comfortable soft and comfortable, no sense of restraint. Since wearing the county is learned that underwear can do so comfortably. Japan big difference, overseas Amazon purchase really save money!")</f>
        <v>Soft and comfortable soft and comfortable, no sense of restraint. Since wearing the county is learned that underwear can do so comfortably. Japan big difference, overseas Amazon purchase really save money!</v>
      </c>
    </row>
    <row r="310">
      <c r="A310" s="1">
        <v>5.0</v>
      </c>
      <c r="B310" s="1" t="s">
        <v>311</v>
      </c>
      <c r="C310" t="str">
        <f>IFERROR(__xludf.DUMMYFUNCTION("GOOGLETRANSLATE(B310, ""zh"", ""en"")"),"OK again to buy a larger size, the 68 kg 170 Height")</f>
        <v>OK again to buy a larger size, the 68 kg 170 Height</v>
      </c>
    </row>
    <row r="311">
      <c r="A311" s="1">
        <v>5.0</v>
      </c>
      <c r="B311" s="1" t="s">
        <v>312</v>
      </c>
      <c r="C311" t="str">
        <f>IFERROR(__xludf.DUMMYFUNCTION("GOOGLETRANSLATE(B311, ""zh"", ""en"")"),"Health food packaging dark at ease, taking two weeks does fish oil and other differences are significant effect, mediation endocrine and neurological health help for mental worker")</f>
        <v>Health food packaging dark at ease, taking two weeks does fish oil and other differences are significant effect, mediation endocrine and neurological health help for mental worker</v>
      </c>
    </row>
    <row r="312">
      <c r="A312" s="1">
        <v>5.0</v>
      </c>
      <c r="B312" s="1" t="s">
        <v>313</v>
      </c>
      <c r="C312" t="str">
        <f>IFERROR(__xludf.DUMMYFUNCTION("GOOGLETRANSLATE(B312, ""zh"", ""en"")"),"Highly recommended very thin, very self-cultivation, the material is very vertical, no ironing. I 173CM 77kg.")</f>
        <v>Highly recommended very thin, very self-cultivation, the material is very vertical, no ironing. I 173CM 77kg.</v>
      </c>
    </row>
    <row r="313">
      <c r="A313" s="1">
        <v>5.0</v>
      </c>
      <c r="B313" s="1" t="s">
        <v>314</v>
      </c>
      <c r="C313" t="str">
        <f>IFERROR(__xludf.DUMMYFUNCTION("GOOGLETRANSLATE(B313, ""zh"", ""en"")"),"toto showers something good, looks very grade, feeling to buy a good deal.")</f>
        <v>toto showers something good, looks very grade, feeling to buy a good deal.</v>
      </c>
    </row>
    <row r="314">
      <c r="A314" s="1">
        <v>2.0</v>
      </c>
      <c r="B314" s="1" t="s">
        <v>315</v>
      </c>
      <c r="C314" t="str">
        <f>IFERROR(__xludf.DUMMYFUNCTION("GOOGLETRANSLATE(B314, ""zh"", ""en"")"),"In addition to comfortable a little bit small, still very comfortable to wear. Just wear a little tight, a few days will be better, than the recommended yards shoes large a half a yard.")</f>
        <v>In addition to comfortable a little bit small, still very comfortable to wear. Just wear a little tight, a few days will be better, than the recommended yards shoes large a half a yard.</v>
      </c>
    </row>
    <row r="315">
      <c r="A315" s="1">
        <v>3.0</v>
      </c>
      <c r="B315" s="1" t="s">
        <v>316</v>
      </c>
      <c r="C315" t="str">
        <f>IFERROR(__xludf.DUMMYFUNCTION("GOOGLETRANSLATE(B315, ""zh"", ""en"")"),"No bad effect coasters do not hold up, a bit sharp arc is not good, not good!")</f>
        <v>No bad effect coasters do not hold up, a bit sharp arc is not good, not good!</v>
      </c>
    </row>
    <row r="316">
      <c r="A316" s="1">
        <v>3.0</v>
      </c>
      <c r="B316" s="1" t="s">
        <v>317</v>
      </c>
      <c r="C316" t="str">
        <f>IFERROR(__xludf.DUMMYFUNCTION("GOOGLETRANSLATE(B316, ""zh"", ""en"")"),"Li crotch short, thin thighs, crotch short trousers fat stand, uncomfortable to wear, a little thin legs, visual effects, a bit stretched, trousers fat, the effect of straight too, bought a few pants in the Amazon to buy overseas, do not fit , it appears "&amp;"that version and the country is still very large differences foreigners")</f>
        <v>Li crotch short, thin thighs, crotch short trousers fat stand, uncomfortable to wear, a little thin legs, visual effects, a bit stretched, trousers fat, the effect of straight too, bought a few pants in the Amazon to buy overseas, do not fit , it appears that version and the country is still very large differences foreigners</v>
      </c>
    </row>
    <row r="317">
      <c r="A317" s="1">
        <v>1.0</v>
      </c>
      <c r="B317" s="1" t="s">
        <v>318</v>
      </c>
      <c r="C317" t="str">
        <f>IFERROR(__xludf.DUMMYFUNCTION("GOOGLETRANSLATE(B317, ""zh"", ""en"")"),"Color old-fashioned, old-fashioned style color does not look good, does not look good style")</f>
        <v>Color old-fashioned, old-fashioned style color does not look good, does not look good style</v>
      </c>
    </row>
    <row r="318">
      <c r="A318" s="1">
        <v>1.0</v>
      </c>
      <c r="B318" s="1" t="s">
        <v>319</v>
      </c>
      <c r="C318" t="str">
        <f>IFERROR(__xludf.DUMMYFUNCTION("GOOGLETRANSLATE(B318, ""zh"", ""en"")"),"This has not called chromatic aberration big. Color is simply poles apart. I feel cheated.")</f>
        <v>This has not called chromatic aberration big. Color is simply poles apart. I feel cheated.</v>
      </c>
    </row>
    <row r="319">
      <c r="A319" s="1">
        <v>1.0</v>
      </c>
      <c r="B319" s="1" t="s">
        <v>320</v>
      </c>
      <c r="C319" t="str">
        <f>IFERROR(__xludf.DUMMYFUNCTION("GOOGLETRANSLATE(B319, ""zh"", ""en"")"),"Yan had plenty of good value with the general cut-off are two core blade it good bad ah")</f>
        <v>Yan had plenty of good value with the general cut-off are two core blade it good bad ah</v>
      </c>
    </row>
    <row r="320">
      <c r="A320" s="1">
        <v>4.0</v>
      </c>
      <c r="B320" s="1" t="s">
        <v>321</v>
      </c>
      <c r="C320" t="str">
        <f>IFERROR(__xludf.DUMMYFUNCTION("GOOGLETRANSLATE(B320, ""zh"", ""en"")"),"This is the fifth and Amazon black cat seen during the day but up to two-eleven shopping the most disappointing No. 23 November under five single black Ref 674 yuan; wangyikaola do now limit the number of code didodecanyl activities only 589 yuan. (See Am"&amp;"azon review says there are more than 500 hand, but that is not my personal and my heart full steam ahead) 1. First we have the concept of a penny a minute goods (due to play but Amazon) good introduction written inside 10061 , intradermal years, but get t"&amp;"he goods long after knowledge, buy bid kid 5M know this code after the arrival of universal knowledge call 12909 2. classic rhubarb boots category: 10061 (men's, lace holes: within seven holes, Pirie , anti-fatigue mat shoes) 10361 (female models, lace ho"&amp;"les: tin, intradermal, the anti-fatigue mat shoes) 12909 (Kids style / low version, sub-big kid and little kid, an adult must buy big kid, laces hole: tin, inner cloth lining, ordinary cloth insoles) weight: lighter than adult models. Roundup: Amazon to b"&amp;"uy things, goods prices are subject to change at any time, different color codes different prices, introduce fuzzy information, comments are an important basis for people's reference. Finally, 235 feet of his wife wearing a bid kid 5M appropriate code, wa"&amp;"nt to help people see this comment.")</f>
        <v>This is the fifth and Amazon black cat seen during the day but up to two-eleven shopping the most disappointing No. 23 November under five single black Ref 674 yuan; wangyikaola do now limit the number of code didodecanyl activities only 589 yuan. (See Amazon review says there are more than 500 hand, but that is not my personal and my heart full steam ahead) 1. First we have the concept of a penny a minute goods (due to play but Amazon) good introduction written inside 10061 , intradermal years, but get the goods long after knowledge, buy bid kid 5M know this code after the arrival of universal knowledge call 12909 2. classic rhubarb boots category: 10061 (men's, lace holes: within seven holes, Pirie , anti-fatigue mat shoes) 10361 (female models, lace holes: tin, intradermal, the anti-fatigue mat shoes) 12909 (Kids style / low version, sub-big kid and little kid, an adult must buy big kid, laces hole: tin, inner cloth lining, ordinary cloth insoles) weight: lighter than adult models. Roundup: Amazon to buy things, goods prices are subject to change at any time, different color codes different prices, introduce fuzzy information, comments are an important basis for people's reference. Finally, 235 feet of his wife wearing a bid kid 5M appropriate code, want to help people see this comment.</v>
      </c>
    </row>
    <row r="321">
      <c r="A321" s="1">
        <v>4.0</v>
      </c>
      <c r="B321" s="1" t="s">
        <v>322</v>
      </c>
      <c r="C321" t="str">
        <f>IFERROR(__xludf.DUMMYFUNCTION("GOOGLETRANSLATE(B321, ""zh"", ""en"")"),"Satisfied overall satisfied, size, thickness, color")</f>
        <v>Satisfied overall satisfied, size, thickness, color</v>
      </c>
    </row>
    <row r="322">
      <c r="A322" s="1">
        <v>4.0</v>
      </c>
      <c r="B322" s="1" t="s">
        <v>323</v>
      </c>
      <c r="C322" t="str">
        <f>IFERROR(__xludf.DUMMYFUNCTION("GOOGLETRANSLATE(B322, ""zh"", ""en"")"),"Fast delivery, good packaging single number in the January 8, 16 received, domestic distribution is SF, faster than I expected, but the packaging is not so bad before evaluation, should be improved. The filter has not yet begun with the hope to buy as goo"&amp;"d as before.")</f>
        <v>Fast delivery, good packaging single number in the January 8, 16 received, domestic distribution is SF, faster than I expected, but the packaging is not so bad before evaluation, should be improved. The filter has not yet begun with the hope to buy as good as before.</v>
      </c>
    </row>
    <row r="323">
      <c r="A323" s="1">
        <v>4.0</v>
      </c>
      <c r="B323" s="1" t="s">
        <v>324</v>
      </c>
      <c r="C323" t="str">
        <f>IFERROR(__xludf.DUMMYFUNCTION("GOOGLETRANSLATE(B323, ""zh"", ""en"")"),"No manual I bought elsewhere how it can bottle with instructions (in various languages), but in the Amazon to buy nothing inside, the taste is larger than the original buy, do not know how ...... packaging down no difference.")</f>
        <v>No manual I bought elsewhere how it can bottle with instructions (in various languages), but in the Amazon to buy nothing inside, the taste is larger than the original buy, do not know how ...... packaging down no difference.</v>
      </c>
    </row>
    <row r="324">
      <c r="A324" s="1">
        <v>5.0</v>
      </c>
      <c r="B324" s="1" t="s">
        <v>325</v>
      </c>
      <c r="C324" t="str">
        <f>IFERROR(__xludf.DUMMYFUNCTION("GOOGLETRANSLATE(B324, ""zh"", ""en"")"),"Said that the date code is too small to buy to buy just the right date code M, waist size to fall just right Bohou")</f>
        <v>Said that the date code is too small to buy to buy just the right date code M, waist size to fall just right Bohou</v>
      </c>
    </row>
    <row r="325">
      <c r="A325" s="1">
        <v>5.0</v>
      </c>
      <c r="B325" s="1" t="s">
        <v>326</v>
      </c>
      <c r="C325" t="str">
        <f>IFERROR(__xludf.DUMMYFUNCTION("GOOGLETRANSLATE(B325, ""zh"", ""en"")"),"Value for money is very light, they did not find water leakage, basic plastic lids and removable, easy to clean.")</f>
        <v>Value for money is very light, they did not find water leakage, basic plastic lids and removable, easy to clean.</v>
      </c>
    </row>
    <row r="326">
      <c r="A326" s="1">
        <v>5.0</v>
      </c>
      <c r="B326" s="1" t="s">
        <v>327</v>
      </c>
      <c r="C326" t="str">
        <f>IFERROR(__xludf.DUMMYFUNCTION("GOOGLETRANSLATE(B326, ""zh"", ""en"")"),"Value for money, high cost, the US direct mail about one week or so to go, the speed can be")</f>
        <v>Value for money, high cost, the US direct mail about one week or so to go, the speed can be</v>
      </c>
    </row>
    <row r="327">
      <c r="A327" s="1">
        <v>5.0</v>
      </c>
      <c r="B327" s="1" t="s">
        <v>328</v>
      </c>
      <c r="C327" t="str">
        <f>IFERROR(__xludf.DUMMYFUNCTION("GOOGLETRANSLATE(B327, ""zh"", ""en"")"),"Really really expensive goods more expensive goods. Take concrete actions to contribute to Sino-US normal trade")</f>
        <v>Really really expensive goods more expensive goods. Take concrete actions to contribute to Sino-US normal trade</v>
      </c>
    </row>
    <row r="328">
      <c r="A328" s="1">
        <v>5.0</v>
      </c>
      <c r="B328" s="1" t="s">
        <v>329</v>
      </c>
      <c r="C328" t="str">
        <f>IFERROR(__xludf.DUMMYFUNCTION("GOOGLETRANSLATE(B328, ""zh"", ""en"")"),"Buy and buy a toothbrush with a toothbrush and together, with the electric toothbrush, matching, fine.")</f>
        <v>Buy and buy a toothbrush with a toothbrush and together, with the electric toothbrush, matching, fine.</v>
      </c>
    </row>
    <row r="329">
      <c r="A329" s="1">
        <v>5.0</v>
      </c>
      <c r="B329" s="1" t="s">
        <v>330</v>
      </c>
      <c r="C329" t="str">
        <f>IFERROR(__xludf.DUMMYFUNCTION("GOOGLETRANSLATE(B329, ""zh"", ""en"")"),"Good, recommended shoes are authentic, just the right size, the first double ECCO shoes, liked")</f>
        <v>Good, recommended shoes are authentic, just the right size, the first double ECCO shoes, liked</v>
      </c>
    </row>
    <row r="330">
      <c r="A330" s="1">
        <v>5.0</v>
      </c>
      <c r="B330" s="1" t="s">
        <v>331</v>
      </c>
      <c r="C330" t="str">
        <f>IFERROR(__xludf.DUMMYFUNCTION("GOOGLETRANSLATE(B330, ""zh"", ""en"")"),"Very fit to wear ECCO shoes have been good, and the country to buy the same number.")</f>
        <v>Very fit to wear ECCO shoes have been good, and the country to buy the same number.</v>
      </c>
    </row>
    <row r="331">
      <c r="A331" s="1">
        <v>5.0</v>
      </c>
      <c r="B331" s="1" t="s">
        <v>332</v>
      </c>
      <c r="C331" t="str">
        <f>IFERROR(__xludf.DUMMYFUNCTION("GOOGLETRANSLATE(B331, ""zh"", ""en"")"),"Good good 100 dollars a pants, holding not wear it recognized the state of mind to buy, the quality of results beyond imagination.")</f>
        <v>Good good 100 dollars a pants, holding not wear it recognized the state of mind to buy, the quality of results beyond imagination.</v>
      </c>
    </row>
    <row r="332">
      <c r="A332" s="1">
        <v>5.0</v>
      </c>
      <c r="B332" s="1" t="s">
        <v>333</v>
      </c>
      <c r="C332" t="str">
        <f>IFERROR(__xludf.DUMMYFUNCTION("GOOGLETRANSLATE(B332, ""zh"", ""en"")"),"Very much like the right size, to accompany a winter")</f>
        <v>Very much like the right size, to accompany a winter</v>
      </c>
    </row>
    <row r="333">
      <c r="A333" s="1">
        <v>5.0</v>
      </c>
      <c r="B333" s="1" t="s">
        <v>334</v>
      </c>
      <c r="C333" t="str">
        <f>IFERROR(__xludf.DUMMYFUNCTION("GOOGLETRANSLATE(B333, ""zh"", ""en"")"),"Quality is good that more than 180 yuan three pairs of the same brand 180D is a little more delicate, but overall, still different than velvet. Loose, not tight, mouth and feet, upper body feel very comfortable.")</f>
        <v>Quality is good that more than 180 yuan three pairs of the same brand 180D is a little more delicate, but overall, still different than velvet. Loose, not tight, mouth and feet, upper body feel very comfortable.</v>
      </c>
    </row>
    <row r="334">
      <c r="A334" s="1">
        <v>5.0</v>
      </c>
      <c r="B334" s="1" t="s">
        <v>335</v>
      </c>
      <c r="C334" t="str">
        <f>IFERROR(__xludf.DUMMYFUNCTION("GOOGLETRANSLATE(B334, ""zh"", ""en"")"),"Day to the dog bowl to, okay baby to have the final say in the future")</f>
        <v>Day to the dog bowl to, okay baby to have the final say in the future</v>
      </c>
    </row>
    <row r="335">
      <c r="A335" s="1">
        <v>5.0</v>
      </c>
      <c r="B335" s="1" t="s">
        <v>336</v>
      </c>
      <c r="C335" t="str">
        <f>IFERROR(__xludf.DUMMYFUNCTION("GOOGLETRANSLATE(B335, ""zh"", ""en"")"),"Affordable &lt;div id = ""video-block-R1YNDXPVY7B0MP"" class = ""a-section a-spacing-small a-spacing-top-mini video-block""&gt; &lt;div tabindex = ""0"" class = ""airy airy-svg vmin-supported airy-skin-beacon ""style ="" background-color: rgb (0, 0, 0); position: "&amp;"relative; width: 100%; height: 100%; font-size: 0px; overflow: hidden; outline : none; ""&gt; &lt;div class ="" airy-renderer-container ""style ="" position: relative; height: 100%; width: 100%; ""&gt; &lt;video id ="" 23 ""preload ="" auto ""src ="" https://images-c"&amp;"n.ssl-images-amazon.com/images/I/914cPqyzgXS.mp4 ""style ="" position: absolute; left: 0px; top: 0px; overflow: hidden; height: 1px; width: 1px ; ""&gt; &lt;/ video&gt; &lt;/ div&gt; &lt;div id ="" airy-slate-preload ""style ="" background-color: rgb (0, 0, 0); background-"&amp;"image: url (&amp; quot; https: // images-cn.ssl-images-amazon.com/images/I/81OzS4H5A+S.png&amp;quot;); background-size: contain; background-position: center center; background-repeat: no-repeat; position: absolute; top : 0px; left: 0px; visibility: visible; width"&amp;": 100%; height: 100%; ""&gt; &lt;/ div&gt; &lt;iframe scrolling ="" no ""Frameborder ="" 0 ""src ="" about: blank ""style ="" display: none; ""&gt; &lt;/ iframe&gt; &lt;div tabindex ="" - 1 ""class ="" airy-controls-container ""style ="" opacity: 0; visibility: hidden; ""&gt; &lt;div "&amp;"tabindex ="" - 1 ""class ="" airy-screen-size-toggle airy-fullscreen ""&gt; &lt;/ div&gt; &lt;div tabindex ="" - 1 ""class ="" airy-container-bottom "" &gt; &lt;div tabindex = ""- 1"" class = ""airy-track-bar-spacer-left"" style = ""width: 11px;""&gt; &lt;/ div&gt; &lt;div tabindex = "&amp;"""- 1"" class = ""airy-play- toggle airy-play ""style ="" width: 12px; margin-right: 12px; ""&gt; &lt;/ div&gt; &lt;div tabindex ="" - 1 ""class ="" airy-audio-elements ""style ="" float: right; width: 34px; ""&gt; &lt;div tabindex ="" - 1 ""class ="" airy-audio-toggle air"&amp;"y-on ""&gt; &lt;/ div&gt; &lt;div tabindex ="" - 1 ""class ="" airy-audio-container ""style ="" opacity : 0; visibility: hidden; ""&gt; &lt;div tabindex ="" - 1 ""class ="" airy-audio-track-bar ""style ="" height: 80%; ""&gt; &lt;div tabindex ="" - 1 ""class ="" airy -audio-scru"&amp;"bber-bar ""style ="" height: 85%; ""&gt; &lt;/ div&gt; &lt;div tabindex ="" - 1 ""class ="" airy-audio-scrubber ""style ="" height: 12px; bottom: 85%; ""&gt; &lt;/ div&gt; &lt;/ div&gt; &lt;/ div&gt; &lt;/ div&gt; &lt;div tabindex ="" - 1 ""class ="" airy-duration-label ""style ="" f loat: right;"&amp;" width: 26px; margin-right: 4px; text-align: center; ""&gt; 0:00 &lt;/ div&gt; &lt;div tabindex ="" - 1 ""class ="" airy-track-bar-spacer-right "" style = ""float: right; width: 11px;""&gt; &lt;/ div&gt; &lt;div tabindex = ""- 1"" class = ""airy-track-bar-container"" style = ""m"&amp;"argin-left: 35px; margin-right: 75px ; ""&gt; &lt;div tabindex ="" - 1 ""class ="" airy-track-bar airy-vertical-centering-table ""&gt; &lt;div tabindex ="" - 1 ""class ="" airy-vertical-centering-table-cell ""&gt; &lt;div tabindex = ""- 1"" class = ""airy-track-bar-element"&amp;"s""&gt; &lt;div tabindex = ""- 1"" class = ""airy-progress-bar""&gt; &lt;/ div&gt; &lt;div tabindex = ""- 1"" class = ""airy-scrubber-bar""&gt; &lt;/ div&gt; &lt;div tabindex = ""- 1"" class = ""airy-scrubber""&gt; &lt;div tabindex = ""- 1"" class = ""airy-scrubber-icon""&gt; &lt;/ div&gt; &lt;div tabi"&amp;"ndex = ""- 1"" class = ""airy-adjusted-aui-tooltip"" style = ""opacity: 0; visibility: hidden;""&gt; &lt;div tabindex = ""- 1"" class = ""airy-adjusted-aui -tooltip-inner ""&gt; &lt;div tabindex ="" - 1 ""class ="" airy-current-time-label ""&gt; 0:00 &lt;/ div&gt; &lt;/ div&gt; &lt;di"&amp;"v tabindex ="" - 1 ""class ="" airy- adjusted-aui-arrow-border ""&gt; &lt;div tabindex ="" - 1 ""class ="" airy-adjusted-aui-arrow ""&gt; &lt;/ div&gt; &lt;/ div&gt; &lt;/ div&gt; &lt;/ d iv&gt; &lt;/ div&gt; &lt;/ div&gt; &lt;/ div&gt; &lt;/ div&gt; &lt;/ div&gt; &lt;/ div&gt; &lt;div tabindex = ""- 1"" class = ""airy-age-ga"&amp;"te airy-stage airy-vertical-centering -table airy-dialog ""style ="" opacity: 0; visibility: hidden; ""&gt; &lt;div tabindex ="" - 1 ""class ="" airy-age-gate-vertical-centering-table-cell airy-vertical-centering-table -cell ""&gt; &lt;div tabindex ="" - 1 ""class ="&amp;""" airy-vertical-centering-wrapper airy-age-gate-elements-wrapper ""&gt; &lt;div tabindex ="" - 1 ""class ="" airy-age-gate- elements airy-dialog-elements ""&gt; &lt;div tabindex ="" - 1 ""class ="" airy-age-gate-prompt ""&gt; This video is not intended for all audience"&amp;"s What date were you born &lt;/ div&gt; &lt;div tabindex.? = ""- 1"" class = ""airy-age-gate-inputs airy-dialog-inner-elements""&gt; &lt;select tabindex = ""- 1"" class = ""airy-age-gate-month""&gt; &lt;option value = ""1 ""&gt; January &lt;/ option&gt; &lt;option value ="" 2 ""&gt; Februar"&amp;"y &lt;/ option&gt; &lt;option value ="" 3 ""&gt; March &lt;/ option&gt; &lt;option value ="" 4 ""&gt; April &lt;/ option&gt; &lt;option value = ""5""&gt; May &lt;/ option&gt; &lt;option value = ""6""&gt; June &lt;/ option&gt; &lt;option value = ""7""&gt; July &lt;/ option&gt; &lt;option value = ""8""&gt; August &lt;/ option&gt; &lt;op"&amp;"tion value = ""9""&gt; September &lt;/ option&gt; &lt;option value = ""10 ""&gt; October &lt;/ option&gt; &lt;option value ="" 11 ""&gt; November &lt;/ option&gt; &lt;option value ="" 12 ""&gt; December &lt;/ option&gt; &lt;/ select&gt; &lt;select tabindex ="" - 1 ""class ="" airy- age-gate-day ""&gt; &lt;option v"&amp;"alue ="" 1 ""&gt; 1 &lt;/ option&gt; &lt;option value ="" 2 ""&gt; 2 &lt;/ option&gt; &lt;option value ="" 3 ""&gt; 3 &lt;/ option&gt; &lt;option value = ""4""&gt; 4 &lt;/ option&gt; &lt;option value = ""5""&gt; 5 &lt;/ option&gt; &lt;option value = ""6""&gt; 6 &lt;/ option&gt; &lt;option value = ""7""&gt; 7 &lt;/ option&gt; &lt;option v"&amp;"alue = ""8""&gt; 8 &lt;/ option&gt; &lt;option value = ""9""&gt; 9 &lt;/ option&gt; &lt;option value = ""10""&gt; 10 &lt;/ option&gt; &lt;option value = ""11""&gt; 11 &lt;/ option&gt; &lt;option value = ""12""&gt; 12 &lt;/ option&gt; &lt;option value = ""13""&gt; 13 &lt;/ option&gt; &lt;option value = ""14""&gt; 14 &lt;/ option&gt; &lt;o"&amp;"ption value = ""15""&gt; 15 &lt;/ option&gt; &lt;option value = ""16""&gt; 16 &lt;/ option&gt; &lt;option value = ""17""&gt; 17 &lt;/ option&gt; &lt;option value = ""18""&gt; 18 &lt;/ option&gt; &lt;option value = ""19""&gt; 19 &lt;/ option&gt; &lt;option value = ""20""&gt; 20 &lt;/ option&gt; &lt;option value = ""21""&gt; 21 &lt;/"&amp;" option&gt; &lt;option value = ""22""&gt; 22 &lt;/ option&gt; &lt;option value = ""23"" &gt; 23 &lt;/ option&gt; &lt;option value = ""24""&gt; 24 &lt;/ option&gt; &lt;option value = ""25""&gt; 25 &lt;/ option&gt; &lt;option value = ""26""&gt; 26 &lt;/ option&gt; &lt;option value = "" 27 ""&gt; 27 &lt;/ option&gt; &lt;option value ="&amp;""" 28 ""&gt; 28 &lt;/ option&gt; &lt;option value ="" 29 ""&gt; 29 &lt;/ option&gt; &lt; option value = ""30""&gt; 30 &lt;/ option&gt; &lt;option value = ""31""&gt; 31 &lt;/ option&gt; &lt;/ select&gt; &lt;select tabindex = ""- 1"" class = ""airy-age-gate-year""&gt; &lt; option value = ""2019""&gt; 2019 &lt;/ option&gt; &lt;o"&amp;"ption value = ""2018""&gt; 2018 &lt;/ option&gt; &lt;option value = ""2017""&gt; 2017 &lt;/ option&gt; &lt;option value = ""2016""&gt; ​​2016 &lt;/ option &gt; &lt;option value = ""2015""&gt; 2015 &lt;/ option&gt; &lt;option value = ""2014""&gt; 2014 &lt;/ option&gt; &lt;option value = ""2013""&gt; 2013 &lt;/ option&gt; &lt;o"&amp;"ption value = ""2012""&gt; 2012 &lt; / option&gt; &lt;option value = ""2011""&gt; 2011 &lt;/ option&gt; &lt;option value = ""2010""&gt; 2010 &lt;/ option&gt; &lt;option value = ""2009""&gt; 2009 &lt;/ option&gt; &lt;option value = ""2008""&gt; 2008 &lt;/ option&gt; &lt;option value = ""2007""&gt; 2007 &lt;/ option&gt; &lt;opt"&amp;"ion value = ""2006""&gt; 2006 &lt;/ option&gt; &lt;option value = ""2005""&gt; 2005 &lt;/ option&gt; &lt;option value = ""2004 ""&gt; 2004 &lt;/ option&gt; &lt;option value ="" 2003 ""&gt; 2003 &lt;/ option&gt; &lt;option value ="" 2002 ""&gt; 2002 &lt;/ option&gt; &lt;option value ="" 2001 ""&gt; 2001 &lt;/ option&gt; &lt;op"&amp;"tion value = ""2000""&gt; 2000 &lt;/ option&gt; &lt;option value = ""1999""&gt; 1999 &lt;/ option&gt; &lt;option value = ""1998""&gt; 1998 &lt;/ option&gt; &lt;option value = ""1997""&gt; 1997 &lt;/ option&gt; &lt;option value = ""1996""&gt; 1996 &lt;/ option&gt; &lt;option value = ""1995""&gt; 1995 &lt;/ option&gt; &lt;optio"&amp;"n value = ""1994""&gt; 1994 &lt;/ option &gt; &lt;Option value = ""1993""&gt; 1993 &lt;/ option&gt; &lt;option value = ""1992""&gt; 1992 &lt;/ option&gt; &lt;option value = ""1991""&gt; 1991 &lt;/ option&gt; &lt;option value = ""1990""&gt; 1990 &lt; / option&gt; &lt;option value = ""1989""&gt; 1989 &lt;/ option&gt; &lt;option"&amp;" value = ""1988""&gt; 1988 &lt;/ option&gt; &lt;option value = ""1987""&gt; 1987 &lt;/ option&gt; &lt;option value = ""1986""&gt; 1986 &lt;/ option&gt; &lt;option value = ""1985""&gt; 1985 &lt;/ option&gt; &lt;option value = ""1984""&gt; 1984 &lt;/ option&gt; &lt;option value = ""1983""&gt; 1983 &lt;/ option&gt; &lt;option va"&amp;"lue = ""1982 ""&gt; 1982 &lt;/ option&gt; &lt;option value ="" 1981 ""&gt; 1981 &lt;/ option&gt; &lt;option value ="" 1980 ""&gt; 1980 &lt;/ option&gt; &lt;option value ="" 1979 ""&gt; 1979 &lt;/ option&gt; &lt;option value = ""1978""&gt; 1978 &lt;/ option&gt; &lt;option value = ""1977""&gt; 1977 &lt;/ option&gt; &lt;option v"&amp;"alue = ""1976""&gt; 1976 &lt;/ option&gt; &lt;option value = ""1975""&gt; 1975 &lt;/ option&gt; &lt;option value = ""1974""&gt; 1974 &lt;/ option&gt; &lt;option value = ""1973""&gt; 1973 &lt;/ option&gt; &lt;option value = ""1972""&gt; 1972 &lt;/ option&gt; &lt;option value = ""1971""&gt; 1971 &lt;/ option&gt; &lt;option valu"&amp;"e = ""1970""&gt; 1970 &lt;/ option&gt; &lt;option value = ""1969""&gt; 1969 &lt;/ option&gt; &lt;option value = ""1968""&gt; 1968 &lt;/ option&gt; &lt;option value = ""1967""&gt; 1967 &lt;/ option&gt; &lt;option value = ""1966""&gt; 1966 &lt;/ option&gt; &lt;option value = ""1965""&gt; 1965 &lt;/ option&gt; &lt;option value ="&amp;" ""1964""&gt; 1964 &lt;/ option&gt; &lt;option value = ""1963""&gt; 1963 &lt;/ option&gt; &lt;option value = ""1962""&gt; 1962 &lt;/ option&gt; &lt;option value = ""1961""&gt; 1961 &lt;/ option&gt; &lt; option value = ""1960""&gt; 1960 &lt;/ option&gt; &lt;option value = ""1959""&gt; 1959 &lt;/ option&gt; &lt;option value = "&amp;"""1958""&gt; 1958 &lt;/ option&gt; &lt;option value = ""1957""&gt; 1957 &lt;/ option &gt; &lt;option value = ""1956""&gt; 1956 &lt;/ option&gt; &lt;option value = ""1955""&gt; 1955 &lt;/ option&gt; &lt;option value = ""1954""&gt; 1954 &lt;/ option&gt; &lt;option value = ""1953""&gt; 1953 &lt; / option&gt; &lt;option value = "&amp;"""1952""&gt; 1952 &lt;/ option&gt; &lt;option value = ""1951""&gt; 1951 &lt;/ option&gt; &lt;option value = ""1950""&gt; 1950 &lt;/ option&gt; &lt;option value = ""1949""&gt; 1949 &lt;/ option&gt; &lt;option value = ""1948""&gt; 1948 &lt;/ option&gt; &lt;option value = ""1947""&gt; 1947 &lt;/ option&gt; &lt;option value = ""1"&amp;"946""&gt; 1946 &lt;/ option&gt; &lt;option value = ""1945 ""&gt; 1945 &lt;/ option&gt; &lt;option value ="" 1944 ""&gt; 1944 &lt;/ option&gt; &lt;option value ="" 1943 ""&gt; 1943 &lt;/ option&gt; &lt;option value ="" 1942 ""&gt; 1942 &lt;/ option&gt; &lt;option value = ""1941""&gt; 1941 &lt;/ option&gt; &lt;option value = """&amp;"1940""&gt; 1940 &lt;/ option&gt; &lt;option value = ""1939""&gt; 1939 &lt;/ option&gt; &lt;option value = ""1938""&gt; 1938 &lt;/ option&gt; &lt;option value = ""1937""&gt; 1937 &lt;/ option&gt; &lt;option value = ""1936""&gt; 1936 &lt;/ option&gt; &lt;option value = ""1935""&gt; 1935 &lt;/ option&gt; &lt;option value = ""193"&amp;"4""&gt; 1934 &lt;/ option&gt; &lt;option value = ""1933""&gt; 1933 &lt;/ option&gt; &lt;option value = ""1932""&gt; 1932 &lt;/ option&gt; &lt;option value = ""1931""&gt; 1931 &lt;/ option&gt; &lt;option value = ""1930""&gt; 1930 &lt;/ option&gt; &lt;option value = ""1929""&gt; 1929 &lt;/ option&gt; &lt;option value = ""1928"""&amp;"&gt; 1928 &lt;/ option&gt; &lt;option value = ""1927"" &gt; 1927 &lt;/ option&gt; &lt;option value = ""1926""&gt; 1926 &lt;/ option&gt; &lt;option value = ""1925""&gt; 1925 &lt;/ option&gt; &lt;option value = ""1924""&gt; 1924 &lt;/ option&gt; &lt;option value = "" 1923 ""&gt; 1923 &lt;/ option&gt; &lt;option value ="" 1922 "&amp;"""&gt; 1922 &lt;/ option&gt; &lt;option value ="" 1921 ""&gt; 1921 &lt;/ option&gt; &lt;option value ="" 1920 ""&gt; 1920 &lt;/ option&gt; &lt;option value = ""1919""&gt; 1919 &lt;/ option&gt; &lt;option value = ""1918""&gt; 1918 &lt;/ option&gt; &lt;option value = ""1917""&gt; 1917 &lt;/ option&gt; &lt;option value = ""1916"&amp;"""&gt; 1916 &lt;/ option&gt; &lt; option value = ""1915""&gt; 1915 &lt;/ option&gt; &lt;option value = ""1914""&gt; 1914 &lt;/ option&gt; &lt;option value = ""1913""&gt; 1913 &lt;/ option&gt; &lt;option value = ""1912""&gt; 1912 &lt;/ option &gt; &lt;option value = ""1911""&gt; 1911 &lt;/ option&gt; &lt;option value = ""1910"&amp;"""&gt; 1910 &lt;/ option&gt; &lt;option value = ""1909""&gt; 1909 &lt;/ option&gt; &lt;option value = ""1908""&gt; 1908 &lt; / option&gt; &lt;option value = ""1907""&gt; 1907 &lt;/ option&gt; &lt;option value = ""1906""&gt; 1906 &lt;/ option&gt; &lt;option value = ""1905""&gt; 1905 &lt;/ option&gt; &lt;option value = ""1904"""&amp;"&gt; 1904 &lt;/ option&gt; &lt;option value = ""1903""&gt; 1903 &lt;/ option&gt; &lt;option value = ""1902""&gt; 1902 &lt;/ option&gt; &lt;option value = ""1901""&gt; 1901 &lt;/ option&gt; &lt;option value = ""1900""&gt; 1900 &lt;/ option&gt; &lt;/ select&gt; &lt;div tabindex = ""- 1"" class = ""airy-age-gate-submit air"&amp;"y- submit airy-button airy-submit-disabled ""&gt; Submit &lt;/ div&gt; &lt;/ div&gt; &lt;/ div&gt; &lt;/ div&gt; &lt;/ div&gt; &lt;/ div&gt; &lt;div tabindex ="" - 1 ""class ="" airy-install -flash-dialog airy-stage airy-vertical-centering-table airy-dialog airy-denied ""style ="" opacity: 0; vis"&amp;"ibility: hidden; ""&gt; &lt;div tabindex ="" - 1 ""class ="" airy-install-flash -vertical-centering-table-cell airy-vertical-centering-table-cell ""&gt; &lt;div tabindex ="" - 1 ""class ="" airy-vertical-centering-wrapper airy-install-flash-elements-wrapper ""&gt; &lt;div "&amp;"tabindex = ""- 1"" class = ""airy-install-flash-elements airy-dialog-elements""&gt; &lt;div tabindex = ""- 1"" class = ""airy-install-flash-prompt""&gt; Adobe Flash Player is required to watch . this video &lt;/ div&gt; &lt;div tabindex = ""- 1"" class = ""airy-install-fla"&amp;"sh-button-wrapper airy-dialog-inner-elements""&gt; &lt;div tabindex = ""- 1"" cl ass = ""airy-install-flash-button airy-button""&gt; Install Flash Player &lt;/ div&gt; &lt;/ div&gt; &lt;/ div&gt; &lt;/ div&gt; &lt;/ div&gt; &lt;/ div&gt; &lt;div tabindex = ""- 1"" class = ""airy-video-unsupported-dialo"&amp;"g airy-stage airy-vertical-centering-table airy-dialog airy-denied"" style = ""opacity: 0; visibility: hidden;""&gt; &lt;div tabindex = ""- 1"" class = ""airy-video-unsupported-vertical-centering-table-cell airy-vertical-centering-table-cell""&gt; &lt;div tabindex = "&amp;"""- 1"" class = ""airy-vertical-centering-wrapper airy-video-unsupported-elements -wrapper ""&gt; &lt;div tabindex ="" - 1 ""class ="" airy-video-unsupported-elements airy-dialog-elements ""&gt; &lt;div tabindex ="" - 1 ""class ="" airy-video-unsupported-prompt ""&gt; &lt;"&amp;" / div&gt; &lt;/ div&gt; &lt;/ div&gt; &lt;/ div&gt; &lt;/ div&gt; &lt;div tabindex = ""- 1"" class = ""airy-loading-spinner-stage airy-stage""&gt; &lt;div tabindex = ""- 1"" class = ""airy-loading-spinner-vertical-centering-table-cell airy-vertical-centering-table-cell""&gt; &lt;div tabindex = "&amp;"""- 1"" class = ""airy-loading-spinner-container airy-scalable-hint -container ""&gt; &lt;div tabindex ="" - 1 ""class ="" airy-loading-spinner-dummy airy-scalable-dummy ""&gt; &lt;/ div&gt; &lt;div tabinde x = ""- 1"" class = ""airy-loading-spinner airy-hint"" style = ""v"&amp;"isibility: hidden;""&gt; &lt;/ div&gt; &lt;/ div&gt; &lt;/ div&gt; &lt;/ div&gt; &lt;div tabindex = ""- 1 ""class ="" airy-ads-screen-size-toggle airy-screen-size-toggle airy-fullscreen ""style ="" visibility: hidden; ""&gt; &lt;/ div&gt; &lt;div tabindex ="" - 1 ""class ="" airy- ad-prompt-conta"&amp;"iner ""style ="" visibility: hidden; ""&gt; &lt;div tabindex ="" - 1 ""class ="" airy-ad-prompt-vertical-centering-table airy-vertical-centering-table ""&gt; &lt;div tabindex = ""-1"" class = ""airy-ad-prompt-vertical-centering-table-cell airy-vertical-centering-tabl"&amp;"e-cell""&gt; &lt;div tabindex = ""- 1"" class = ""airy-ad-prompt-label"" &gt; &lt;/ div&gt; &lt;/ div&gt; &lt;/ div&gt; &lt;/ div&gt; &lt;div tabindex = ""- 1"" class = ""airy-ads-controls-container"" style = ""visibility: hidden;""&gt; &lt;div tabindex = "" -1 ""class ="" airy-ads-audio-toggle a"&amp;"iry-audio-toggle airy-on ""style ="" visibility: hidden; ""&gt; &lt;/ div&gt; &lt;div tabindex ="" - 1 ""class ="" airy-time- remaining-label-container ""&gt; &lt;div tabindex ="" - 1 ""class ="" airy-time-remaining-vertical-centering-table airy-vertical-centering-table """&amp;"&gt; &lt;div tabindex ="" - 1 ""class ="" airy -time-remaining-vertical-cente ring-table-cell airy-vertical-centering-table-cell ""&gt; &lt;div tabindex ="" - 1 ""class ="" airy-vertical-centering-wrapper airy-time-remaining-label-wrapper ""&gt; &lt;div tabindex ="" -1 ""c"&amp;"lass ="" airy-time-remaining-label ""style ="" visibility: hidden; ""&gt; &lt;/ div&gt; &lt;div tabindex ="" - 1 ""class ="" airy-ad-skip ""style ="" visibility: hidden ; ""&gt; &lt;/ div&gt; &lt;div tabindex ="" - 1 ""class ="" airy-ad-end ""style ="" visibility: hidden; ""&gt; &lt;/"&amp;" div&gt; &lt;/ div&gt; &lt;/ div&gt; &lt;/ div&gt; &lt; / div&gt; &lt;div tabindex = ""- 1"" class = ""airy-learn-more"" style = ""visibility: hidden;""&gt; &lt;/ div&gt; &lt;/ div&gt; &lt;div tabindex = ""- 1"" class = ""airy- play-toggle-hint-stage airy-stage airy-cursor ""&gt; &lt;div tabindex ="" - 1 ""c"&amp;"lass ="" airy-play-toggle-hint-vertical-centering-table-cell airy-vertical-centering-table-cell airy-cursor ""&gt; &lt;div tabindex ="" - 1 ""class ="" airy-play-toggle-hint-container airy-scalable-hint-container ""&gt; &lt;div tabindex ="" - 1 ""class ="" airy-play-"&amp;"toggle -hint-dummy airy-scalable-dummy ""&gt; &lt;/ div&gt; &lt;div tabindex ="" - 1 ""class ="" airy-play-toggle-hint airy-hint airy-play-hint ""style ="" opacity: 1; visibility : visible; ""&gt; &lt;/ div&gt; &lt;/ div&gt; &lt;/ div&gt; &lt;/ div&gt; &lt;d iv tabindex = ""- 1"" class = ""airy-r"&amp;"eplay-hint-stage airy-stage"" style = ""visibility: hidden;""&gt; &lt;div tabindex = ""- 1"" class = ""airy-replay-hint-vertical-centering -table-cell airy-vertical-centering-table-cell airy-cursor ""&gt; &lt;div tabindex ="" - 1 ""class ="" airy-replay-hint-containe"&amp;"r airy-scalable-hint-container ""&gt; &lt;div tabindex ="" -1 ""class ="" airy-replay-hint-dummy airy-scalable-dummy ""&gt; &lt;/ div&gt; &lt;div tabindex ="" - 1 ""class ="" airy-replay-hint airy-hint ""&gt; &lt;/ div&gt; &lt; / div&gt; &lt;/ div&gt; &lt;/ div&gt; &lt;div tabindex = ""- 1"" class = """&amp;"airy-autoplay-hint-stage airy-stage"" style = ""visibility: hidden;""&gt; &lt;div tabindex = ""- 1"" class = ""airy-autoplay-hint-vertical-centering-table-cell airy-vertical-centering-table-cell airy-cursor""&gt; &lt;div tabindex = ""- 1"" class = ""airy-autoplay-hin"&amp;"t-container airy- scalable-hint-container ""&gt; &lt;div tabindex ="" - 1 ""class ="" airy-autoplay-hint-dummy airy-scalable-dummy ""&gt; &lt;/ div&gt; &lt;/ div&gt; &lt;/ div&gt; &lt;/ div&gt; &lt;/ div&gt; &lt;/ div&gt; &lt;input type = ""hidden"" name = """" value = ""https://images-cn.ssl-images-am"&amp;"azon.com/images/I/914cPqyzgXS.mp4"" class = ""video-url ""&gt; &lt;input type ="" hidden ""name ="" "" value = ""https://images-cn.ssl-images-amazon.com/images/I/81OzS4H5A+S.png"" class = ""video-slate-img-url""&gt; &amp; nbsp; logistics considered normal, bargain pri"&amp;"ce! But to buy the transformer head yo!")</f>
        <v>Affordable &lt;div id = "video-block-R1YNDXPVY7B0MP" class = "a-section a-spacing-small a-spacing-top-mini video-block"&gt; &lt;div tabindex = "0" class = "airy airy-svg vmin-supported airy-skin-beacon "style =" background-color: rgb (0, 0, 0); position: relative; width: 100%; height: 100%; font-size: 0px; overflow: hidden; outline : none; "&gt; &lt;div class =" airy-renderer-container "style =" position: relative; height: 100%; width: 100%; "&gt; &lt;video id =" 23 "preload =" auto "src =" https://images-cn.ssl-images-amazon.com/images/I/914cPqyzgXS.mp4 "style =" position: absolute; left: 0px; top: 0px; overflow: hidden; height: 1px; width: 1px ; "&gt; &lt;/ video&gt; &lt;/ div&gt; &lt;div id =" airy-slate-preload "style =" background-color: rgb (0, 0, 0); background-image: url (&amp; quot; https: // images-cn.ssl-images-amazon.com/images/I/81OzS4H5A+S.png&amp;quot;); background-size: contain; background-position: center center; background-repeat: no-repeat; position: absolute; top : 0px; left: 0px; visibility: visible; width: 100%; height: 100%; "&gt; &lt;/ div&gt; &lt;iframe scrolling =" no "Frameborder =" 0 "src =" about: blank "style =" display: none; "&gt;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toggle airy-play "style =" width: 12px; margin-right: 12px; "&gt; &lt;/ div&gt; &lt;div tabindex =" - 1 "class =" airy-audio-elements "style =" float: right; width: 34px; "&gt; &lt;div tabindex =" - 1 "class =" airy-audio-toggle airy-on "&gt; &lt;/ div&gt; &lt;div tabindex =" - 1 "class =" airy-audio-container "style =" opacity : 0; visibility: hidden; "&gt; &lt;div tabindex =" - 1 "class =" airy-audio-track-bar "style =" height: 80%; "&gt; &lt;div tabindex =" - 1 "class =" airy -audio-scrubber-bar "style =" height: 85%; "&gt; &lt;/ div&gt; &lt;div tabindex =" - 1 "class =" airy-audio-scrubber "style =" height: 12px; bottom: 85%; "&gt; &lt;/ div&gt; &lt;/ div&gt; &lt;/ div&gt; &lt;/ div&gt; &lt;div tabindex =" - 1 "class =" airy-duration-label "style =" f loat: right; width: 26px; margin-right: 4px; text-align: center; "&gt; 0:00 &lt;/ div&gt; &lt;div tabindex =" - 1 "class =" airy-track-bar-spacer-right " style = "float: right; width: 11px;"&gt; &lt;/ div&gt; &lt;div tabindex = "- 1" class = "airy-track-bar-container" style = "margin-left: 35px; margin-right: 75px ; "&gt; &lt;div tabindex =" - 1 "class =" airy-track-bar airy-vertical-centering-table "&gt; &lt;div tabindex =" - 1 "class =" airy-vertical-centering-table-cell "&gt; &lt;div tabindex = "- 1" class = "airy-track-bar-elements"&gt; &lt;div tabindex = "- 1" class = "airy-progress-bar"&gt; &lt;/ div&gt; &lt;div tabindex = "- 1" class = "airy-scrubber-bar"&gt; &lt;/ div&gt; &lt;div tabindex = "- 1" class = "airy-scrubber"&gt; &lt;div tabindex = "- 1" class = "airy-scrubber-icon"&gt; &lt;/ div&gt; &lt;div tabindex = "- 1" class = "airy-adjusted-aui-tooltip" style = "opacity: 0; visibility: hidden;"&gt; &lt;div tabindex = "- 1" class = "airy-adjusted-aui -tooltip-inner "&gt; &lt;div tabindex =" - 1 "class =" airy-current-time-label "&gt; 0:00 &lt;/ div&gt; &lt;/ div&gt; &lt;div tabindex =" - 1 "class =" airy- adjusted-aui-arrow-border "&gt; &lt;div tabindex =" - 1 "class =" airy-adjusted-aui-arrow "&gt; &lt;/ div&gt; &lt;/ div&gt; &lt;/ div&gt; &lt;/ d iv&gt; &lt;/ div&gt; &lt;/ div&gt; &lt;/ div&gt; &lt;/ div&gt; &lt;/ div&gt; &lt;/ div&gt; &lt;div tabindex = "- 1" class = "airy-age-gate airy-stage airy-vertical-centering -table airy-dialog "style =" opacity: 0; visibility: hidden; "&gt; &lt;div tabindex =" - 1 "class =" airy-age-gate-vertical-centering-table-cell airy-vertical-centering-table -cell "&gt; &lt;div tabindex =" - 1 "class =" airy-vertical-centering-wrapper airy-age-gate-elements-wrapper "&gt; &lt;div tabindex =" - 1 "class =" airy-age-gate- elements airy-dialog-elements "&gt; &lt;div tabindex =" - 1 "class =" airy-age-gate-prompt "&gt; This video is not intended for all audiences What date were you born &lt;/ div&gt; &lt;div tabindex.? = "- 1" class = "airy-age-gate-inputs airy-dialog-inner-elements"&gt; &lt;select tabindex = "- 1" class = "airy-age-gate-month"&gt; &lt;option value = "1 "&gt; January &lt;/ option&gt; &lt;option value =" 2 "&gt; February &lt;/ option&gt; &lt;option value =" 3 "&gt; March &lt;/ option&gt; &lt;option value =" 4 "&gt; April &lt;/ option&gt; &lt;option value = "5"&gt; May &lt;/ option&gt; &lt;option value = "6"&gt; June &lt;/ option&gt; &lt;option value = "7"&gt; July &lt;/ option&gt; &lt;option value = "8"&gt; August &lt;/ option&gt; &lt;option value = "9"&gt; September &lt;/ option&gt; &lt;option value = "10 "&gt; October &lt;/ option&gt; &lt;option value =" 11 "&gt; November &lt;/ option&gt; &lt;option value =" 12 "&gt; December &lt;/ option&gt; &lt;/ select&gt; &lt;select tabindex =" - 1 "class =" airy- age-gate-day "&gt; &lt;option value =" 1 "&gt; 1 &lt;/ option&gt; &lt;option value =" 2 "&gt; 2 &lt;/ option&gt; &lt;option value =" 3 "&gt; 3 &lt;/ option&gt; &lt;option value = "4"&gt; 4 &lt;/ option&gt; &lt;option value = "5"&gt; 5 &lt;/ option&gt; &lt;option value = "6"&gt; 6 &lt;/ option&gt; &lt;option value = "7"&gt; 7 &lt;/ option&gt; &lt;option value = "8"&gt; 8 &lt;/ option&gt; &lt;option value = "9"&gt; 9 &lt;/ option&gt; &lt;option value = "10"&gt; 10 &lt;/ option&gt; &lt;option value = "11"&gt; 11 &lt;/ option&gt; &lt;option value = "12"&gt; 12 &lt;/ option&gt; &lt;option value = "13"&gt; 13 &lt;/ option&gt; &lt;option value = "14"&gt; 14 &lt;/ option&gt; &lt;option value = "15"&gt; 15 &lt;/ option&gt; &lt;option value = "16"&gt; 16 &lt;/ option&gt; &lt;option value = "17"&gt; 17 &lt;/ option&gt; &lt;option value = "18"&gt; 18 &lt;/ option&gt; &lt;option value = "19"&gt; 19 &lt;/ option&gt; &lt;option value = "20"&gt; 20 &lt;/ option&gt; &lt;option value = "21"&gt; 21 &lt;/ option&gt; &lt;option value = "22"&gt; 22 &lt;/ option&gt; &lt;option value = "23" &gt; 23 &lt;/ option&gt; &lt;option value = "24"&gt; 24 &lt;/ option&gt; &lt;option value = "25"&gt; 25 &lt;/ option&gt; &lt;option value = "26"&gt; 26 &lt;/ option&gt; &lt;option value = " 27 "&gt; 27 &lt;/ option&gt; &lt;option value =" 28 "&gt; 28 &lt;/ option&gt; &lt;option value =" 29 "&gt; 29 &lt;/ option&gt; &lt; option value = "30"&gt; 30 &lt;/ option&gt; &lt;option value = "31"&gt; 31 &lt;/ option&gt; &lt;/ select&gt; &lt;select tabindex = "- 1" class = "airy-age-gate-year"&gt; &lt; option value = "2019"&gt; 2019 &lt;/ option&gt; &lt;option value = "2018"&gt; 2018 &lt;/ option&gt; &lt;option value = "2017"&gt; 2017 &lt;/ option&gt; &lt;option value = "2016"&gt; ​​2016 &lt;/ option &gt; &lt;option value = "2015"&gt; 2015 &lt;/ option&gt; &lt;option value = "2014"&gt; 2014 &lt;/ option&gt; &lt;option value = "2013"&gt; 2013 &lt;/ option&gt; &lt;option value = "2012"&gt; 2012 &lt; / option&gt; &lt;option value = "2011"&gt; 2011 &lt;/ option&gt; &lt;option value = "2010"&gt; 2010 &lt;/ option&gt; &lt;option value = "2009"&gt; 2009 &lt;/ option&gt; &lt;option value = "2008"&gt; 2008 &lt;/ option&gt; &lt;option value = "2007"&gt; 2007 &lt;/ option&gt; &lt;option value = "2006"&gt; 2006 &lt;/ option&gt; &lt;option value = "2005"&gt; 2005 &lt;/ option&gt; &lt;option value = "2004 "&gt; 2004 &lt;/ option&gt; &lt;option value =" 2003 "&gt; 2003 &lt;/ option&gt; &lt;option value =" 2002 "&gt; 2002 &lt;/ option&gt; &lt;option value =" 2001 "&gt; 2001 &lt;/ option&gt; &lt;option value = "2000"&gt; 2000 &lt;/ option&gt; &lt;option value = "1999"&gt; 1999 &lt;/ option&gt; &lt;option value = "1998"&gt; 1998 &lt;/ option&gt; &lt;option value = "1997"&gt; 1997 &lt;/ option&gt; &lt;option value = "1996"&gt; 1996 &lt;/ option&gt; &lt;option value = "1995"&gt; 1995 &lt;/ option&gt; &lt;option value = "1994"&gt; 1994 &lt;/ option &gt; &lt;Option value = "1993"&gt; 1993 &lt;/ option&gt; &lt;option value = "1992"&gt; 1992 &lt;/ option&gt; &lt;option value = "1991"&gt; 1991 &lt;/ option&gt; &lt;option value = "1990"&gt; 1990 &lt; / option&gt; &lt;option value = "1989"&gt; 1989 &lt;/ option&gt; &lt;option value = "1988"&gt; 1988 &lt;/ option&gt; &lt;option value = "1987"&gt; 1987 &lt;/ option&gt; &lt;option value = "1986"&gt; 1986 &lt;/ option&gt; &lt;option value = "1985"&gt; 1985 &lt;/ option&gt; &lt;option value = "1984"&gt; 1984 &lt;/ option&gt; &lt;option value = "1983"&gt; 1983 &lt;/ option&gt; &lt;option value = "1982 "&gt; 1982 &lt;/ option&gt; &lt;option value =" 1981 "&gt; 1981 &lt;/ option&gt; &lt;option value =" 1980 "&gt; 1980 &lt;/ option&gt; &lt;option value =" 1979 "&gt; 1979 &lt;/ option&gt; &lt;option value = "1978"&gt; 1978 &lt;/ option&gt; &lt;option value = "1977"&gt; 1977 &lt;/ option&gt; &lt;option value = "1976"&gt; 1976 &lt;/ option&gt; &lt;option value = "1975"&gt; 1975 &lt;/ option&gt; &lt;option value = "1974"&gt; 1974 &lt;/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"1966"&gt; 1966 &lt;/ option&gt; &lt;option value = "1965"&gt; 1965 &lt;/ option&gt; &lt;option value = "1964"&gt; 1964 &lt;/ option&gt; &lt;option value = "1963"&gt; 1963 &lt;/ option&gt; &lt;option value = "1962"&gt; 1962 &lt;/ option&gt; &lt;option value = "1961"&gt; 1961 &lt;/ option&gt; &lt; option value = "1960"&gt; 1960 &lt;/ option&gt; &lt;option value = "1959"&gt; 1959 &lt;/ option&gt; &lt;option value = "1958"&gt; 1958 &lt;/ option&gt; &lt;option value = "1957"&gt; 1957 &lt;/ option &gt; &lt;option value = "1956"&gt; 1956 &lt;/ option&gt; &lt;option value = "1955"&gt; 1955 &lt;/ option&gt; &lt;option value = "1954"&gt; 1954 &lt;/ option&gt; &lt;option value = "1953"&gt; 1953 &lt; / option&gt; &lt;option value = "1952"&gt; 1952 &lt;/ option&gt; &lt;option value = "1951"&gt; 1951 &lt;/ option&gt; &lt;option value = "1950"&gt; 1950 &lt;/ option&gt; &lt;option value = "1949"&gt; 1949 &lt;/ option&gt; &lt;option value = "1948"&gt; 1948 &lt;/ option&gt; &lt;option value = "1947"&gt; 1947 &lt;/ option&gt; &lt;option value = "1946"&gt; 1946 &lt;/ option&gt; &lt;option value = "1945 "&gt; 1945 &lt;/ option&gt; &lt;option value =" 1944 "&gt; 1944 &lt;/ option&gt; &lt;option value =" 1943 "&gt; 1943 &lt;/ option&gt; &lt;option value =" 1942 "&gt; 1942 &lt;/ option&gt; &lt;option value = "1941"&gt; 1941 &lt;/ option&gt; &lt;option value = "1940"&gt; 1940 &lt;/ option&gt; &lt;option value = "1939"&gt; 1939 &lt;/ option&gt; &lt;option value = "1938"&gt; 1938 &lt;/ option&gt; &lt;option value = "1937"&gt; 1937 &lt;/ option&gt; &lt;option value = "1936"&gt; 1936 &lt;/ option&gt; &lt;option value = "1935"&gt; 1935 &lt;/ option&gt; &lt;option value = "1934"&gt; 1934 &lt;/ option&gt; &lt;option value = "1933"&gt; 1933 &lt;/ option&gt; &lt;option value = "1932"&gt; 1932 &lt;/ option&gt; &lt;option value = "1931"&gt; 1931 &lt;/ option&gt; &lt;option value = "1930"&gt; 1930 &lt;/ option&gt; &lt;option value = "1929"&gt; 1929 &lt;/ option&gt; &lt;option value = "1928"&gt; 1928 &lt;/ option&gt; &lt;option value = "1927" &gt; 1927 &lt;/ option&gt; &lt;option value = "1926"&gt; 1926 &lt;/ option&gt; &lt;option value = "1925"&gt; 1925 &lt;/ option&gt; &lt;option value = "1924"&gt; 1924 &lt;/ option&gt; &lt;option value = " 1923 "&gt; 1923 &lt;/ option&gt; &lt;option value =" 1922 "&gt; 1922 &lt;/ option&gt; &lt;option value =" 1921 "&gt; 1921 &lt;/ option&gt; &lt;option value =" 1920 "&gt; 1920 &lt;/ option&gt; &lt;option value = "1919"&gt; 1919 &lt;/ option&gt; &lt;option value = "1918"&gt; 1918 &lt;/ option&gt; &lt;option value = "1917"&gt; 1917 &lt;/ option&gt; &lt;option value = "1916"&gt; 1916 &lt;/ option&gt; &lt; option value = "1915"&gt; 1915 &lt;/ option&gt; &lt;option value = "1914"&gt; 1914 &lt;/ option&gt; &lt;option value = "1913"&gt; 1913 &lt;/ option&gt; &lt;option value = "1912"&gt; 1912 &lt;/ option &gt; &lt;option value = "1911"&gt; 1911 &lt;/ option&gt; &lt;option value = "1910"&gt; 1910 &lt;/ option&gt; &lt;option value = "1909"&gt; 1909 &lt;/ option&gt; &lt;option value = "1908"&gt; 1908 &lt; / option&gt; &lt;option value = "1907"&gt; 1907 &lt;/ option&gt; &lt;option value = "1906"&gt; 1906 &lt;/ option&gt; &lt;option value = "1905"&gt; 1905 &lt;/ option&gt; &lt;option value = "1904"&gt; 1904 &lt;/ option&gt; &lt;option value = "1903"&gt; 1903 &lt;/ option&gt; &lt;option value = "1902"&gt; 1902 &lt;/ option&gt; &lt;option value = "1901"&gt; 1901 &lt;/ option&gt; &lt;option value = "1900"&gt; 1900 &lt;/ option&gt; &lt;/ select&gt; &lt;div tabindex = "- 1" class = "airy-age-gate-submit airy- submit airy-button airy-submit-disabled "&gt; Submit &lt;/ div&gt; &lt;/ div&gt; &lt;/ div&gt; &lt;/ div&gt; &lt;/ div&gt; &lt;/ div&gt; &lt;div tabindex =" - 1 "class =" airy-install -flash-dialog airy-stage airy-vertical-centering-table airy-dialog airy-denied "style =" opacity: 0; visibility: hidden; "&gt; &lt;div tabindex =" - 1 "class =" airy-install-flash -vertical-centering-table-cell airy-vertical-centering-table-cell "&gt; &lt;div tabindex =" - 1 "class =" airy-vertical-centering-wrapper airy-install-flash-elements-wrapper "&gt; &lt;div tabindex = "- 1" class = "airy-install-flash-elements airy-dialog-elements"&gt; &lt;div tabindex = "- 1" class = "airy-install-flash-prompt"&gt; Adobe Flash Player is required to watch . this video &lt;/ div&gt; &lt;div tabindex = "- 1" class = "airy-install-flash-button-wrapper airy-dialog-inner-elements"&gt; &lt;div tabindex = "- 1" cl ass = "airy-install-flash-button airy-button"&gt; Install Flash Player &lt;/ div&gt; &lt;/ div&gt; &lt;/ div&gt; &lt;/ div&gt; &lt;/ div&gt; &lt;/ div&gt; &lt;div tabindex = "- 1" class = "airy-video-unsupported-dialog airy-stage airy-vertical-centering-table airy-dialog airy-denied" style = "opacity: 0; visibility: hidden;"&gt; &lt;div tabindex = "- 1" class = "airy-video-unsupported-vertical-centering-table-cell airy-vertical-centering-table-cell"&gt; &lt;div tabindex = "- 1" class = "airy-vertical-centering-wrapper airy-video-unsupported-elements -wrapper "&gt; &lt;div tabindex =" - 1 "class =" airy-video-unsupported-elements airy-dialog-elements "&gt; &lt;div tabindex =" - 1 "class =" airy-video-unsupported-prompt "&gt; &lt; / div&gt; &lt;/ div&gt; &lt;/ div&gt; &lt;/ div&gt; &lt;/ div&gt; &lt;div tabindex = "- 1" class = "airy-loading-spinner-stage airy-stage"&gt; &lt;div tabindex = "- 1" class = "airy-loading-spinner-vertical-centering-table-cell airy-vertical-centering-table-cell"&gt; &lt;div tabindex = "- 1" class = "airy-loading-spinner-container airy-scalable-hint -container "&gt; &lt;div tabindex =" - 1 "class =" airy-loading-spinner-dummy airy-scalable-dummy "&gt; &lt;/ div&gt; &lt;div tabinde x = "- 1" class = "airy-loading-spinner airy-hint" style = "visibility: hidden;"&gt; &lt;/ div&gt; &lt;/ div&gt; &lt;/ div&gt; &lt;/ div&gt; &lt;div tabindex = "- 1 "class =" airy-ads-screen-size-toggle airy-screen-size-toggle airy-fullscreen "style =" visibility: hidden; "&gt; &lt;/ div&gt; &lt;div tabindex =" - 1 "class =" airy- ad-prompt-container "style =" visibility: hidden; "&gt; &lt;div tabindex =" - 1 "class =" airy-ad-prompt-vertical-centering-table airy-vertical-centering-table "&gt; &lt;div tabindex = "-1" class = "airy-ad-prompt-vertical-centering-table-cell airy-vertical-centering-table-cell"&gt; &lt;div tabindex = "- 1" class = "airy-ad-prompt-label" &gt; &lt;/ div&gt; &lt;/ div&gt; &lt;/ div&gt; &lt;/ div&gt; &lt;div tabindex = "- 1" class = "airy-ads-controls-container" style = "visibility: hidden;"&gt; &lt;div tabindex = " -1 "class =" airy-ads-audio-toggle airy-audio-toggle airy-on "style =" visibility: hidden; "&gt; &lt;/ div&gt; &lt;div tabindex =" - 1 "class =" airy-time- remaining-label-container "&gt; &lt;div tabindex =" - 1 "class =" airy-time-remaining-vertical-centering-table airy-vertical-centering-table "&gt; &lt;div tabindex =" - 1 "class =" airy -time-remaining-vertical-cente ring-table-cell airy-vertical-centering-table-cell "&gt; &lt;div tabindex =" - 1 "class =" airy-vertical-centering-wrapper airy-time-remaining-label-wrapper "&gt; &lt;div tabindex =" -1 "class =" airy-time-remaining-label "style =" visibility: hidden; "&gt; &lt;/ div&gt; &lt;div tabindex =" - 1 "class =" airy-ad-skip "style =" visibility: hidden ; "&gt; &lt;/ div&gt; &lt;div tabindex =" - 1 "class =" airy-ad-end "style =" visibility: hidden; "&gt; &lt;/ div&gt; &lt;/ div&gt; &lt;/ div&gt; &lt;/ div&gt; &lt; / div&gt; &lt;div tabindex = "- 1" class = "airy-learn-more" style = "visibility: hidden;"&gt; &lt;/ div&gt; &lt;/ div&gt; &lt;div tabindex = "- 1" class = "airy- play-toggle-hint-stage airy-stage airy-cursor "&gt; &lt;div tabindex =" - 1 "class =" airy-play-toggle-hint-vertical-centering-table-cell airy-vertical-centering-table-cell airy-cursor "&gt; &lt;div tabindex =" - 1 "class =" airy-play-toggle-hint-container airy-scalable-hint-container "&gt; &lt;div tabindex =" - 1 "class =" airy-play-toggle -hint-dummy airy-scalable-dummy "&gt; &lt;/ div&gt; &lt;div tabindex =" - 1 "class =" airy-play-toggle-hint airy-hint airy-play-hint "style =" opacity: 1; visibility : visible; "&gt; &lt;/ div&gt; &lt;/ div&gt; &lt;/ div&gt; &lt;/ div&gt; &lt;d iv tabindex = "- 1" class = "airy-replay-hint-stage airy-stage" style = "visibility: hidden;"&gt; &lt;div tabindex = "- 1" class = "airy-replay-hint-vertical-centering -table-cell airy-vertical-centering-table-cell airy-cursor "&gt; &lt;div tabindex =" - 1 "class =" airy-replay-hint-container airy-scalable-hint-container "&gt; &lt;div tabindex =" -1 "class =" airy-replay-hint-dummy airy-scalable-dummy "&gt; &lt;/ div&gt; &lt;div tabindex =" - 1 "class =" airy-replay-hint airy-hint "&gt; &lt;/ div&gt; &lt; / div&gt; &lt;/ div&gt; &lt;/ div&gt; &lt;div tabindex = "- 1" class = "airy-autoplay-hint-stage airy-stage" style = "visibility: hidden;"&gt; &lt;div tabindex = "- 1" class = "airy-autoplay-hint-vertical-centering-table-cell airy-vertical-centering-table-cell airy-cursor"&gt; &lt;div tabindex = "- 1" class = "airy-autoplay-hint-container airy- scalable-hint-container "&gt; &lt;div tabindex =" - 1 "class =" airy-autoplay-hint-dummy airy-scalable-dummy "&gt; &lt;/ div&gt; &lt;/ div&gt; &lt;/ div&gt; &lt;/ div&gt; &lt;/ div&gt; &lt;/ div&gt; &lt;input type = "hidden" name = "" value = "https://images-cn.ssl-images-amazon.com/images/I/914cPqyzgXS.mp4" class = "video-url "&gt; &lt;input type =" hidden "name =" " value = "https://images-cn.ssl-images-amazon.com/images/I/81OzS4H5A+S.png" class = "video-slate-img-url"&gt; &amp; nbsp; logistics considered normal, bargain price! But to buy the transformer head yo!</v>
      </c>
    </row>
    <row r="336">
      <c r="A336" s="1">
        <v>5.0</v>
      </c>
      <c r="B336" s="1" t="s">
        <v>337</v>
      </c>
      <c r="C336" t="str">
        <f>IFERROR(__xludf.DUMMYFUNCTION("GOOGLETRANSLATE(B336, ""zh"", ""en"")"),"24 times the size of the repurchase is very suitable for a family of three to make soup stew meat. Quality stick!")</f>
        <v>24 times the size of the repurchase is very suitable for a family of three to make soup stew meat. Quality stick!</v>
      </c>
    </row>
    <row r="337">
      <c r="A337" s="1">
        <v>5.0</v>
      </c>
      <c r="B337" s="1" t="s">
        <v>338</v>
      </c>
      <c r="C337" t="str">
        <f>IFERROR(__xludf.DUMMYFUNCTION("GOOGLETRANSLATE(B337, ""zh"", ""en"")"),"Currently the best use of the food supplement scissors small scissors easy to carry anything useful that the cover is a failure, must cover in the direction it would be difficult to unplug")</f>
        <v>Currently the best use of the food supplement scissors small scissors easy to carry anything useful that the cover is a failure, must cover in the direction it would be difficult to unplug</v>
      </c>
    </row>
    <row r="338">
      <c r="A338" s="1">
        <v>5.0</v>
      </c>
      <c r="B338" s="1" t="s">
        <v>339</v>
      </c>
      <c r="C338" t="str">
        <f>IFERROR(__xludf.DUMMYFUNCTION("GOOGLETRANSLATE(B338, ""zh"", ""en"")"),"Wear comfortable to wear very comfortable, like feet, like boosting")</f>
        <v>Wear comfortable to wear very comfortable, like feet, like boosting</v>
      </c>
    </row>
    <row r="339">
      <c r="A339" s="1">
        <v>5.0</v>
      </c>
      <c r="B339" s="1" t="s">
        <v>340</v>
      </c>
      <c r="C339" t="str">
        <f>IFERROR(__xludf.DUMMYFUNCTION("GOOGLETRANSLATE(B339, ""zh"", ""en"")"),"Comfortable very comfortable, the right number. Four hundred Lu pick up the whole hand, although not too cheap, but just need the words of prices acceptable. Express took six days, soon.")</f>
        <v>Comfortable very comfortable, the right number. Four hundred Lu pick up the whole hand, although not too cheap, but just need the words of prices acceptable. Express took six days, soon.</v>
      </c>
    </row>
    <row r="340">
      <c r="A340" s="1">
        <v>5.0</v>
      </c>
      <c r="B340" s="1" t="s">
        <v>341</v>
      </c>
      <c r="C340" t="str">
        <f>IFERROR(__xludf.DUMMYFUNCTION("GOOGLETRANSLATE(B340, ""zh"", ""en"")"),"Doubt the true and false I'm very pleased with the product. But the labels are different from what I bought in Hongkong. White clear handwriting is bought in Hongkong, gray handwriting vague is bought in Amazon japan. Do you see the difference?")</f>
        <v>Doubt the true and false I'm very pleased with the product. But the labels are different from what I bought in Hongkong. White clear handwriting is bought in Hongkong, gray handwriting vague is bought in Amazon japan. Do you see the difference?</v>
      </c>
    </row>
    <row r="341">
      <c r="A341" s="1">
        <v>5.0</v>
      </c>
      <c r="B341" s="1" t="s">
        <v>342</v>
      </c>
      <c r="C341" t="str">
        <f>IFERROR(__xludf.DUMMYFUNCTION("GOOGLETRANSLATE(B341, ""zh"", ""en"")"),"Raiders do a lot of pacifiers, bottle nipples and finally chose Pigeon, Amazon opened overseas purchase, really fast")</f>
        <v>Raiders do a lot of pacifiers, bottle nipples and finally chose Pigeon, Amazon opened overseas purchase, really fast</v>
      </c>
    </row>
    <row r="342">
      <c r="A342" s="1">
        <v>5.0</v>
      </c>
      <c r="B342" s="1" t="s">
        <v>343</v>
      </c>
      <c r="C342" t="str">
        <f>IFERROR(__xludf.DUMMYFUNCTION("GOOGLETRANSLATE(B342, ""zh"", ""en"")"),"The right size, favorite models. Pants right size, size standard, the point is thick, suitable for autumn and winter wear, satisfaction.")</f>
        <v>The right size, favorite models. Pants right size, size standard, the point is thick, suitable for autumn and winter wear, satisfaction.</v>
      </c>
    </row>
    <row r="343">
      <c r="A343" s="1">
        <v>5.0</v>
      </c>
      <c r="B343" s="1" t="s">
        <v>344</v>
      </c>
      <c r="C343" t="str">
        <f>IFERROR(__xludf.DUMMYFUNCTION("GOOGLETRANSLATE(B343, ""zh"", ""en"")"),"Good snack tray put the baby to eat, very stable very good")</f>
        <v>Good snack tray put the baby to eat, very stable very good</v>
      </c>
    </row>
    <row r="344">
      <c r="A344" s="1">
        <v>5.0</v>
      </c>
      <c r="B344" s="1" t="s">
        <v>345</v>
      </c>
      <c r="C344" t="str">
        <f>IFERROR(__xludf.DUMMYFUNCTION("GOOGLETRANSLATE(B344, ""zh"", ""en"")"),"Very comfortable very comfortable")</f>
        <v>Very comfortable very comfortable</v>
      </c>
    </row>
    <row r="345">
      <c r="A345" s="1">
        <v>2.0</v>
      </c>
      <c r="B345" s="1" t="s">
        <v>346</v>
      </c>
      <c r="C345" t="str">
        <f>IFERROR(__xludf.DUMMYFUNCTION("GOOGLETRANSLATE(B345, ""zh"", ""en"")"),"Finally to buy! bought! Looking forward to install! Expect Raindance")</f>
        <v>Finally to buy! bought! Looking forward to install! Expect Raindance</v>
      </c>
    </row>
    <row r="346">
      <c r="A346" s="1">
        <v>3.0</v>
      </c>
      <c r="B346" s="1" t="s">
        <v>347</v>
      </c>
      <c r="C346" t="str">
        <f>IFERROR(__xludf.DUMMYFUNCTION("GOOGLETRANSLATE(B346, ""zh"", ""en"")"),"Zipper style is generally difficult to use general color General")</f>
        <v>Zipper style is generally difficult to use general color General</v>
      </c>
    </row>
    <row r="347">
      <c r="A347" s="1">
        <v>3.0</v>
      </c>
      <c r="B347" s="1" t="s">
        <v>348</v>
      </c>
      <c r="C347" t="str">
        <f>IFERROR(__xludf.DUMMYFUNCTION("GOOGLETRANSLATE(B347, ""zh"", ""en"")"),"Shelf life really is temporary shelf life wondering all this sea Amoy it expires on 20 August fundamental eat")</f>
        <v>Shelf life really is temporary shelf life wondering all this sea Amoy it expires on 20 August fundamental eat</v>
      </c>
    </row>
    <row r="348">
      <c r="A348" s="1">
        <v>3.0</v>
      </c>
      <c r="B348" s="1" t="s">
        <v>349</v>
      </c>
      <c r="C348" t="str">
        <f>IFERROR(__xludf.DUMMYFUNCTION("GOOGLETRANSLATE(B348, ""zh"", ""en"")"),"Do not like the side seams in the right size, work is also possible, but the seams in the side of the leg ah really Ge")</f>
        <v>Do not like the side seams in the right size, work is also possible, but the seams in the side of the leg ah really Ge</v>
      </c>
    </row>
    <row r="349">
      <c r="A349" s="1">
        <v>1.0</v>
      </c>
      <c r="B349" s="1" t="s">
        <v>350</v>
      </c>
      <c r="C349" t="str">
        <f>IFERROR(__xludf.DUMMYFUNCTION("GOOGLETRANSLATE(B349, ""zh"", ""en"")"),"2E very poor experience given the results sent me a D, because there are not 2E to come here! Because anxious to use the change would not be able to say! To compensate!")</f>
        <v>2E very poor experience given the results sent me a D, because there are not 2E to come here! Because anxious to use the change would not be able to say! To compensate!</v>
      </c>
    </row>
    <row r="350">
      <c r="A350" s="1">
        <v>1.0</v>
      </c>
      <c r="B350" s="1" t="s">
        <v>351</v>
      </c>
      <c r="C350" t="str">
        <f>IFERROR(__xludf.DUMMYFUNCTION("GOOGLETRANSLATE(B350, ""zh"", ""en"")"),"Some difference between the first, second garbage")</f>
        <v>Some difference between the first, second garbage</v>
      </c>
    </row>
    <row r="351">
      <c r="A351" s="1">
        <v>4.0</v>
      </c>
      <c r="B351" s="1" t="s">
        <v>352</v>
      </c>
      <c r="C351" t="str">
        <f>IFERROR(__xludf.DUMMYFUNCTION("GOOGLETRANSLATE(B351, ""zh"", ""en"")"),"Overall are good, said one drawback it, thick soles, the result is, the shoes feel a little heavy, but get used to wearing a few days")</f>
        <v>Overall are good, said one drawback it, thick soles, the result is, the shoes feel a little heavy, but get used to wearing a few days</v>
      </c>
    </row>
    <row r="352">
      <c r="A352" s="1">
        <v>4.0</v>
      </c>
      <c r="B352" s="1" t="s">
        <v>353</v>
      </c>
      <c r="C352" t="str">
        <f>IFERROR(__xludf.DUMMYFUNCTION("GOOGLETRANSLATE(B352, ""zh"", ""en"")"),"Packaging is really like for garbage, like,")</f>
        <v>Packaging is really like for garbage, like,</v>
      </c>
    </row>
    <row r="353">
      <c r="A353" s="1">
        <v>4.0</v>
      </c>
      <c r="B353" s="1" t="s">
        <v>354</v>
      </c>
      <c r="C353" t="str">
        <f>IFERROR(__xludf.DUMMYFUNCTION("GOOGLETRANSLATE(B353, ""zh"", ""en"")"),"This is good, that is a bit long length")</f>
        <v>This is good, that is a bit long length</v>
      </c>
    </row>
    <row r="354">
      <c r="A354" s="1">
        <v>4.0</v>
      </c>
      <c r="B354" s="1" t="s">
        <v>355</v>
      </c>
      <c r="C354" t="str">
        <f>IFERROR(__xludf.DUMMYFUNCTION("GOOGLETRANSLATE(B354, ""zh"", ""en"")"),"Stylish cheap good, cheap affordable, more rigid fabrics")</f>
        <v>Stylish cheap good, cheap affordable, more rigid fabrics</v>
      </c>
    </row>
    <row r="355">
      <c r="A355" s="1">
        <v>4.0</v>
      </c>
      <c r="B355" s="1" t="s">
        <v>356</v>
      </c>
      <c r="C355" t="str">
        <f>IFERROR(__xludf.DUMMYFUNCTION("GOOGLETRANSLATE(B355, ""zh"", ""en"")"),"With a little difference in size size okay, cost-effective, be considered to have a brand, no brand is not worth the price")</f>
        <v>With a little difference in size size okay, cost-effective, be considered to have a brand, no brand is not worth the price</v>
      </c>
    </row>
    <row r="356">
      <c r="A356" s="1">
        <v>5.0</v>
      </c>
      <c r="B356" s="1" t="s">
        <v>357</v>
      </c>
      <c r="C356" t="str">
        <f>IFERROR(__xludf.DUMMYFUNCTION("GOOGLETRANSLATE(B356, ""zh"", ""en"")"),"Good quality baby has been born with the Pigeon, had previously been purchased from Amazon Japan, transport super trouble, now we have a lot of overseas shopping convenience")</f>
        <v>Good quality baby has been born with the Pigeon, had previously been purchased from Amazon Japan, transport super trouble, now we have a lot of overseas shopping convenience</v>
      </c>
    </row>
    <row r="357">
      <c r="A357" s="1">
        <v>5.0</v>
      </c>
      <c r="B357" s="1" t="s">
        <v>358</v>
      </c>
      <c r="C357" t="str">
        <f>IFERROR(__xludf.DUMMYFUNCTION("GOOGLETRANSLATE(B357, ""zh"", ""en"")"),"Insulation insulation effect")</f>
        <v>Insulation insulation effect</v>
      </c>
    </row>
    <row r="358">
      <c r="A358" s="1">
        <v>5.0</v>
      </c>
      <c r="B358" s="1" t="s">
        <v>359</v>
      </c>
      <c r="C358" t="str">
        <f>IFERROR(__xludf.DUMMYFUNCTION("GOOGLETRANSLATE(B358, ""zh"", ""en"")"),"Too large, still very satisfied with the clothes is not very thick, but the United States than those shown, but unfortunately buy big. According to the icon on the clothes displayed (see figure), the US equivalent to S code L code of Asia. I usually wear "&amp;"M code, it should buy US XS code. Amazon Tips to buy L code.")</f>
        <v>Too large, still very satisfied with the clothes is not very thick, but the United States than those shown, but unfortunately buy big. According to the icon on the clothes displayed (see figure), the US equivalent to S code L code of Asia. I usually wear M code, it should buy US XS code. Amazon Tips to buy L code.</v>
      </c>
    </row>
    <row r="359">
      <c r="A359" s="1">
        <v>5.0</v>
      </c>
      <c r="B359" s="1" t="s">
        <v>360</v>
      </c>
      <c r="C359" t="str">
        <f>IFERROR(__xludf.DUMMYFUNCTION("GOOGLETRANSLATE(B359, ""zh"", ""en"")"),"Very good very good very soft but not Le stomach feel efforts are not enough")</f>
        <v>Very good very good very soft but not Le stomach feel efforts are not enough</v>
      </c>
    </row>
    <row r="360">
      <c r="A360" s="1">
        <v>5.0</v>
      </c>
      <c r="B360" s="1" t="s">
        <v>361</v>
      </c>
      <c r="C360" t="str">
        <f>IFERROR(__xludf.DUMMYFUNCTION("GOOGLETRANSLATE(B360, ""zh"", ""en"")"),"Cost-effective, cost-effective color value is high, color value is also high")</f>
        <v>Cost-effective, cost-effective color value is high, color value is also high</v>
      </c>
    </row>
    <row r="361">
      <c r="A361" s="1">
        <v>5.0</v>
      </c>
      <c r="B361" s="1" t="s">
        <v>362</v>
      </c>
      <c r="C361" t="str">
        <f>IFERROR(__xludf.DUMMYFUNCTION("GOOGLETRANSLATE(B361, ""zh"", ""en"")"),"If a Chinese manual on the better I bought the most expensive iron, the effect did not let me down, a lot of steam, the operation is very simple, water requirement can reach 6-7 pieces, greatly improving efficiency.")</f>
        <v>If a Chinese manual on the better I bought the most expensive iron, the effect did not let me down, a lot of steam, the operation is very simple, water requirement can reach 6-7 pieces, greatly improving efficiency.</v>
      </c>
    </row>
    <row r="362">
      <c r="A362" s="1">
        <v>5.0</v>
      </c>
      <c r="B362" s="1" t="s">
        <v>363</v>
      </c>
      <c r="C362" t="str">
        <f>IFERROR(__xludf.DUMMYFUNCTION("GOOGLETRANSLATE(B362, ""zh"", ""en"")"),"Summer do not have access, or use a little thick spring and autumn days will be better in the summer air-conditioned rooms do not have access, will be hot")</f>
        <v>Summer do not have access, or use a little thick spring and autumn days will be better in the summer air-conditioned rooms do not have access, will be hot</v>
      </c>
    </row>
    <row r="363">
      <c r="A363" s="1">
        <v>5.0</v>
      </c>
      <c r="B363" s="1" t="s">
        <v>364</v>
      </c>
      <c r="C363" t="str">
        <f>IFERROR(__xludf.DUMMYFUNCTION("GOOGLETRANSLATE(B363, ""zh"", ""en"")"),"With good stuff for a long time, it recommends.")</f>
        <v>With good stuff for a long time, it recommends.</v>
      </c>
    </row>
    <row r="364">
      <c r="A364" s="1">
        <v>5.0</v>
      </c>
      <c r="B364" s="1" t="s">
        <v>365</v>
      </c>
      <c r="C364" t="str">
        <f>IFERROR(__xludf.DUMMYFUNCTION("GOOGLETRANSLATE(B364, ""zh"", ""en"")"),"Fine chocolate powder because of the cheap buy, vanilla flavor can be better. pretty good.")</f>
        <v>Fine chocolate powder because of the cheap buy, vanilla flavor can be better. pretty good.</v>
      </c>
    </row>
    <row r="365">
      <c r="A365" s="1">
        <v>5.0</v>
      </c>
      <c r="B365" s="1" t="s">
        <v>366</v>
      </c>
      <c r="C365" t="str">
        <f>IFERROR(__xludf.DUMMYFUNCTION("GOOGLETRANSLATE(B365, ""zh"", ""en"")"),"Taste good taste good, affordable, pot, packaging keep it fresh")</f>
        <v>Taste good taste good, affordable, pot, packaging keep it fresh</v>
      </c>
    </row>
    <row r="366">
      <c r="A366" s="1">
        <v>5.0</v>
      </c>
      <c r="B366" s="1" t="s">
        <v>367</v>
      </c>
      <c r="C366" t="str">
        <f>IFERROR(__xludf.DUMMYFUNCTION("GOOGLETRANSLATE(B366, ""zh"", ""en"")"),"Cost-effective choice for classic! Suitable thin wrist bands, women can also take three anti watch with them peace of mind.")</f>
        <v>Cost-effective choice for classic! Suitable thin wrist bands, women can also take three anti watch with them peace of mind.</v>
      </c>
    </row>
    <row r="367">
      <c r="A367" s="1">
        <v>5.0</v>
      </c>
      <c r="B367" s="1" t="s">
        <v>368</v>
      </c>
      <c r="C367" t="str">
        <f>IFERROR(__xludf.DUMMYFUNCTION("GOOGLETRANSLATE(B367, ""zh"", ""en"")"),"I bought a black good with clothes so comfortable, more comfortable than anything which Embry, would like to buy, but buy two additional styles of cups too thin, wear a bump, the other one that is not too large I bought a black personal good with clothes "&amp;"so comfortable, more comfortable than anything which Embry, would like to buy, but buy two additional styles of cups too thin, wear a bump, the other one is too large at all It does not close")</f>
        <v>I bought a black good with clothes so comfortable, more comfortable than anything which Embry, would like to buy, but buy two additional styles of cups too thin, wear a bump, the other one that is not too large I bought a black personal good with clothes so comfortable, more comfortable than anything which Embry, would like to buy, but buy two additional styles of cups too thin, wear a bump, the other one is too large at all It does not close</v>
      </c>
    </row>
    <row r="368">
      <c r="A368" s="1">
        <v>5.0</v>
      </c>
      <c r="B368" s="1" t="s">
        <v>369</v>
      </c>
      <c r="C368" t="str">
        <f>IFERROR(__xludf.DUMMYFUNCTION("GOOGLETRANSLATE(B368, ""zh"", ""en"")"),"If not special body, recommended that all summer to buy S code and the same type of shorts, shorts M can be, but not necessarily because of long trousers to wear M. El Salvador manufacturing, can still work, even if thicker then OK.")</f>
        <v>If not special body, recommended that all summer to buy S code and the same type of shorts, shorts M can be, but not necessarily because of long trousers to wear M. El Salvador manufacturing, can still work, even if thicker then OK.</v>
      </c>
    </row>
    <row r="369">
      <c r="A369" s="1">
        <v>5.0</v>
      </c>
      <c r="B369" s="1" t="s">
        <v>370</v>
      </c>
      <c r="C369" t="str">
        <f>IFERROR(__xludf.DUMMYFUNCTION("GOOGLETRANSLATE(B369, ""zh"", ""en"")"),"Good to wear shipped quickly, good to wear. It is suitable for Shanghai this cold weather.")</f>
        <v>Good to wear shipped quickly, good to wear. It is suitable for Shanghai this cold weather.</v>
      </c>
    </row>
    <row r="370">
      <c r="A370" s="1">
        <v>5.0</v>
      </c>
      <c r="B370" s="1" t="s">
        <v>371</v>
      </c>
      <c r="C370" t="str">
        <f>IFERROR(__xludf.DUMMYFUNCTION("GOOGLETRANSLATE(B370, ""zh"", ""en"")"),"Satisfaction with lightweight, good insulation effect, it should be genuine")</f>
        <v>Satisfaction with lightweight, good insulation effect, it should be genuine</v>
      </c>
    </row>
    <row r="371">
      <c r="A371" s="1">
        <v>5.0</v>
      </c>
      <c r="B371" s="1" t="s">
        <v>372</v>
      </c>
      <c r="C371" t="str">
        <f>IFERROR(__xludf.DUMMYFUNCTION("GOOGLETRANSLATE(B371, ""zh"", ""en"")"),"Water particularly fast, beautiful and generous style water particularly fast, beautiful and generous style")</f>
        <v>Water particularly fast, beautiful and generous style water particularly fast, beautiful and generous style</v>
      </c>
    </row>
    <row r="372">
      <c r="A372" s="1">
        <v>5.0</v>
      </c>
      <c r="B372" s="1" t="s">
        <v>373</v>
      </c>
      <c r="C372" t="str">
        <f>IFERROR(__xludf.DUMMYFUNCTION("GOOGLETRANSLATE(B372, ""zh"", ""en"")"),"Evaluation of clothes produced in China, exported to Japan better than other origins. Fabrics thick, good texture.")</f>
        <v>Evaluation of clothes produced in China, exported to Japan better than other origins. Fabrics thick, good texture.</v>
      </c>
    </row>
    <row r="373">
      <c r="A373" s="1">
        <v>5.0</v>
      </c>
      <c r="B373" s="1" t="s">
        <v>374</v>
      </c>
      <c r="C373" t="str">
        <f>IFERROR(__xludf.DUMMYFUNCTION("GOOGLETRANSLATE(B373, ""zh"", ""en"")"),"Nice nice cup")</f>
        <v>Nice nice cup</v>
      </c>
    </row>
    <row r="374">
      <c r="A374" s="1">
        <v>5.0</v>
      </c>
      <c r="B374" s="1" t="s">
        <v>375</v>
      </c>
      <c r="C374" t="str">
        <f>IFERROR(__xludf.DUMMYFUNCTION("GOOGLETRANSLATE(B374, ""zh"", ""en"")"),"Good to wear, heat this summer is no lightweight and comfortable, than another brand of good wear. you get what you pay for")</f>
        <v>Good to wear, heat this summer is no lightweight and comfortable, than another brand of good wear. you get what you pay for</v>
      </c>
    </row>
    <row r="375">
      <c r="A375" s="1">
        <v>5.0</v>
      </c>
      <c r="B375" s="1" t="s">
        <v>376</v>
      </c>
      <c r="C375" t="str">
        <f>IFERROR(__xludf.DUMMYFUNCTION("GOOGLETRANSLATE(B375, ""zh"", ""en"")"),"Worth buying the original product is good!")</f>
        <v>Worth buying the original product is good!</v>
      </c>
    </row>
    <row r="376">
      <c r="A376" s="1">
        <v>5.0</v>
      </c>
      <c r="B376" s="1" t="s">
        <v>377</v>
      </c>
      <c r="C376" t="str">
        <f>IFERROR(__xludf.DUMMYFUNCTION("GOOGLETRANSLATE(B376, ""zh"", ""en"")"),"174,71 kg wearing just good, very good quality.")</f>
        <v>174,71 kg wearing just good, very good quality.</v>
      </c>
    </row>
    <row r="377">
      <c r="A377" s="1">
        <v>5.0</v>
      </c>
      <c r="B377" s="1" t="s">
        <v>378</v>
      </c>
      <c r="C377" t="str">
        <f>IFERROR(__xludf.DUMMYFUNCTION("GOOGLETRANSLATE(B377, ""zh"", ""en"")"),"Canvas bag like work just fine in very good shape, over one hundred hand, cost-effective")</f>
        <v>Canvas bag like work just fine in very good shape, over one hundred hand, cost-effective</v>
      </c>
    </row>
    <row r="378">
      <c r="A378" s="1">
        <v>2.0</v>
      </c>
      <c r="B378" s="1" t="s">
        <v>379</v>
      </c>
      <c r="C378" t="str">
        <f>IFERROR(__xludf.DUMMYFUNCTION("GOOGLETRANSLATE(B378, ""zh"", ""en"")"),"Note: 173 buy M code can not wear not back! ! ! Plus twelve yards it a little at least two yards, to wear hanging 👕 count, right? Half the price of return shipping clothes, I can only put it up as a family heirloom collections")</f>
        <v>Note: 173 buy M code can not wear not back! ! ! Plus twelve yards it a little at least two yards, to wear hanging 👕 count, right? Half the price of return shipping clothes, I can only put it up as a family heirloom collections</v>
      </c>
    </row>
    <row r="379">
      <c r="A379" s="1">
        <v>3.0</v>
      </c>
      <c r="B379" s="1" t="s">
        <v>380</v>
      </c>
      <c r="C379" t="str">
        <f>IFERROR(__xludf.DUMMYFUNCTION("GOOGLETRANSLATE(B379, ""zh"", ""en"")"),"Life is short, easy to wear out is not suitable for sports wear, often off the headset, headphone cable also always running around ... the sound quality is good, Bluetooth connectivity quickly, but always felt that power very quickly, such as when chargin"&amp;"g always suddenly off, but soon that full power was not any electricity. .")</f>
        <v>Life is short, easy to wear out is not suitable for sports wear, often off the headset, headphone cable also always running around ... the sound quality is good, Bluetooth connectivity quickly, but always felt that power very quickly, such as when charging always suddenly off, but soon that full power was not any electricity. .</v>
      </c>
    </row>
    <row r="380">
      <c r="A380" s="1">
        <v>3.0</v>
      </c>
      <c r="B380" s="1" t="s">
        <v>381</v>
      </c>
      <c r="C380" t="str">
        <f>IFERROR(__xludf.DUMMYFUNCTION("GOOGLETRANSLATE(B380, ""zh"", ""en"")"),"Usually wear XL code, L code the shot right size, but three garment sizes, too large gray, black small size usually wear L code XL code, just the shot, not just three garment sizes First, the gray is too large, too small black")</f>
        <v>Usually wear XL code, L code the shot right size, but three garment sizes, too large gray, black small size usually wear L code XL code, just the shot, not just three garment sizes First, the gray is too large, too small black</v>
      </c>
    </row>
    <row r="381">
      <c r="A381" s="1">
        <v>1.0</v>
      </c>
      <c r="B381" s="1" t="s">
        <v>382</v>
      </c>
      <c r="C381" t="str">
        <f>IFERROR(__xludf.DUMMYFUNCTION("GOOGLETRANSLATE(B381, ""zh"", ""en"")"),"Packaging protection protective packaging bad bad! Send over is bad")</f>
        <v>Packaging protection protective packaging bad bad! Send over is bad</v>
      </c>
    </row>
    <row r="382">
      <c r="A382" s="1">
        <v>1.0</v>
      </c>
      <c r="B382" s="1" t="s">
        <v>383</v>
      </c>
      <c r="C382" t="str">
        <f>IFERROR(__xludf.DUMMYFUNCTION("GOOGLETRANSLATE(B382, ""zh"", ""en"")"),"Ask butterfly stick stirring rod actually broken, there is no recipe how to ask with no instructions in Chinese, does not know how to use, can be cooking it?")</f>
        <v>Ask butterfly stick stirring rod actually broken, there is no recipe how to ask with no instructions in Chinese, does not know how to use, can be cooking it?</v>
      </c>
    </row>
    <row r="383">
      <c r="A383" s="1">
        <v>1.0</v>
      </c>
      <c r="B383" s="1" t="s">
        <v>384</v>
      </c>
      <c r="C383" t="str">
        <f>IFERROR(__xludf.DUMMYFUNCTION("GOOGLETRANSLATE(B383, ""zh"", ""en"")"),"Pour poor design is not good, when the water will pour out from the slot cover.")</f>
        <v>Pour poor design is not good, when the water will pour out from the slot cover.</v>
      </c>
    </row>
    <row r="384">
      <c r="A384" s="1">
        <v>4.0</v>
      </c>
      <c r="B384" s="1" t="s">
        <v>385</v>
      </c>
      <c r="C384" t="str">
        <f>IFERROR(__xludf.DUMMYFUNCTION("GOOGLETRANSLATE(B384, ""zh"", ""en"")"),"lee family size difference is too great, wonder whether the product is genuine lee family size difference is too great, suspect is not genuine, as well as the leakage of bad holes")</f>
        <v>lee family size difference is too great, wonder whether the product is genuine lee family size difference is too great, suspect is not genuine, as well as the leakage of bad holes</v>
      </c>
    </row>
    <row r="385">
      <c r="A385" s="1">
        <v>4.0</v>
      </c>
      <c r="B385" s="1" t="s">
        <v>386</v>
      </c>
      <c r="C385" t="str">
        <f>IFERROR(__xludf.DUMMYFUNCTION("GOOGLETRANSLATE(B385, ""zh"", ""en"")"),"Hard soles soles hard, too thin, did not think so warm, the right size, because it is a high state of shoes, get to wear more strenuous, it is recommended to buy a number more than half, and then a warm pad insole")</f>
        <v>Hard soles soles hard, too thin, did not think so warm, the right size, because it is a high state of shoes, get to wear more strenuous, it is recommended to buy a number more than half, and then a warm pad insole</v>
      </c>
    </row>
    <row r="386">
      <c r="A386" s="1">
        <v>4.0</v>
      </c>
      <c r="B386" s="1" t="s">
        <v>387</v>
      </c>
      <c r="C386" t="str">
        <f>IFERROR(__xludf.DUMMYFUNCTION("GOOGLETRANSLATE(B386, ""zh"", ""en"")"),"Scratched belt head with multiple scratches, work in general, than the domestic counter price advantage, but also domestic production, shipments abroad")</f>
        <v>Scratched belt head with multiple scratches, work in general, than the domestic counter price advantage, but also domestic production, shipments abroad</v>
      </c>
    </row>
    <row r="387">
      <c r="A387" s="1">
        <v>4.0</v>
      </c>
      <c r="B387" s="1" t="s">
        <v>388</v>
      </c>
      <c r="C387" t="str">
        <f>IFERROR(__xludf.DUMMYFUNCTION("GOOGLETRANSLATE(B387, ""zh"", ""en"")"),"Clothes of good quality clothes a little short, but long sleeves, short clothes, the right shoulder, whole can, but not to wear it cut prices over 50 dollars.")</f>
        <v>Clothes of good quality clothes a little short, but long sleeves, short clothes, the right shoulder, whole can, but not to wear it cut prices over 50 dollars.</v>
      </c>
    </row>
    <row r="388">
      <c r="A388" s="1">
        <v>4.0</v>
      </c>
      <c r="B388" s="1" t="s">
        <v>389</v>
      </c>
      <c r="C388" t="str">
        <f>IFERROR(__xludf.DUMMYFUNCTION("GOOGLETRANSLATE(B388, ""zh"", ""en"")"),"No. 162 110 S Summer thin section suitable wear suitable number 162 110 S suitable thin section suitable spring and summer wear, but the quality is very general sale process is satisfied Amazon")</f>
        <v>No. 162 110 S Summer thin section suitable wear suitable number 162 110 S suitable thin section suitable spring and summer wear, but the quality is very general sale process is satisfied Amazon</v>
      </c>
    </row>
    <row r="389">
      <c r="A389" s="1">
        <v>5.0</v>
      </c>
      <c r="B389" s="1" t="s">
        <v>390</v>
      </c>
      <c r="C389" t="str">
        <f>IFERROR(__xludf.DUMMYFUNCTION("GOOGLETRANSLATE(B389, ""zh"", ""en"")"),"Yes I waited 10 days, and finally at hand, solar, wave, not bad experience")</f>
        <v>Yes I waited 10 days, and finally at hand, solar, wave, not bad experience</v>
      </c>
    </row>
    <row r="390">
      <c r="A390" s="1">
        <v>5.0</v>
      </c>
      <c r="B390" s="1" t="s">
        <v>391</v>
      </c>
      <c r="C390" t="str">
        <f>IFERROR(__xludf.DUMMYFUNCTION("GOOGLETRANSLATE(B390, ""zh"", ""en"")"),"Genuine good writing! Packaging and quality are good, compare and buy the other places, this genuine!")</f>
        <v>Genuine good writing! Packaging and quality are good, compare and buy the other places, this genuine!</v>
      </c>
    </row>
    <row r="391">
      <c r="A391" s="1">
        <v>5.0</v>
      </c>
      <c r="B391" s="1" t="s">
        <v>392</v>
      </c>
      <c r="C391" t="str">
        <f>IFERROR(__xludf.DUMMYFUNCTION("GOOGLETRANSLATE(B391, ""zh"", ""en"")"),"Quality can be quality can be, it is to buy more")</f>
        <v>Quality can be quality can be, it is to buy more</v>
      </c>
    </row>
    <row r="392">
      <c r="A392" s="1">
        <v>5.0</v>
      </c>
      <c r="B392" s="1" t="s">
        <v>393</v>
      </c>
      <c r="C392" t="str">
        <f>IFERROR(__xludf.DUMMYFUNCTION("GOOGLETRANSLATE(B392, ""zh"", ""en"")"),"Comfortable fit 183cm74kg, size just right")</f>
        <v>Comfortable fit 183cm74kg, size just right</v>
      </c>
    </row>
    <row r="393">
      <c r="A393" s="1">
        <v>5.0</v>
      </c>
      <c r="B393" s="1" t="s">
        <v>394</v>
      </c>
      <c r="C393" t="str">
        <f>IFERROR(__xludf.DUMMYFUNCTION("GOOGLETRANSLATE(B393, ""zh"", ""en"")"),"The right size, the version is quite satisfactory. The right size, the version is quite satisfactory, with up good.")</f>
        <v>The right size, the version is quite satisfactory. The right size, the version is quite satisfactory, with up good.</v>
      </c>
    </row>
    <row r="394">
      <c r="A394" s="1">
        <v>5.0</v>
      </c>
      <c r="B394" s="1" t="s">
        <v>395</v>
      </c>
      <c r="C394" t="str">
        <f>IFERROR(__xludf.DUMMYFUNCTION("GOOGLETRANSLATE(B394, ""zh"", ""en"")"),"Amazon shipped to land transport to the headquarters of the Netherlands was full and easy to delay for a week and a half, was full receipt from easy to domestic SF Express actually only took two days. Foreign adults work do not fly ah dial girls can hold "&amp;"live, my first feeling a little small, but looks good ah ha ha ha ha, very good.")</f>
        <v>Amazon shipped to land transport to the headquarters of the Netherlands was full and easy to delay for a week and a half, was full receipt from easy to domestic SF Express actually only took two days. Foreign adults work do not fly ah dial girls can hold live, my first feeling a little small, but looks good ah ha ha ha ha, very good.</v>
      </c>
    </row>
    <row r="395">
      <c r="A395" s="1">
        <v>5.0</v>
      </c>
      <c r="B395" s="1" t="s">
        <v>396</v>
      </c>
      <c r="C395" t="str">
        <f>IFERROR(__xludf.DUMMYFUNCTION("GOOGLETRANSLATE(B395, ""zh"", ""en"")"),"Strong demand for the cap and connecting portion Yuesao bottle tightly closed, confirm the need")</f>
        <v>Strong demand for the cap and connecting portion Yuesao bottle tightly closed, confirm the need</v>
      </c>
    </row>
    <row r="396">
      <c r="A396" s="1">
        <v>5.0</v>
      </c>
      <c r="B396" s="1" t="s">
        <v>397</v>
      </c>
      <c r="C396" t="str">
        <f>IFERROR(__xludf.DUMMYFUNCTION("GOOGLETRANSLATE(B396, ""zh"", ""en"")"),"Okay quality is very good, genuine, just missed some simple packaging, only one transparent plastic bags come")</f>
        <v>Okay quality is very good, genuine, just missed some simple packaging, only one transparent plastic bags come</v>
      </c>
    </row>
    <row r="397">
      <c r="A397" s="1">
        <v>5.0</v>
      </c>
      <c r="B397" s="1" t="s">
        <v>398</v>
      </c>
      <c r="C397" t="str">
        <f>IFERROR(__xludf.DUMMYFUNCTION("GOOGLETRANSLATE(B397, ""zh"", ""en"")"),"Very good waist fit, comfort is also good, that is, long pants too long. Buy a pair of pants for nearly a month, Intuit long. Of course, the price is good.")</f>
        <v>Very good waist fit, comfort is also good, that is, long pants too long. Buy a pair of pants for nearly a month, Intuit long. Of course, the price is good.</v>
      </c>
    </row>
    <row r="398">
      <c r="A398" s="1">
        <v>5.0</v>
      </c>
      <c r="B398" s="1" t="s">
        <v>399</v>
      </c>
      <c r="C398" t="str">
        <f>IFERROR(__xludf.DUMMYFUNCTION("GOOGLETRANSLATE(B398, ""zh"", ""en"")"),"Very satisfied with the shopping experience very satisfied, 26.5 waist 32 * 30 just the right domestic pants are generally 32 * 32, had bought a short cut, this is perfect!")</f>
        <v>Very satisfied with the shopping experience very satisfied, 26.5 waist 32 * 30 just the right domestic pants are generally 32 * 32, had bought a short cut, this is perfect!</v>
      </c>
    </row>
    <row r="399">
      <c r="A399" s="1">
        <v>5.0</v>
      </c>
      <c r="B399" s="1" t="s">
        <v>400</v>
      </c>
      <c r="C399" t="str">
        <f>IFERROR(__xludf.DUMMYFUNCTION("GOOGLETRANSLATE(B399, ""zh"", ""en"")"),"Cotton, cotton T-shirt is a shirt, no problems")</f>
        <v>Cotton, cotton T-shirt is a shirt, no problems</v>
      </c>
    </row>
    <row r="400">
      <c r="A400" s="1">
        <v>5.0</v>
      </c>
      <c r="B400" s="1" t="s">
        <v>401</v>
      </c>
      <c r="C400" t="str">
        <f>IFERROR(__xludf.DUMMYFUNCTION("GOOGLETRANSLATE(B400, ""zh"", ""en"")"),"Satisfaction is the jacket thin section - flexible, soft texture to 170 to 110 pounds just s")</f>
        <v>Satisfaction is the jacket thin section - flexible, soft texture to 170 to 110 pounds just s</v>
      </c>
    </row>
    <row r="401">
      <c r="A401" s="1">
        <v>5.0</v>
      </c>
      <c r="B401" s="1" t="s">
        <v>402</v>
      </c>
      <c r="C401" t="str">
        <f>IFERROR(__xludf.DUMMYFUNCTION("GOOGLETRANSLATE(B401, ""zh"", ""en"")"),"Spike to, Value contrast a bit, almost the lowest start. Prior to collect too much information, at first a little worried about instability will actually use and do not have this problem. After the computer is changed to the high-capacity solid state, pro"&amp;"duction and export of design information has increased dramatically.")</f>
        <v>Spike to, Value contrast a bit, almost the lowest start. Prior to collect too much information, at first a little worried about instability will actually use and do not have this problem. After the computer is changed to the high-capacity solid state, production and export of design information has increased dramatically.</v>
      </c>
    </row>
    <row r="402">
      <c r="A402" s="1">
        <v>5.0</v>
      </c>
      <c r="B402" s="1" t="s">
        <v>403</v>
      </c>
      <c r="C402" t="str">
        <f>IFERROR(__xludf.DUMMYFUNCTION("GOOGLETRANSLATE(B402, ""zh"", ""en"")"),"👍 pants good right size (height 172/80 kg body weight, waist 88 to buy 34/30), feeling worn out 25 degrees when the outside is not very breathable! Pants good! Work alternative work pants feeling is very appropriate!")</f>
        <v>👍 pants good right size (height 172/80 kg body weight, waist 88 to buy 34/30), feeling worn out 25 degrees when the outside is not very breathable! Pants good! Work alternative work pants feeling is very appropriate!</v>
      </c>
    </row>
    <row r="403">
      <c r="A403" s="1">
        <v>5.0</v>
      </c>
      <c r="B403" s="1" t="s">
        <v>404</v>
      </c>
      <c r="C403" t="str">
        <f>IFERROR(__xludf.DUMMYFUNCTION("GOOGLETRANSLATE(B403, ""zh"", ""en"")"),"Best bought underwear 172.5cm / 75kgs, fitness, waist circumference 80cm, just right. Excellent breathability and sweat absorbability, good encapsulated, usually wearing fitness tilapia.")</f>
        <v>Best bought underwear 172.5cm / 75kgs, fitness, waist circumference 80cm, just right. Excellent breathability and sweat absorbability, good encapsulated, usually wearing fitness tilapia.</v>
      </c>
    </row>
    <row r="404">
      <c r="A404" s="1">
        <v>5.0</v>
      </c>
      <c r="B404" s="1" t="s">
        <v>405</v>
      </c>
      <c r="C404" t="str">
        <f>IFERROR(__xludf.DUMMYFUNCTION("GOOGLETRANSLATE(B404, ""zh"", ""en"")"),"Soft fabric feels a bit thin")</f>
        <v>Soft fabric feels a bit thin</v>
      </c>
    </row>
    <row r="405">
      <c r="A405" s="1">
        <v>5.0</v>
      </c>
      <c r="B405" s="1" t="s">
        <v>406</v>
      </c>
      <c r="C405" t="str">
        <f>IFERROR(__xludf.DUMMYFUNCTION("GOOGLETRANSLATE(B405, ""zh"", ""en"")"),"Glass bottle fell two favorite, and Pigeon glass bottle feels feel good, the baby was born to now has been this. .")</f>
        <v>Glass bottle fell two favorite, and Pigeon glass bottle feels feel good, the baby was born to now has been this. .</v>
      </c>
    </row>
    <row r="406">
      <c r="A406" s="1">
        <v>5.0</v>
      </c>
      <c r="B406" s="1" t="s">
        <v>407</v>
      </c>
      <c r="C406" t="str">
        <f>IFERROR(__xludf.DUMMYFUNCTION("GOOGLETRANSLATE(B406, ""zh"", ""en"")"),"Good shopping experience version good, very fit")</f>
        <v>Good shopping experience version good, very fit</v>
      </c>
    </row>
    <row r="407">
      <c r="A407" s="1">
        <v>5.0</v>
      </c>
      <c r="B407" s="1" t="s">
        <v>408</v>
      </c>
      <c r="C407" t="str">
        <f>IFERROR(__xludf.DUMMYFUNCTION("GOOGLETRANSLATE(B407, ""zh"", ""en"")"),"Good good. I bought the L 183,70 fundamental right, slightly loose. I just point than the fat. I am also satisfied with the material")</f>
        <v>Good good. I bought the L 183,70 fundamental right, slightly loose. I just point than the fat. I am also satisfied with the material</v>
      </c>
    </row>
    <row r="408">
      <c r="A408" s="1">
        <v>5.0</v>
      </c>
      <c r="B408" s="1" t="s">
        <v>409</v>
      </c>
      <c r="C408" t="str">
        <f>IFERROR(__xludf.DUMMYFUNCTION("GOOGLETRANSLATE(B408, ""zh"", ""en"")"),"very good very good")</f>
        <v>very good very good</v>
      </c>
    </row>
    <row r="409">
      <c r="A409" s="1">
        <v>5.0</v>
      </c>
      <c r="B409" s="1" t="s">
        <v>410</v>
      </c>
      <c r="C409" t="str">
        <f>IFERROR(__xludf.DUMMYFUNCTION("GOOGLETRANSLATE(B409, ""zh"", ""en"")"),"Amazon Japan direct mail is praise! Personal version, the fabric is thin, suitable for spring day wear, bargain price!")</f>
        <v>Amazon Japan direct mail is praise! Personal version, the fabric is thin, suitable for spring day wear, bargain price!</v>
      </c>
    </row>
    <row r="410">
      <c r="A410" s="1">
        <v>5.0</v>
      </c>
      <c r="B410" s="1" t="s">
        <v>411</v>
      </c>
      <c r="C410" t="str">
        <f>IFERROR(__xludf.DUMMYFUNCTION("GOOGLETRANSLATE(B410, ""zh"", ""en"")"),"Good quality with half a month, has not appeared scale. I do not know Zeyang later")</f>
        <v>Good quality with half a month, has not appeared scale. I do not know Zeyang later</v>
      </c>
    </row>
    <row r="411">
      <c r="A411" s="1">
        <v>2.0</v>
      </c>
      <c r="B411" s="1" t="s">
        <v>412</v>
      </c>
      <c r="C411" t="str">
        <f>IFERROR(__xludf.DUMMYFUNCTION("GOOGLETRANSLATE(B411, ""zh"", ""en"")"),"Relatively thin thin high thermal coefficient is not better to buy small domestic brands more cost-effective")</f>
        <v>Relatively thin thin high thermal coefficient is not better to buy small domestic brands more cost-effective</v>
      </c>
    </row>
    <row r="412">
      <c r="A412" s="1">
        <v>3.0</v>
      </c>
      <c r="B412" s="1" t="s">
        <v>413</v>
      </c>
      <c r="C412" t="str">
        <f>IFERROR(__xludf.DUMMYFUNCTION("GOOGLETRANSLATE(B412, ""zh"", ""en"")"),"Good quality, not suddenly rang ... embarrassed to buy back less than a month, the right does not ring! K702 is studied under the seemingly common problem. So what are sound ... not to mention the embarrassment, Prime three years, for the first time retur"&amp;"n")</f>
        <v>Good quality, not suddenly rang ... embarrassed to buy back less than a month, the right does not ring! K702 is studied under the seemingly common problem. So what are sound ... not to mention the embarrassment, Prime three years, for the first time return</v>
      </c>
    </row>
    <row r="413">
      <c r="A413" s="1">
        <v>3.0</v>
      </c>
      <c r="B413" s="1" t="s">
        <v>414</v>
      </c>
      <c r="C413" t="str">
        <f>IFERROR(__xludf.DUMMYFUNCTION("GOOGLETRANSLATE(B413, ""zh"", ""en"")"),"Generally not very thin, soft type, the focus is too large a lot, usually all kinds of brand sports wear M or L, that serious doubts have even wear S surplus. US version is really hard to describe")</f>
        <v>Generally not very thin, soft type, the focus is too large a lot, usually all kinds of brand sports wear M or L, that serious doubts have even wear S surplus. US version is really hard to describe</v>
      </c>
    </row>
    <row r="414">
      <c r="A414" s="1">
        <v>3.0</v>
      </c>
      <c r="B414" s="1" t="s">
        <v>415</v>
      </c>
      <c r="C414" t="str">
        <f>IFERROR(__xludf.DUMMYFUNCTION("GOOGLETRANSLATE(B414, ""zh"", ""en"")"),"Ummm ... pure hip hip shaping buy or fitness shaping proved useful 😩")</f>
        <v>Ummm ... pure hip hip shaping buy or fitness shaping proved useful 😩</v>
      </c>
    </row>
    <row r="415">
      <c r="A415" s="1">
        <v>1.0</v>
      </c>
      <c r="B415" s="1" t="s">
        <v>416</v>
      </c>
      <c r="C415" t="str">
        <f>IFERROR(__xludf.DUMMYFUNCTION("GOOGLETRANSLATE(B415, ""zh"", ""en"")"),"The wrong goods Brother, you sent the wrong goods, and made two backpacks, help me to contact that person to buy a backpack")</f>
        <v>The wrong goods Brother, you sent the wrong goods, and made two backpacks, help me to contact that person to buy a backpack</v>
      </c>
    </row>
    <row r="416">
      <c r="A416" s="1">
        <v>1.0</v>
      </c>
      <c r="B416" s="1" t="s">
        <v>417</v>
      </c>
      <c r="C416" t="str">
        <f>IFERROR(__xludf.DUMMYFUNCTION("GOOGLETRANSLATE(B416, ""zh"", ""en"")"),"A whole completely different codons wrong wrong one yards, wear body was found, presumably there is no way a replacement. Careless of it. You can only buy the. I hope not to send wrong!")</f>
        <v>A whole completely different codons wrong wrong one yards, wear body was found, presumably there is no way a replacement. Careless of it. You can only buy the. I hope not to send wrong!</v>
      </c>
    </row>
    <row r="417">
      <c r="A417" s="1">
        <v>4.0</v>
      </c>
      <c r="B417" s="1" t="s">
        <v>418</v>
      </c>
      <c r="C417" t="str">
        <f>IFERROR(__xludf.DUMMYFUNCTION("GOOGLETRANSLATE(B417, ""zh"", ""en"")"),"The price is right too thin, but the price is right")</f>
        <v>The price is right too thin, but the price is right</v>
      </c>
    </row>
    <row r="418">
      <c r="A418" s="1">
        <v>4.0</v>
      </c>
      <c r="B418" s="1" t="s">
        <v>419</v>
      </c>
      <c r="C418" t="str">
        <f>IFERROR(__xludf.DUMMYFUNCTION("GOOGLETRANSLATE(B418, ""zh"", ""en"")"),"It can also bigger than expected")</f>
        <v>It can also bigger than expected</v>
      </c>
    </row>
    <row r="419">
      <c r="A419" s="1">
        <v>4.0</v>
      </c>
      <c r="B419" s="1" t="s">
        <v>420</v>
      </c>
      <c r="C419" t="str">
        <f>IFERROR(__xludf.DUMMYFUNCTION("GOOGLETRANSLATE(B419, ""zh"", ""en"")"),"Belt as good quality jeans belt narrower point. As Lee brand jeans 28 appears sprinkling.")</f>
        <v>Belt as good quality jeans belt narrower point. As Lee brand jeans 28 appears sprinkling.</v>
      </c>
    </row>
    <row r="420">
      <c r="A420" s="1">
        <v>4.0</v>
      </c>
      <c r="B420" s="1" t="s">
        <v>421</v>
      </c>
      <c r="C420" t="str">
        <f>IFERROR(__xludf.DUMMYFUNCTION("GOOGLETRANSLATE(B420, ""zh"", ""en"")"),"Cost can stretch trousers constriction fabric soft enough, some access control Alice. Comfort is good, in general, cost can be.")</f>
        <v>Cost can stretch trousers constriction fabric soft enough, some access control Alice. Comfort is good, in general, cost can be.</v>
      </c>
    </row>
    <row r="421">
      <c r="A421" s="1">
        <v>4.0</v>
      </c>
      <c r="B421" s="1" t="s">
        <v>422</v>
      </c>
      <c r="C421" t="str">
        <f>IFERROR(__xludf.DUMMYFUNCTION("GOOGLETRANSLATE(B421, ""zh"", ""en"")"),"Received a pretty hard thing, still in the trial, a lot thicker than the 2t. Domestic courier companies is not good cooperation, we should be on the Amazon site can query to transport domestic courier company name and order number")</f>
        <v>Received a pretty hard thing, still in the trial, a lot thicker than the 2t. Domestic courier companies is not good cooperation, we should be on the Amazon site can query to transport domestic courier company name and order number</v>
      </c>
    </row>
    <row r="422">
      <c r="A422" s="1">
        <v>5.0</v>
      </c>
      <c r="B422" s="1" t="s">
        <v>423</v>
      </c>
      <c r="C422" t="str">
        <f>IFERROR(__xludf.DUMMYFUNCTION("GOOGLETRANSLATE(B422, ""zh"", ""en"")"),"Very good quality, value for money. Very good quality, value for money.")</f>
        <v>Very good quality, value for money. Very good quality, value for money.</v>
      </c>
    </row>
    <row r="423">
      <c r="A423" s="1">
        <v>5.0</v>
      </c>
      <c r="B423" s="1" t="s">
        <v>424</v>
      </c>
      <c r="C423" t="str">
        <f>IFERROR(__xludf.DUMMYFUNCTION("GOOGLETRANSLATE(B423, ""zh"", ""en"")"),"Good design, light weight is very light, very good seal, opening the lid and a small lock, the design is really good. When domestics can do so hard enough.")</f>
        <v>Good design, light weight is very light, very good seal, opening the lid and a small lock, the design is really good. When domestics can do so hard enough.</v>
      </c>
    </row>
    <row r="424">
      <c r="A424" s="1">
        <v>5.0</v>
      </c>
      <c r="B424" s="1" t="s">
        <v>425</v>
      </c>
      <c r="C424" t="str">
        <f>IFERROR(__xludf.DUMMYFUNCTION("GOOGLETRANSLATE(B424, ""zh"", ""en"")"),"Suitable high cost, height 170, weight 125, S number of long sleeves that other suitable")</f>
        <v>Suitable high cost, height 170, weight 125, S number of long sleeves that other suitable</v>
      </c>
    </row>
    <row r="425">
      <c r="A425" s="1">
        <v>5.0</v>
      </c>
      <c r="B425" s="1" t="s">
        <v>426</v>
      </c>
      <c r="C425" t="str">
        <f>IFERROR(__xludf.DUMMYFUNCTION("GOOGLETRANSLATE(B425, ""zh"", ""en"")"),"Price stores like 3399, 1200 get a discount here after the election has been concerned about the shoe, but no high-Harrier that paragraph, would have been in a fancy shop that section of shoes, but this is also satisfied.")</f>
        <v>Price stores like 3399, 1200 get a discount here after the election has been concerned about the shoe, but no high-Harrier that paragraph, would have been in a fancy shop that section of shoes, but this is also satisfied.</v>
      </c>
    </row>
    <row r="426">
      <c r="A426" s="1">
        <v>5.0</v>
      </c>
      <c r="B426" s="1" t="s">
        <v>427</v>
      </c>
      <c r="C426" t="str">
        <f>IFERROR(__xludf.DUMMYFUNCTION("GOOGLETRANSLATE(B426, ""zh"", ""en"")"),"180 / 92A is small size of UA loose version (LOOSE) GOLF POLO shirt, I purchased a small 180 / 92A happen. Amazon size chart completely wrong.")</f>
        <v>180 / 92A is small size of UA loose version (LOOSE) GOLF POLO shirt, I purchased a small 180 / 92A happen. Amazon size chart completely wrong.</v>
      </c>
    </row>
    <row r="427">
      <c r="A427" s="1">
        <v>5.0</v>
      </c>
      <c r="B427" s="1" t="s">
        <v>428</v>
      </c>
      <c r="C427" t="str">
        <f>IFERROR(__xludf.DUMMYFUNCTION("GOOGLETRANSLATE(B427, ""zh"", ""en"")"),"From almost perfect to put on some clothes look good, thin, fabric is also very good, fly in the ointment is lined with nylon collar edge, allergies, ah, ah allergy")</f>
        <v>From almost perfect to put on some clothes look good, thin, fabric is also very good, fly in the ointment is lined with nylon collar edge, allergies, ah, ah allergy</v>
      </c>
    </row>
    <row r="428">
      <c r="A428" s="1">
        <v>5.0</v>
      </c>
      <c r="B428" s="1" t="s">
        <v>429</v>
      </c>
      <c r="C428" t="str">
        <f>IFERROR(__xludf.DUMMYFUNCTION("GOOGLETRANSLATE(B428, ""zh"", ""en"")"),"To fit behind a sibling reference, height 168 weight 60, buy S code, the wear round little loose sleeves slightly longer message.")</f>
        <v>To fit behind a sibling reference, height 168 weight 60, buy S code, the wear round little loose sleeves slightly longer message.</v>
      </c>
    </row>
    <row r="429">
      <c r="A429" s="1">
        <v>5.0</v>
      </c>
      <c r="B429" s="1" t="s">
        <v>430</v>
      </c>
      <c r="C429" t="str">
        <f>IFERROR(__xludf.DUMMYFUNCTION("GOOGLETRANSLATE(B429, ""zh"", ""en"")"),"Cheaper than a treasure, but also fidelity! awesome! AIU direct mail, cheaper than a treasure ... but also fidelity, very good!")</f>
        <v>Cheaper than a treasure, but also fidelity! awesome! AIU direct mail, cheaper than a treasure ... but also fidelity, very good!</v>
      </c>
    </row>
    <row r="430">
      <c r="A430" s="1">
        <v>5.0</v>
      </c>
      <c r="B430" s="1" t="s">
        <v>431</v>
      </c>
      <c r="C430" t="str">
        <f>IFERROR(__xludf.DUMMYFUNCTION("GOOGLETRANSLATE(B430, ""zh"", ""en"")"),"Size 178cm, 90kg.W36L32 very fit, fabric is also comfortable.")</f>
        <v>Size 178cm, 90kg.W36L32 very fit, fabric is also comfortable.</v>
      </c>
    </row>
    <row r="431">
      <c r="A431" s="1">
        <v>5.0</v>
      </c>
      <c r="B431" s="1" t="s">
        <v>432</v>
      </c>
      <c r="C431" t="str">
        <f>IFERROR(__xludf.DUMMYFUNCTION("GOOGLETRANSLATE(B431, ""zh"", ""en"")"),"Cheap, logistics speed is acceptable. With other electricity suppliers in paragraph 150 above, purchased after his wife told friends feel very atmospheric, with the hope that battery for a long time, then the comparison value. Talk about, watch dial is no"&amp;"t scratch-resistant glass, to buy friends need to pay attention.")</f>
        <v>Cheap, logistics speed is acceptable. With other electricity suppliers in paragraph 150 above, purchased after his wife told friends feel very atmospheric, with the hope that battery for a long time, then the comparison value. Talk about, watch dial is not scratch-resistant glass, to buy friends need to pay attention.</v>
      </c>
    </row>
    <row r="432">
      <c r="A432" s="1">
        <v>5.0</v>
      </c>
      <c r="B432" s="1" t="s">
        <v>433</v>
      </c>
      <c r="C432" t="str">
        <f>IFERROR(__xludf.DUMMYFUNCTION("GOOGLETRANSLATE(B432, ""zh"", ""en"")"),"Product quality and worrying that says 10-year battery, this more than two years no electricity.")</f>
        <v>Product quality and worrying that says 10-year battery, this more than two years no electricity.</v>
      </c>
    </row>
    <row r="433">
      <c r="A433" s="1">
        <v>5.0</v>
      </c>
      <c r="B433" s="1" t="s">
        <v>434</v>
      </c>
      <c r="C433" t="str">
        <f>IFERROR(__xludf.DUMMYFUNCTION("GOOGLETRANSLATE(B433, ""zh"", ""en"")"),"Just to start, I feel pretty good, although there is no more Dafa black &amp; black, but wins in the lightweight shape is more accepted, not feel chuck, earmuffs very soft, tri-band more balanced. Note that the new headset automatically pair the first device "&amp;"is very fast, we need to press mode button for about four seconds when paired second device, the noise reduction effect personally feel good. Dafa mainly black not in stock, gold shot is not dirt, even more afraid of tens of grams heavier, better noise re"&amp;"duction is said, I believe is a good choice. There are m friends alike, LD, one Taiwan, listen to their own one :)")</f>
        <v>Just to start, I feel pretty good, although there is no more Dafa black &amp; black, but wins in the lightweight shape is more accepted, not feel chuck, earmuffs very soft, tri-band more balanced. Note that the new headset automatically pair the first device is very fast, we need to press mode button for about four seconds when paired second device, the noise reduction effect personally feel good. Dafa mainly black not in stock, gold shot is not dirt, even more afraid of tens of grams heavier, better noise reduction is said, I believe is a good choice. There are m friends alike, LD, one Taiwan, listen to their own one :)</v>
      </c>
    </row>
    <row r="434">
      <c r="A434" s="1">
        <v>5.0</v>
      </c>
      <c r="B434" s="1" t="s">
        <v>435</v>
      </c>
      <c r="C434" t="str">
        <f>IFERROR(__xludf.DUMMYFUNCTION("GOOGLETRANSLATE(B434, ""zh"", ""en"")"),"Good merchandise right size, good quality!")</f>
        <v>Good merchandise right size, good quality!</v>
      </c>
    </row>
    <row r="435">
      <c r="A435" s="1">
        <v>5.0</v>
      </c>
      <c r="B435" s="1" t="s">
        <v>436</v>
      </c>
      <c r="C435" t="str">
        <f>IFERROR(__xludf.DUMMYFUNCTION("GOOGLETRANSLATE(B435, ""zh"", ""en"")"),"Buy freshman yards soft leather, very comfortable buying freshman code")</f>
        <v>Buy freshman yards soft leather, very comfortable buying freshman code</v>
      </c>
    </row>
    <row r="436">
      <c r="A436" s="1">
        <v>5.0</v>
      </c>
      <c r="B436" s="1" t="s">
        <v>437</v>
      </c>
      <c r="C436" t="str">
        <f>IFERROR(__xludf.DUMMYFUNCTION("GOOGLETRANSLATE(B436, ""zh"", ""en"")"),"Comfortable and very light and comfortable. Shoes are nice. I usually wear shoes 43 yards, Clarks shoes are generally larger half a yard, so bought 8.5, the right size")</f>
        <v>Comfortable and very light and comfortable. Shoes are nice. I usually wear shoes 43 yards, Clarks shoes are generally larger half a yard, so bought 8.5, the right size</v>
      </c>
    </row>
    <row r="437">
      <c r="A437" s="1">
        <v>5.0</v>
      </c>
      <c r="B437" s="1" t="s">
        <v>438</v>
      </c>
      <c r="C437" t="str">
        <f>IFERROR(__xludf.DUMMYFUNCTION("GOOGLETRANSLATE(B437, ""zh"", ""en"")"),"❤ like to test the sound quality is very good.")</f>
        <v>❤ like to test the sound quality is very good.</v>
      </c>
    </row>
    <row r="438">
      <c r="A438" s="1">
        <v>5.0</v>
      </c>
      <c r="B438" s="1" t="s">
        <v>439</v>
      </c>
      <c r="C438" t="str">
        <f>IFERROR(__xludf.DUMMYFUNCTION("GOOGLETRANSLATE(B438, ""zh"", ""en"")"),"I played high price is a thousand dollars less a most cost-effective, of course, the brand may not have enough contact with me, then the view may not, but the absolute listening to music with headphones on its price, but possible sale not licensed good. A"&amp;"mazon SF Express domestic use, very fast and good, is shipping a little crease in the box, give it away difficult to read.")</f>
        <v>I played high price is a thousand dollars less a most cost-effective, of course, the brand may not have enough contact with me, then the view may not, but the absolute listening to music with headphones on its price, but possible sale not licensed good. Amazon SF Express domestic use, very fast and good, is shipping a little crease in the box, give it away difficult to read.</v>
      </c>
    </row>
    <row r="439">
      <c r="A439" s="1">
        <v>5.0</v>
      </c>
      <c r="B439" s="1" t="s">
        <v>440</v>
      </c>
      <c r="C439" t="str">
        <f>IFERROR(__xludf.DUMMYFUNCTION("GOOGLETRANSLATE(B439, ""zh"", ""en"")"),"Value for money! The sound field is large, and some can even feel the sound coming from behind. Sound quality is also good.")</f>
        <v>Value for money! The sound field is large, and some can even feel the sound coming from behind. Sound quality is also good.</v>
      </c>
    </row>
    <row r="440">
      <c r="A440" s="1">
        <v>5.0</v>
      </c>
      <c r="B440" s="1" t="s">
        <v>441</v>
      </c>
      <c r="C440" t="str">
        <f>IFERROR(__xludf.DUMMYFUNCTION("GOOGLETRANSLATE(B440, ""zh"", ""en"")"),"Good-looking super good, quality, and store the same")</f>
        <v>Good-looking super good, quality, and store the same</v>
      </c>
    </row>
    <row r="441">
      <c r="A441" s="1">
        <v>5.0</v>
      </c>
      <c r="B441" s="1" t="s">
        <v>442</v>
      </c>
      <c r="C441" t="str">
        <f>IFERROR(__xludf.DUMMYFUNCTION("GOOGLETRANSLATE(B441, ""zh"", ""en"")"),"Very light very soft and very small, inner animal hair, wife liked! Very light very soft and very small, inner animal hair, wife liked! Waterproof do not know whether the individual that can be more then a little thick warm. I have a question, including t"&amp;"wo shoelaces; fashion and practical ribbon laces! Why do I have only one shoelace?")</f>
        <v>Very light very soft and very small, inner animal hair, wife liked! Very light very soft and very small, inner animal hair, wife liked! Waterproof do not know whether the individual that can be more then a little thick warm. I have a question, including two shoelaces; fashion and practical ribbon laces! Why do I have only one shoelace?</v>
      </c>
    </row>
    <row r="442">
      <c r="A442" s="1">
        <v>5.0</v>
      </c>
      <c r="B442" s="1" t="s">
        <v>443</v>
      </c>
      <c r="C442" t="str">
        <f>IFERROR(__xludf.DUMMYFUNCTION("GOOGLETRANSLATE(B442, ""zh"", ""en"")"),"Convenient and practical use has been stable for six months, the capacity is large enough!")</f>
        <v>Convenient and practical use has been stable for six months, the capacity is large enough!</v>
      </c>
    </row>
    <row r="443">
      <c r="A443" s="1">
        <v>5.0</v>
      </c>
      <c r="B443" s="1" t="s">
        <v>444</v>
      </c>
      <c r="C443" t="str">
        <f>IFERROR(__xludf.DUMMYFUNCTION("GOOGLETRANSLATE(B443, ""zh"", ""en"")"),"No election multimedia box, buy the right! Before I never used monitors, after the start was to buy right. Although there is no multi-functional multimedia box, but they can follow-up with ah, the sound is true to this. I with the article rotating twin lo"&amp;"tus 3.5mm female adapter cable coupled to the two pairs of well-lotus extension cable, usually a computer connected to listen 3.5mm. And equipped with a Bluetooth receiver, you can easily listen to music using Bluetooth mobile phone. Line is Akihabara, th"&amp;"e receiver supports aptxll of Aoge Si, are highly cost-effective thing, did not buy too professional, just enough. Also talk about the volume of two speakers only open to the middle of the grid like that, you need to adjust the volume up computer or cell "&amp;"phone, do not move the speaker.")</f>
        <v>No election multimedia box, buy the right! Before I never used monitors, after the start was to buy right. Although there is no multi-functional multimedia box, but they can follow-up with ah, the sound is true to this. I with the article rotating twin lotus 3.5mm female adapter cable coupled to the two pairs of well-lotus extension cable, usually a computer connected to listen 3.5mm. And equipped with a Bluetooth receiver, you can easily listen to music using Bluetooth mobile phone. Line is Akihabara, the receiver supports aptxll of Aoge Si, are highly cost-effective thing, did not buy too professional, just enough. Also talk about the volume of two speakers only open to the middle of the grid like that, you need to adjust the volume up computer or cell phone, do not move the speaker.</v>
      </c>
    </row>
    <row r="444">
      <c r="A444" s="1">
        <v>2.0</v>
      </c>
      <c r="B444" s="1" t="s">
        <v>445</v>
      </c>
      <c r="C444" t="str">
        <f>IFERROR(__xludf.DUMMYFUNCTION("GOOGLETRANSLATE(B444, ""zh"", ""en"")"),"In August 2020, the expiration date expired in August 2020. . . Feel used up")</f>
        <v>In August 2020, the expiration date expired in August 2020. . . Feel used up</v>
      </c>
    </row>
    <row r="445">
      <c r="A445" s="1">
        <v>3.0</v>
      </c>
      <c r="B445" s="1" t="s">
        <v>446</v>
      </c>
      <c r="C445" t="str">
        <f>IFERROR(__xludf.DUMMYFUNCTION("GOOGLETRANSLATE(B445, ""zh"", ""en"")"),"Like a general feeling that the ssd hard like a general, because this just started, do not know how to quality. Before using Intel's, he spent five years. I hope this can probably use it for so long.")</f>
        <v>Like a general feeling that the ssd hard like a general, because this just started, do not know how to quality. Before using Intel's, he spent five years. I hope this can probably use it for so long.</v>
      </c>
    </row>
    <row r="446">
      <c r="A446" s="1">
        <v>3.0</v>
      </c>
      <c r="B446" s="1" t="s">
        <v>447</v>
      </c>
      <c r="C446" t="str">
        <f>IFERROR(__xludf.DUMMYFUNCTION("GOOGLETRANSLATE(B446, ""zh"", ""en"")"),"Not suitable for Chinese people to buy two this brand of clothing is not a suitable number M 17677 buy long length sleeves okay foreigners must feel sturdy frame to wear clothing that effect")</f>
        <v>Not suitable for Chinese people to buy two this brand of clothing is not a suitable number M 17677 buy long length sleeves okay foreigners must feel sturdy frame to wear clothing that effect</v>
      </c>
    </row>
    <row r="447">
      <c r="A447" s="1">
        <v>1.0</v>
      </c>
      <c r="B447" s="1" t="s">
        <v>448</v>
      </c>
      <c r="C447" t="str">
        <f>IFERROR(__xludf.DUMMYFUNCTION("GOOGLETRANSLATE(B447, ""zh"", ""en"")"),"Number too large number is significantly larger, has been in the United States and Asia to buy pants, the pants 32 are larger than 34 other's waist, the cost of your return scary that he keep it.")</f>
        <v>Number too large number is significantly larger, has been in the United States and Asia to buy pants, the pants 32 are larger than 34 other's waist, the cost of your return scary that he keep it.</v>
      </c>
    </row>
    <row r="448">
      <c r="A448" s="1">
        <v>1.0</v>
      </c>
      <c r="B448" s="1" t="s">
        <v>449</v>
      </c>
      <c r="C448" t="str">
        <f>IFERROR(__xludf.DUMMYFUNCTION("GOOGLETRANSLATE(B448, ""zh"", ""en"")"),"Sennheiser Bluetooth headset worst beginning burn 50 hours, yet what effect, not worth the price!")</f>
        <v>Sennheiser Bluetooth headset worst beginning burn 50 hours, yet what effect, not worth the price!</v>
      </c>
    </row>
    <row r="449">
      <c r="A449" s="1">
        <v>1.0</v>
      </c>
      <c r="B449" s="1" t="s">
        <v>450</v>
      </c>
      <c r="C449" t="str">
        <f>IFERROR(__xludf.DUMMYFUNCTION("GOOGLETRANSLATE(B449, ""zh"", ""en"")"),"You can not wear! ! ! This dress Buy carefully! ! ! This size does not know who is doing what to wear ,,,,,, my height 170, weight 60kg, waist 76cm, carefully read the size chart before buy, buy M code, the right waist mouth, hip circumference leg loose ,"&amp;" in line with expectations, but very short legs, wear trousers welt they cut the calf in the middle of the calf, wear very uncomfortable, really can not wear, throw it spoil things a bit, thought, cut off the legs DIY into shorts casual Chuan Chuan forget"&amp;" it, do not understand the size of Japan, I would not buy a date code of clothes")</f>
        <v>You can not wear! ! ! This dress Buy carefully! ! ! This size does not know who is doing what to wear ,,,,,, my height 170, weight 60kg, waist 76cm, carefully read the size chart before buy, buy M code, the right waist mouth, hip circumference leg loose , in line with expectations, but very short legs, wear trousers welt they cut the calf in the middle of the calf, wear very uncomfortable, really can not wear, throw it spoil things a bit, thought, cut off the legs DIY into shorts casual Chuan Chuan forget it, do not understand the size of Japan, I would not buy a date code of clothes</v>
      </c>
    </row>
    <row r="450">
      <c r="A450" s="1">
        <v>4.0</v>
      </c>
      <c r="B450" s="1" t="s">
        <v>451</v>
      </c>
      <c r="C450" t="str">
        <f>IFERROR(__xludf.DUMMYFUNCTION("GOOGLETRANSLATE(B450, ""zh"", ""en"")"),"The machine very easy to use. The Send a good luck, good machine, turret lid a little bad, does not affect use. Customer service quickly to solve. The machine very easy to use.")</f>
        <v>The machine very easy to use. The Send a good luck, good machine, turret lid a little bad, does not affect use. Customer service quickly to solve. The machine very easy to use.</v>
      </c>
    </row>
    <row r="451">
      <c r="A451" s="1">
        <v>4.0</v>
      </c>
      <c r="B451" s="1" t="s">
        <v>452</v>
      </c>
      <c r="C451" t="str">
        <f>IFERROR(__xludf.DUMMYFUNCTION("GOOGLETRANSLATE(B451, ""zh"", ""en"")"),"OK quality can be somewhat hard, 165 / 52ml wear, l-ll may be more comfortable.")</f>
        <v>OK quality can be somewhat hard, 165 / 52ml wear, l-ll may be more comfortable.</v>
      </c>
    </row>
    <row r="452">
      <c r="A452" s="1">
        <v>4.0</v>
      </c>
      <c r="B452" s="1" t="s">
        <v>453</v>
      </c>
      <c r="C452" t="str">
        <f>IFERROR(__xludf.DUMMYFUNCTION("GOOGLETRANSLATE(B452, ""zh"", ""en"")"),"Logistics good looking very unhappy, Amazon Logistics Department Zeyang, boxes, packaging have damaged, cracked plastic packaging inside, I really do not know how to do the logistics, delivery and poor attitude")</f>
        <v>Logistics good looking very unhappy, Amazon Logistics Department Zeyang, boxes, packaging have damaged, cracked plastic packaging inside, I really do not know how to do the logistics, delivery and poor attitude</v>
      </c>
    </row>
    <row r="453">
      <c r="A453" s="1">
        <v>4.0</v>
      </c>
      <c r="B453" s="1" t="s">
        <v>454</v>
      </c>
      <c r="C453" t="str">
        <f>IFERROR(__xludf.DUMMYFUNCTION("GOOGLETRANSLATE(B453, ""zh"", ""en"")"),"The sole comfort usually 37-38 yards, to buy 38 yards, right size, put a finger followed. Similar models through the original 37 yards, front very crowded. Like this (biom) soles, moderate hardness, flexibility, and walking is not tired, upper Bohou also,"&amp;" can be worn all year round. Two shoelaces, Thai-made. Iridescence feeling that section better, skinned in leather, this black matte leather, fabric lining.")</f>
        <v>The sole comfort usually 37-38 yards, to buy 38 yards, right size, put a finger followed. Similar models through the original 37 yards, front very crowded. Like this (biom) soles, moderate hardness, flexibility, and walking is not tired, upper Bohou also, can be worn all year round. Two shoelaces, Thai-made. Iridescence feeling that section better, skinned in leather, this black matte leather, fabric lining.</v>
      </c>
    </row>
    <row r="454">
      <c r="A454" s="1">
        <v>4.0</v>
      </c>
      <c r="B454" s="1" t="s">
        <v>455</v>
      </c>
      <c r="C454" t="str">
        <f>IFERROR(__xludf.DUMMYFUNCTION("GOOGLETRANSLATE(B454, ""zh"", ""en"")"),"ok good worthy of the price, you can wear")</f>
        <v>ok good worthy of the price, you can wear</v>
      </c>
    </row>
    <row r="455">
      <c r="A455" s="1">
        <v>5.0</v>
      </c>
      <c r="B455" s="1" t="s">
        <v>456</v>
      </c>
      <c r="C455" t="str">
        <f>IFERROR(__xludf.DUMMYFUNCTION("GOOGLETRANSLATE(B455, ""zh"", ""en"")"),"worth to buy. 37.5 or 38 normal wear, but also just the right codon. Very comfortable, express soon. Slip is really slippery.")</f>
        <v>worth to buy. 37.5 or 38 normal wear, but also just the right codon. Very comfortable, express soon. Slip is really slippery.</v>
      </c>
    </row>
    <row r="456">
      <c r="A456" s="1">
        <v>5.0</v>
      </c>
      <c r="B456" s="1" t="s">
        <v>457</v>
      </c>
      <c r="C456" t="str">
        <f>IFERROR(__xludf.DUMMYFUNCTION("GOOGLETRANSLATE(B456, ""zh"", ""en"")"),"It looks okay not to wear, after a chase assessment, good again.")</f>
        <v>It looks okay not to wear, after a chase assessment, good again.</v>
      </c>
    </row>
    <row r="457">
      <c r="A457" s="1">
        <v>5.0</v>
      </c>
      <c r="B457" s="1" t="s">
        <v>458</v>
      </c>
      <c r="C457" t="str">
        <f>IFERROR(__xludf.DUMMYFUNCTION("GOOGLETRANSLATE(B457, ""zh"", ""en"")"),"After buying the next day the price of the likes of Martin boots! ! ! ! After buying the next day on the cheap 50 bucks! ! ! We have been asking me to heart! ! ! ! Uncomfortable .... but hey good to see that Amazon does not really uncomfortable insured ri"&amp;"sk")</f>
        <v>After buying the next day the price of the likes of Martin boots! ! ! ! After buying the next day on the cheap 50 bucks! ! ! We have been asking me to heart! ! ! ! Uncomfortable .... but hey good to see that Amazon does not really uncomfortable insured risk</v>
      </c>
    </row>
    <row r="458">
      <c r="A458" s="1">
        <v>5.0</v>
      </c>
      <c r="B458" s="1" t="s">
        <v>459</v>
      </c>
      <c r="C458" t="str">
        <f>IFERROR(__xludf.DUMMYFUNCTION("GOOGLETRANSLATE(B458, ""zh"", ""en"")"),"Very soft, with who knows who. Very soft, with who knows who.")</f>
        <v>Very soft, with who knows who. Very soft, with who knows who.</v>
      </c>
    </row>
    <row r="459">
      <c r="A459" s="1">
        <v>5.0</v>
      </c>
      <c r="B459" s="1" t="s">
        <v>460</v>
      </c>
      <c r="C459" t="str">
        <f>IFERROR(__xludf.DUMMYFUNCTION("GOOGLETRANSLATE(B459, ""zh"", ""en"")"),"Very satisfied with the very good, very satisfied with the new.")</f>
        <v>Very satisfied with the very good, very satisfied with the new.</v>
      </c>
    </row>
    <row r="460">
      <c r="A460" s="1">
        <v>5.0</v>
      </c>
      <c r="B460" s="1" t="s">
        <v>461</v>
      </c>
      <c r="C460" t="str">
        <f>IFERROR(__xludf.DUMMYFUNCTION("GOOGLETRANSLATE(B460, ""zh"", ""en"")"),"The price is quite high, the appearance of the more popular Desktop multimedia monitor is very good, the appearance of bias popular. It is to buy when the discount, good price. HuiWei t200c respect slightly lighter, almost the same effect, better quality "&amp;"control than hivi t200c.")</f>
        <v>The price is quite high, the appearance of the more popular Desktop multimedia monitor is very good, the appearance of bias popular. It is to buy when the discount, good price. HuiWei t200c respect slightly lighter, almost the same effect, better quality control than hivi t200c.</v>
      </c>
    </row>
    <row r="461">
      <c r="A461" s="1">
        <v>5.0</v>
      </c>
      <c r="B461" s="1" t="s">
        <v>462</v>
      </c>
      <c r="C461" t="str">
        <f>IFERROR(__xludf.DUMMYFUNCTION("GOOGLETRANSLATE(B461, ""zh"", ""en"")"),"Cheap, like Amazon can turn domestic warranty to install a small hard drive with a lot of cardboard packaging, perhaps the original factory box have been fully taken into account vibration problems, so we did not see the hard disk collapse, officials feed"&amp;"back during transport Bad. 8T tax price is not more than 850 yuan, the recent no such price. Not after power status indicator, which is slightly inconvenient. wd hard drive on the Internet can turn domestic warranty, if really bad, I do not know whether t"&amp;"o warranty?")</f>
        <v>Cheap, like Amazon can turn domestic warranty to install a small hard drive with a lot of cardboard packaging, perhaps the original factory box have been fully taken into account vibration problems, so we did not see the hard disk collapse, officials feedback during transport Bad. 8T tax price is not more than 850 yuan, the recent no such price. Not after power status indicator, which is slightly inconvenient. wd hard drive on the Internet can turn domestic warranty, if really bad, I do not know whether to warranty?</v>
      </c>
    </row>
    <row r="462">
      <c r="A462" s="1">
        <v>5.0</v>
      </c>
      <c r="B462" s="1" t="s">
        <v>463</v>
      </c>
      <c r="C462" t="str">
        <f>IFERROR(__xludf.DUMMYFUNCTION("GOOGLETRANSLATE(B462, ""zh"", ""en"")"),"Wear comfortable clothes, a good version. 182.75kg. Xl just the Japanese version. Japanese version of the much stronger version than US quality, comfortable to wear, the price is right. Japanese version of the small number of clothes, it is recommended to"&amp;" buy the usual freshman code, oversize big two yards than usual.")</f>
        <v>Wear comfortable clothes, a good version. 182.75kg. Xl just the Japanese version. Japanese version of the much stronger version than US quality, comfortable to wear, the price is right. Japanese version of the small number of clothes, it is recommended to buy the usual freshman code, oversize big two yards than usual.</v>
      </c>
    </row>
    <row r="463">
      <c r="A463" s="1">
        <v>5.0</v>
      </c>
      <c r="B463" s="1" t="s">
        <v>464</v>
      </c>
      <c r="C463" t="str">
        <f>IFERROR(__xludf.DUMMYFUNCTION("GOOGLETRANSLATE(B463, ""zh"", ""en"")"),"Big big thing")</f>
        <v>Big big thing</v>
      </c>
    </row>
    <row r="464">
      <c r="A464" s="1">
        <v>5.0</v>
      </c>
      <c r="B464" s="1" t="s">
        <v>465</v>
      </c>
      <c r="C464" t="str">
        <f>IFERROR(__xludf.DUMMYFUNCTION("GOOGLETRANSLATE(B464, ""zh"", ""en"")"),"Buy big uk7 red-brown, buy big, 🐠flybearanddas")</f>
        <v>Buy big uk7 red-brown, buy big, 🐠flybearanddas</v>
      </c>
    </row>
    <row r="465">
      <c r="A465" s="1">
        <v>5.0</v>
      </c>
      <c r="B465" s="1" t="s">
        <v>466</v>
      </c>
      <c r="C465" t="str">
        <f>IFERROR(__xludf.DUMMYFUNCTION("GOOGLETRANSLATE(B465, ""zh"", ""en"")"),"Very, very good pot thought my Panasonic ih rice cooker to do it delicious enough, this casserole I was watching a lot cheaper than the domestic purchasing bought the collection to play, love to buy pot, the results with a stunning too , do not be a rice "&amp;"cooker and grades, great! No trouble with them, soak rice ten minutes over medium heat for ten minutes will be able to open, to take gas for two minutes, turn off the heat and simmer for 20 minutes, also 40 minutes, during which cooking the soup just enou"&amp;"gh time to pack.")</f>
        <v>Very, very good pot thought my Panasonic ih rice cooker to do it delicious enough, this casserole I was watching a lot cheaper than the domestic purchasing bought the collection to play, love to buy pot, the results with a stunning too , do not be a rice cooker and grades, great! No trouble with them, soak rice ten minutes over medium heat for ten minutes will be able to open, to take gas for two minutes, turn off the heat and simmer for 20 minutes, also 40 minutes, during which cooking the soup just enough time to pack.</v>
      </c>
    </row>
    <row r="466">
      <c r="A466" s="1">
        <v>5.0</v>
      </c>
      <c r="B466" s="1" t="s">
        <v>467</v>
      </c>
      <c r="C466" t="str">
        <f>IFERROR(__xludf.DUMMYFUNCTION("GOOGLETRANSLATE(B466, ""zh"", ""en"")"),"Champion Men's Classic Jersey Muscle T Xu good quality, completely different standard")</f>
        <v>Champion Men's Classic Jersey Muscle T Xu good quality, completely different standard</v>
      </c>
    </row>
    <row r="467">
      <c r="A467" s="1">
        <v>5.0</v>
      </c>
      <c r="B467" s="1" t="s">
        <v>468</v>
      </c>
      <c r="C467" t="str">
        <f>IFERROR(__xludf.DUMMYFUNCTION("GOOGLETRANSLATE(B467, ""zh"", ""en"")"),"Very solid, a male form I love, self-winding, 100 meters waterproof, steel strap, dignified appearance.")</f>
        <v>Very solid, a male form I love, self-winding, 100 meters waterproof, steel strap, dignified appearance.</v>
      </c>
    </row>
    <row r="468">
      <c r="A468" s="1">
        <v>5.0</v>
      </c>
      <c r="B468" s="1" t="s">
        <v>469</v>
      </c>
      <c r="C468" t="str">
        <f>IFERROR(__xludf.DUMMYFUNCTION("GOOGLETRANSLATE(B468, ""zh"", ""en"")"),"Just hand feel good quality to her husband bought the appropriate M code just 173,132 pounds")</f>
        <v>Just hand feel good quality to her husband bought the appropriate M code just 173,132 pounds</v>
      </c>
    </row>
    <row r="469">
      <c r="A469" s="1">
        <v>5.0</v>
      </c>
      <c r="B469" s="1" t="s">
        <v>470</v>
      </c>
      <c r="C469" t="str">
        <f>IFERROR(__xludf.DUMMYFUNCTION("GOOGLETRANSLATE(B469, ""zh"", ""en"")"),"Feel coarse cotton, cotton thin section, thin, suitable for spring and summer wear, her husband prefer, feeling the feel rough, like touch feeling washed cotton bed linen, cotton like people can buy, like the kind of smooth feeling does not.")</f>
        <v>Feel coarse cotton, cotton thin section, thin, suitable for spring and summer wear, her husband prefer, feeling the feel rough, like touch feeling washed cotton bed linen, cotton like people can buy, like the kind of smooth feeling does not.</v>
      </c>
    </row>
    <row r="470">
      <c r="A470" s="1">
        <v>5.0</v>
      </c>
      <c r="B470" s="1" t="s">
        <v>471</v>
      </c>
      <c r="C470" t="str">
        <f>IFERROR(__xludf.DUMMYFUNCTION("GOOGLETRANSLATE(B470, ""zh"", ""en"")"),"Good BOSS men's long-sleeved shirt Plisy clothes, sizes and China, like I 168CM65KG, M just the right number.")</f>
        <v>Good BOSS men's long-sleeved shirt Plisy clothes, sizes and China, like I 168CM65KG, M just the right number.</v>
      </c>
    </row>
    <row r="471">
      <c r="A471" s="1">
        <v>5.0</v>
      </c>
      <c r="B471" s="1" t="s">
        <v>472</v>
      </c>
      <c r="C471" t="str">
        <f>IFERROR(__xludf.DUMMYFUNCTION("GOOGLETRANSLATE(B471, ""zh"", ""en"")"),"Sea Amoy had wanted a good, clean out the price spike can be cost-effective than the sea, it seems like two or three hundred decisively into the. Now I have been using the shallow mouth of the bowl and cups. Warm winter performance is good.")</f>
        <v>Sea Amoy had wanted a good, clean out the price spike can be cost-effective than the sea, it seems like two or three hundred decisively into the. Now I have been using the shallow mouth of the bowl and cups. Warm winter performance is good.</v>
      </c>
    </row>
    <row r="472">
      <c r="A472" s="1">
        <v>5.0</v>
      </c>
      <c r="B472" s="1" t="s">
        <v>473</v>
      </c>
      <c r="C472" t="str">
        <f>IFERROR(__xludf.DUMMYFUNCTION("GOOGLETRANSLATE(B472, ""zh"", ""en"")"),"M adzuki bean pen tip writing smooth, comfortable to hold a pen. About the size of a pen writing thickness and the feeling of all in personal writing habits, not In a word. F sharp blue golden years still write smooth, microstrip damp, to write very comfo"&amp;"rtable.")</f>
        <v>M adzuki bean pen tip writing smooth, comfortable to hold a pen. About the size of a pen writing thickness and the feeling of all in personal writing habits, not In a word. F sharp blue golden years still write smooth, microstrip damp, to write very comfortable.</v>
      </c>
    </row>
    <row r="473">
      <c r="A473" s="1">
        <v>5.0</v>
      </c>
      <c r="B473" s="1" t="s">
        <v>474</v>
      </c>
      <c r="C473" t="str">
        <f>IFERROR(__xludf.DUMMYFUNCTION("GOOGLETRANSLATE(B473, ""zh"", ""en"")"),"The perfect size just for formal wear, extremely beautiful appearance")</f>
        <v>The perfect size just for formal wear, extremely beautiful appearance</v>
      </c>
    </row>
    <row r="474">
      <c r="A474" s="1">
        <v>5.0</v>
      </c>
      <c r="B474" s="1" t="s">
        <v>475</v>
      </c>
      <c r="C474" t="str">
        <f>IFERROR(__xludf.DUMMYFUNCTION("GOOGLETRANSLATE(B474, ""zh"", ""en"")"),"Strawberry 🍓 to drink some simple sealed explosion, the date is very fresh, nothing else will buy!")</f>
        <v>Strawberry 🍓 to drink some simple sealed explosion, the date is very fresh, nothing else will buy!</v>
      </c>
    </row>
    <row r="475">
      <c r="A475" s="1">
        <v>5.0</v>
      </c>
      <c r="B475" s="1" t="s">
        <v>476</v>
      </c>
      <c r="C475" t="str">
        <f>IFERROR(__xludf.DUMMYFUNCTION("GOOGLETRANSLATE(B475, ""zh"", ""en"")"),"Not bad clothes fit, good quality. A little thin, do not try to prickle.")</f>
        <v>Not bad clothes fit, good quality. A little thin, do not try to prickle.</v>
      </c>
    </row>
    <row r="476">
      <c r="A476" s="1">
        <v>5.0</v>
      </c>
      <c r="B476" s="1" t="s">
        <v>477</v>
      </c>
      <c r="C476" t="str">
        <f>IFERROR(__xludf.DUMMYFUNCTION("GOOGLETRANSLATE(B476, ""zh"", ""en"")"),"Nursery room shoes, are not suitable for too thin slightly wider feet wide, the code must be the actual amount of n-breathable leg length, just add 0.5! Here are a few holes in the shoes, breathable mesh!")</f>
        <v>Nursery room shoes, are not suitable for too thin slightly wider feet wide, the code must be the actual amount of n-breathable leg length, just add 0.5! Here are a few holes in the shoes, breathable mesh!</v>
      </c>
    </row>
    <row r="477">
      <c r="A477" s="1">
        <v>2.0</v>
      </c>
      <c r="B477" s="1" t="s">
        <v>478</v>
      </c>
      <c r="C477" t="str">
        <f>IFERROR(__xludf.DUMMYFUNCTION("GOOGLETRANSLATE(B477, ""zh"", ""en"")"),"Swap file swap file is serious, it is not recommended.")</f>
        <v>Swap file swap file is serious, it is not recommended.</v>
      </c>
    </row>
    <row r="478">
      <c r="A478" s="1">
        <v>3.0</v>
      </c>
      <c r="B478" s="1" t="s">
        <v>479</v>
      </c>
      <c r="C478" t="str">
        <f>IFERROR(__xludf.DUMMYFUNCTION("GOOGLETRANSLATE(B478, ""zh"", ""en"")"),"The price gap is too big, not as authentic thin clothes, a trademark also simple, unlike genuine")</f>
        <v>The price gap is too big, not as authentic thin clothes, a trademark also simple, unlike genuine</v>
      </c>
    </row>
    <row r="479">
      <c r="A479" s="1">
        <v>3.0</v>
      </c>
      <c r="B479" s="1" t="s">
        <v>480</v>
      </c>
      <c r="C479" t="str">
        <f>IFERROR(__xludf.DUMMYFUNCTION("GOOGLETRANSLATE(B479, ""zh"", ""en"")"),"Good quality, but size is not good with this stuff, to be honest, a bit tasteless, or little or bigger, the size of this simply is not good to hold things! ! Loading time to eat too much, fruit or other equipment is too small. Unfortunately, I did not Wri"&amp;"te, packaging has been removed, or else want a return. More likely to buy four practical.")</f>
        <v>Good quality, but size is not good with this stuff, to be honest, a bit tasteless, or little or bigger, the size of this simply is not good to hold things! ! Loading time to eat too much, fruit or other equipment is too small. Unfortunately, I did not Write, packaging has been removed, or else want a return. More likely to buy four practical.</v>
      </c>
    </row>
    <row r="480">
      <c r="A480" s="1">
        <v>3.0</v>
      </c>
      <c r="B480" s="1" t="s">
        <v>481</v>
      </c>
      <c r="C480" t="str">
        <f>IFERROR(__xludf.DUMMYFUNCTION("GOOGLETRANSLATE(B480, ""zh"", ""en"")"),"The general quality of this section, for the above preferential trade AMAZON recently pushed to me the next day under a single, hand today. Overall, the price is not high, but the quality is not high. Than before I bought NAUTICA worse part of it. Vietnam"&amp;"ese origin. Simple design, work in general. Poor material, 50% cotton, 50% sash, wearing feel very rough to the body. In addition to a brand LEE, feel than our local produce trousers worse. Get our hands on, immediately felt Made in China is still very tr"&amp;"icky. Pricing, I think 100 dollars or less would be more appropriate. Size is too large. My waist is about 31 to 32, ordered a 31/30, but obviously much more relaxed. 29 set up to estimate the 30 before it. I do not want to send a picture ......")</f>
        <v>The general quality of this section, for the above preferential trade AMAZON recently pushed to me the next day under a single, hand today. Overall, the price is not high, but the quality is not high. Than before I bought NAUTICA worse part of it. Vietnamese origin. Simple design, work in general. Poor material, 50% cotton, 50% sash, wearing feel very rough to the body. In addition to a brand LEE, feel than our local produce trousers worse. Get our hands on, immediately felt Made in China is still very tricky. Pricing, I think 100 dollars or less would be more appropriate. Size is too large. My waist is about 31 to 32, ordered a 31/30, but obviously much more relaxed. 29 set up to estimate the 30 before it. I do not want to send a picture ......</v>
      </c>
    </row>
    <row r="481">
      <c r="A481" s="1">
        <v>1.0</v>
      </c>
      <c r="B481" s="1" t="s">
        <v>482</v>
      </c>
      <c r="C481" t="str">
        <f>IFERROR(__xludf.DUMMYFUNCTION("GOOGLETRANSLATE(B481, ""zh"", ""en"")"),"Zhicijiagao products, poor service, poor attitude, bought less than a month, the three have appeared in two holes, apply to return no results, I would not buy this brand of product.")</f>
        <v>Zhicijiagao products, poor service, poor attitude, bought less than a month, the three have appeared in two holes, apply to return no results, I would not buy this brand of product.</v>
      </c>
    </row>
    <row r="482">
      <c r="A482" s="1">
        <v>1.0</v>
      </c>
      <c r="B482" s="1" t="s">
        <v>483</v>
      </c>
      <c r="C482" t="str">
        <f>IFERROR(__xludf.DUMMYFUNCTION("GOOGLETRANSLATE(B482, ""zh"", ""en"")"),"Off-line feeling is false, always off-line, but the clothes are not white.")</f>
        <v>Off-line feeling is false, always off-line, but the clothes are not white.</v>
      </c>
    </row>
    <row r="483">
      <c r="A483" s="1">
        <v>1.0</v>
      </c>
      <c r="B483" s="1" t="s">
        <v>484</v>
      </c>
      <c r="C483" t="str">
        <f>IFERROR(__xludf.DUMMYFUNCTION("GOOGLETRANSLATE(B483, ""zh"", ""en"")"),"M is the same, significantly smaller than Hugo, the quality really general. Poor quality was significantly worse than hugo, also small, very disappointed! Neither retreat nor wear! I also buy the CK and Hugo")</f>
        <v>M is the same, significantly smaller than Hugo, the quality really general. Poor quality was significantly worse than hugo, also small, very disappointed! Neither retreat nor wear! I also buy the CK and Hugo</v>
      </c>
    </row>
    <row r="484">
      <c r="A484" s="1">
        <v>4.0</v>
      </c>
      <c r="B484" s="1" t="s">
        <v>485</v>
      </c>
      <c r="C484" t="str">
        <f>IFERROR(__xludf.DUMMYFUNCTION("GOOGLETRANSLATE(B484, ""zh"", ""en"")"),"Just ordinary hard copy documents a dozen G, does not see the pieces, Yan Chit value nor a bunch of soft paper said that high. He is a regular hard drive, and good price is not expensive.")</f>
        <v>Just ordinary hard copy documents a dozen G, does not see the pieces, Yan Chit value nor a bunch of soft paper said that high. He is a regular hard drive, and good price is not expensive.</v>
      </c>
    </row>
    <row r="485">
      <c r="A485" s="1">
        <v>4.0</v>
      </c>
      <c r="B485" s="1" t="s">
        <v>486</v>
      </c>
      <c r="C485" t="str">
        <f>IFERROR(__xludf.DUMMYFUNCTION("GOOGLETRANSLATE(B485, ""zh"", ""en"")"),"Smell good to ask them taste good, but a little sour drink up, just like the pharmacy to buy almost taste those amino acid liquid")</f>
        <v>Smell good to ask them taste good, but a little sour drink up, just like the pharmacy to buy almost taste those amino acid liquid</v>
      </c>
    </row>
    <row r="486">
      <c r="A486" s="1">
        <v>4.0</v>
      </c>
      <c r="B486" s="1" t="s">
        <v>487</v>
      </c>
      <c r="C486" t="str">
        <f>IFERROR(__xludf.DUMMYFUNCTION("GOOGLETRANSLATE(B486, ""zh"", ""en"")"),"Yes, appropriate. This pair of shoes appropriate size and hardness, appearance is their own choice. By the time winter wear out, no matter how look at the results.")</f>
        <v>Yes, appropriate. This pair of shoes appropriate size and hardness, appearance is their own choice. By the time winter wear out, no matter how look at the results.</v>
      </c>
    </row>
    <row r="487">
      <c r="A487" s="1">
        <v>4.0</v>
      </c>
      <c r="B487" s="1" t="s">
        <v>488</v>
      </c>
      <c r="C487" t="str">
        <f>IFERROR(__xludf.DUMMYFUNCTION("GOOGLETRANSLATE(B487, ""zh"", ""en"")"),"Listen to musical instruments soon receive super good, but the human voice in general")</f>
        <v>Listen to musical instruments soon receive super good, but the human voice in general</v>
      </c>
    </row>
    <row r="488">
      <c r="A488" s="1">
        <v>5.0</v>
      </c>
      <c r="B488" s="1" t="s">
        <v>489</v>
      </c>
      <c r="C488" t="str">
        <f>IFERROR(__xludf.DUMMYFUNCTION("GOOGLETRANSLATE(B488, ""zh"", ""en"")"),"Well arrival idling under no problem, is a new machine. Card card can not have a point short. Province Free member bargain")</f>
        <v>Well arrival idling under no problem, is a new machine. Card card can not have a point short. Province Free member bargain</v>
      </c>
    </row>
    <row r="489">
      <c r="A489" s="1">
        <v>5.0</v>
      </c>
      <c r="B489" s="1" t="s">
        <v>490</v>
      </c>
      <c r="C489" t="str">
        <f>IFERROR(__xludf.DUMMYFUNCTION("GOOGLETRANSLATE(B489, ""zh"", ""en"")"),"Very good wear dimensions, wild")</f>
        <v>Very good wear dimensions, wild</v>
      </c>
    </row>
    <row r="490">
      <c r="A490" s="1">
        <v>5.0</v>
      </c>
      <c r="B490" s="1" t="s">
        <v>491</v>
      </c>
      <c r="C490" t="str">
        <f>IFERROR(__xludf.DUMMYFUNCTION("GOOGLETRANSLATE(B490, ""zh"", ""en"")"),"Transport fast, very good with praise, bought with a good, good wash contaminated with oil. btw, ups shipping fast, the next single after every two days would send over, stunned. .")</f>
        <v>Transport fast, very good with praise, bought with a good, good wash contaminated with oil. btw, ups shipping fast, the next single after every two days would send over, stunned. .</v>
      </c>
    </row>
    <row r="491">
      <c r="A491" s="1">
        <v>5.0</v>
      </c>
      <c r="B491" s="1" t="s">
        <v>492</v>
      </c>
      <c r="C491" t="str">
        <f>IFERROR(__xludf.DUMMYFUNCTION("GOOGLETRANSLATE(B491, ""zh"", ""en"")"),"Baby like the taste very good, like a child")</f>
        <v>Baby like the taste very good, like a child</v>
      </c>
    </row>
    <row r="492">
      <c r="A492" s="1">
        <v>5.0</v>
      </c>
      <c r="B492" s="1" t="s">
        <v>493</v>
      </c>
      <c r="C492" t="str">
        <f>IFERROR(__xludf.DUMMYFUNCTION("GOOGLETRANSLATE(B492, ""zh"", ""en"")"),"Something good is sent over from Japan genuine, the future will continue to focus on the Amazon, girly deliberately buy a small one yard, it is difficult to wear, but also to wear the uncomfortable, you really have your truth, not curling, with cheap, or "&amp;"a difference")</f>
        <v>Something good is sent over from Japan genuine, the future will continue to focus on the Amazon, girly deliberately buy a small one yard, it is difficult to wear, but also to wear the uncomfortable, you really have your truth, not curling, with cheap, or a difference</v>
      </c>
    </row>
    <row r="493">
      <c r="A493" s="1">
        <v>5.0</v>
      </c>
      <c r="B493" s="1" t="s">
        <v>494</v>
      </c>
      <c r="C493" t="str">
        <f>IFERROR(__xludf.DUMMYFUNCTION("GOOGLETRANSLATE(B493, ""zh"", ""en"")"),"Comfortable and convenient shopping by mail soon, the shoes, the right size, very comfortable.")</f>
        <v>Comfortable and convenient shopping by mail soon, the shoes, the right size, very comfortable.</v>
      </c>
    </row>
    <row r="494">
      <c r="A494" s="1">
        <v>5.0</v>
      </c>
      <c r="B494" s="1" t="s">
        <v>495</v>
      </c>
      <c r="C494" t="str">
        <f>IFERROR(__xludf.DUMMYFUNCTION("GOOGLETRANSLATE(B494, ""zh"", ""en"")"),"Suitable very 174,69 kg, wearing M just, like custom-made, very appropriate! Not tight nor loose")</f>
        <v>Suitable very 174,69 kg, wearing M just, like custom-made, very appropriate! Not tight nor loose</v>
      </c>
    </row>
    <row r="495">
      <c r="A495" s="1">
        <v>5.0</v>
      </c>
      <c r="B495" s="1" t="s">
        <v>496</v>
      </c>
      <c r="C495" t="str">
        <f>IFERROR(__xludf.DUMMYFUNCTION("GOOGLETRANSLATE(B495, ""zh"", ""en"")"),"excellent! Very beautiful and practical.")</f>
        <v>excellent! Very beautiful and practical.</v>
      </c>
    </row>
    <row r="496">
      <c r="A496" s="1">
        <v>5.0</v>
      </c>
      <c r="B496" s="1" t="s">
        <v>497</v>
      </c>
      <c r="C496" t="str">
        <f>IFERROR(__xludf.DUMMYFUNCTION("GOOGLETRANSLATE(B496, ""zh"", ""en"")"),"Good shoes, as always, genuine authentic, the price is right, ecco there are activities will come again")</f>
        <v>Good shoes, as always, genuine authentic, the price is right, ecco there are activities will come again</v>
      </c>
    </row>
    <row r="497">
      <c r="A497" s="1">
        <v>5.0</v>
      </c>
      <c r="B497" s="1" t="s">
        <v>498</v>
      </c>
      <c r="C497" t="str">
        <f>IFERROR(__xludf.DUMMYFUNCTION("GOOGLETRANSLATE(B497, ""zh"", ""en"")"),"Good insulation effect just received, inside the cup a little taste. Good insulation effect. Looks like than at home buy TIGER better insulation.")</f>
        <v>Good insulation effect just received, inside the cup a little taste. Good insulation effect. Looks like than at home buy TIGER better insulation.</v>
      </c>
    </row>
    <row r="498">
      <c r="A498" s="1">
        <v>5.0</v>
      </c>
      <c r="B498" s="1" t="s">
        <v>499</v>
      </c>
      <c r="C498" t="str">
        <f>IFERROR(__xludf.DUMMYFUNCTION("GOOGLETRANSLATE(B498, ""zh"", ""en"")"),"The right size, very good right size, very good")</f>
        <v>The right size, very good right size, very good</v>
      </c>
    </row>
    <row r="499">
      <c r="A499" s="1">
        <v>5.0</v>
      </c>
      <c r="B499" s="1" t="s">
        <v>500</v>
      </c>
      <c r="C499" t="str">
        <f>IFERROR(__xludf.DUMMYFUNCTION("GOOGLETRANSLATE(B499, ""zh"", ""en"")"),"Do key chain is suitable? &lt;Div id = ""video-block-R33QY1MS4SALC8"" class = ""a-section a-spacing-small a-spacing-top-mini video-block""&gt; &lt;/ div&gt; &lt;input type = ""hidden"" name = """" value = ""https://images-cn.ssl-images-amazon.com/images/I/71Jzl66kmsS.mp"&amp;"4"" class = ""video-url""&gt; &lt;input type = ""hidden"" name = """" value = ""https: //images-cn.ssl-images-amazon.com/images/I/919HS3cysmS.png ""class ="" video-slate-img-url ""&gt; &amp; nbsp; like small wings shape, not like the pointy wings occasionally be under"&amp;" the bar. Mainly used as car key chain.")</f>
        <v>Do key chain is suitable? &lt;Div id = "video-block-R33QY1MS4SALC8" class = "a-section a-spacing-small a-spacing-top-mini video-block"&gt; &lt;/ div&gt; &lt;input type = "hidden" name = "" value = "https://images-cn.ssl-images-amazon.com/images/I/71Jzl66kmsS.mp4" class = "video-url"&gt; &lt;input type = "hidden" name = "" value = "https: //images-cn.ssl-images-amazon.com/images/I/919HS3cysmS.png "class =" video-slate-img-url "&gt; &amp; nbsp; like small wings shape, not like the pointy wings occasionally be under the bar. Mainly used as car key chain.</v>
      </c>
    </row>
    <row r="500">
      <c r="A500" s="1">
        <v>5.0</v>
      </c>
      <c r="B500" s="1" t="s">
        <v>501</v>
      </c>
      <c r="C500" t="str">
        <f>IFERROR(__xludf.DUMMYFUNCTION("GOOGLETRANSLATE(B500, ""zh"", ""en"")"),"Good quality, competitive price, good quality, price concessions, 174,67KG, M code suitable, slightly longer.")</f>
        <v>Good quality, competitive price, good quality, price concessions, 174,67KG, M code suitable, slightly longer.</v>
      </c>
    </row>
    <row r="501">
      <c r="A501" s="1">
        <v>5.0</v>
      </c>
      <c r="B501" s="1" t="s">
        <v>502</v>
      </c>
      <c r="C501" t="str">
        <f>IFERROR(__xludf.DUMMYFUNCTION("GOOGLETRANSLATE(B501, ""zh"", ""en"")"),"Good value for money headset 250 ohm impedance is indeed difficult to drive, not to play the real strength of the country and using a mobile phone brick, three-band equalizer but feel, comfortable to wear, after the amp on stage and try to put")</f>
        <v>Good value for money headset 250 ohm impedance is indeed difficult to drive, not to play the real strength of the country and using a mobile phone brick, three-band equalizer but feel, comfortable to wear, after the amp on stage and try to put</v>
      </c>
    </row>
    <row r="502">
      <c r="A502" s="1">
        <v>5.0</v>
      </c>
      <c r="B502" s="1" t="s">
        <v>503</v>
      </c>
      <c r="C502" t="str">
        <f>IFERROR(__xludf.DUMMYFUNCTION("GOOGLETRANSLATE(B502, ""zh"", ""en"")"),"Box is like a box of old deep-sea big brand trusted listened for months, suddenly sounds a bit stuffy sent to customer service, customer service to a new one to big praise")</f>
        <v>Box is like a box of old deep-sea big brand trusted listened for months, suddenly sounds a bit stuffy sent to customer service, customer service to a new one to big praise</v>
      </c>
    </row>
    <row r="503">
      <c r="A503" s="1">
        <v>5.0</v>
      </c>
      <c r="B503" s="1" t="s">
        <v>504</v>
      </c>
      <c r="C503" t="str">
        <f>IFERROR(__xludf.DUMMYFUNCTION("GOOGLETRANSLATE(B503, ""zh"", ""en"")"),"Good, good quality reference comment before, just buy the size of ~")</f>
        <v>Good, good quality reference comment before, just buy the size of ~</v>
      </c>
    </row>
    <row r="504">
      <c r="A504" s="1">
        <v>5.0</v>
      </c>
      <c r="B504" s="1" t="s">
        <v>505</v>
      </c>
      <c r="C504" t="str">
        <f>IFERROR(__xludf.DUMMYFUNCTION("GOOGLETRANSLATE(B504, ""zh"", ""en"")"),"Tariff around my feet 252, 7.5m feel just right, then why is the tariff by 30 per cent considered it to me, are the 10 percent it previously")</f>
        <v>Tariff around my feet 252, 7.5m feel just right, then why is the tariff by 30 per cent considered it to me, are the 10 percent it previously</v>
      </c>
    </row>
    <row r="505">
      <c r="A505" s="1">
        <v>5.0</v>
      </c>
      <c r="B505" s="1" t="s">
        <v>506</v>
      </c>
      <c r="C505" t="str">
        <f>IFERROR(__xludf.DUMMYFUNCTION("GOOGLETRANSLATE(B505, ""zh"", ""en"")"),"Good taste a little taste of strawberry ice cream ,, sweet taste can accept. Powder is very fine, do not know how to effect, eat some time to see it, 5 lbs really big bucket ah.")</f>
        <v>Good taste a little taste of strawberry ice cream ,, sweet taste can accept. Powder is very fine, do not know how to effect, eat some time to see it, 5 lbs really big bucket ah.</v>
      </c>
    </row>
    <row r="506">
      <c r="A506" s="1">
        <v>5.0</v>
      </c>
      <c r="B506" s="1" t="s">
        <v>507</v>
      </c>
      <c r="C506" t="str">
        <f>IFERROR(__xludf.DUMMYFUNCTION("GOOGLETRANSLATE(B506, ""zh"", ""en"")"),"Good quality super good-looking first-class quality at affordable prices")</f>
        <v>Good quality super good-looking first-class quality at affordable prices</v>
      </c>
    </row>
    <row r="507">
      <c r="A507" s="1">
        <v>5.0</v>
      </c>
      <c r="B507" s="1" t="s">
        <v>508</v>
      </c>
      <c r="C507" t="str">
        <f>IFERROR(__xludf.DUMMYFUNCTION("GOOGLETRANSLATE(B507, ""zh"", ""en"")"),"Why is Casio? College 85 years, worked in the campus shop and bought a similar table. The price is about 18 to 24 yuan. That time, is filled with such electronic form. Oh Susanna for the alarm. A few days, wash your face off, lost. This type of watch is s"&amp;"imple and practical, size fit. Lazy wear, for many years without changing the battery. Date of eye-catching, clear understanding. Like this table, in addition to functional projects, as well as emotional factors. This table is high technological content N"&amp;"o? Work well, simple classic style, it is worth learning from ah.")</f>
        <v>Why is Casio? College 85 years, worked in the campus shop and bought a similar table. The price is about 18 to 24 yuan. That time, is filled with such electronic form. Oh Susanna for the alarm. A few days, wash your face off, lost. This type of watch is simple and practical, size fit. Lazy wear, for many years without changing the battery. Date of eye-catching, clear understanding. Like this table, in addition to functional projects, as well as emotional factors. This table is high technological content No? Work well, simple classic style, it is worth learning from ah.</v>
      </c>
    </row>
    <row r="508">
      <c r="A508" s="1">
        <v>5.0</v>
      </c>
      <c r="B508" s="1" t="s">
        <v>509</v>
      </c>
      <c r="C508" t="str">
        <f>IFERROR(__xludf.DUMMYFUNCTION("GOOGLETRANSLATE(B508, ""zh"", ""en"")"),"Size is accurate, authentic goods, very fond of, recommended purchase size is accurate, authentic goods, very fond of, recommended purchase")</f>
        <v>Size is accurate, authentic goods, very fond of, recommended purchase size is accurate, authentic goods, very fond of, recommended purchase</v>
      </c>
    </row>
    <row r="509">
      <c r="A509" s="1">
        <v>2.0</v>
      </c>
      <c r="B509" s="1" t="s">
        <v>510</v>
      </c>
      <c r="C509" t="str">
        <f>IFERROR(__xludf.DUMMYFUNCTION("GOOGLETRANSLATE(B509, ""zh"", ""en"")"),"I honestly do not ye drops too low, the shirt almost 200 of this quality, not worth ah, a little bit flawed, drawn the line.")</f>
        <v>I honestly do not ye drops too low, the shirt almost 200 of this quality, not worth ah, a little bit flawed, drawn the line.</v>
      </c>
    </row>
    <row r="510">
      <c r="A510" s="1">
        <v>3.0</v>
      </c>
      <c r="B510" s="1" t="s">
        <v>511</v>
      </c>
      <c r="C510" t="str">
        <f>IFERROR(__xludf.DUMMYFUNCTION("GOOGLETRANSLATE(B510, ""zh"", ""en"")"),"Size puzzling! Size puzzling! Should be calculated according to mark 33w 33x2.54 cm / inch, 83.82 cm give way. However, an amount (FIG), to which the error is large! ! Elsewhere will not be wrong, right? Domestic I bought it (that's my waistline fat than "&amp;"34!) Are 34! Look at the reviews said that many large, long pants good considering the change, the waist is not good change, so choose a smaller size, the results really did not expect so much! It seems really want to buy clothes upper body test (my many "&amp;"shopping experience shows that this really is not a strict standard size, some chaos! Unknown here said.), Unless you buy the same style again! Quality? You ask quality? Mauritius production and domestic goods around $ 800 about it? Also, I'm sorry! And d"&amp;"omestic production of 34 yards pants comparisons can not upload video")</f>
        <v>Size puzzling! Size puzzling! Should be calculated according to mark 33w 33x2.54 cm / inch, 83.82 cm give way. However, an amount (FIG), to which the error is large! ! Elsewhere will not be wrong, right? Domestic I bought it (that's my waistline fat than 34!) Are 34! Look at the reviews said that many large, long pants good considering the change, the waist is not good change, so choose a smaller size, the results really did not expect so much! It seems really want to buy clothes upper body test (my many shopping experience shows that this really is not a strict standard size, some chaos! Unknown here said.), Unless you buy the same style again! Quality? You ask quality? Mauritius production and domestic goods around $ 800 about it? Also, I'm sorry! And domestic production of 34 yards pants comparisons can not upload video</v>
      </c>
    </row>
    <row r="511">
      <c r="A511" s="1">
        <v>3.0</v>
      </c>
      <c r="B511" s="1" t="s">
        <v>512</v>
      </c>
      <c r="C511" t="str">
        <f>IFERROR(__xludf.DUMMYFUNCTION("GOOGLETRANSLATE(B511, ""zh"", ""en"")"),"The risk of the baby will bite off the plastic to be careful")</f>
        <v>The risk of the baby will bite off the plastic to be careful</v>
      </c>
    </row>
    <row r="512">
      <c r="A512" s="1">
        <v>3.0</v>
      </c>
      <c r="B512" s="1" t="s">
        <v>513</v>
      </c>
      <c r="C512" t="str">
        <f>IFERROR(__xludf.DUMMYFUNCTION("GOOGLETRANSLATE(B512, ""zh"", ""en"")"),"Loud sound is not as big, brand value is removed, items not worth the price")</f>
        <v>Loud sound is not as big, brand value is removed, items not worth the price</v>
      </c>
    </row>
    <row r="513">
      <c r="A513" s="1">
        <v>1.0</v>
      </c>
      <c r="B513" s="1" t="s">
        <v>514</v>
      </c>
      <c r="C513" t="str">
        <f>IFERROR(__xludf.DUMMYFUNCTION("GOOGLETRANSLATE(B513, ""zh"", ""en"")"),"Material is not incompatible wool, fooled")</f>
        <v>Material is not incompatible wool, fooled</v>
      </c>
    </row>
    <row r="514">
      <c r="A514" s="1">
        <v>1.0</v>
      </c>
      <c r="B514" s="1" t="s">
        <v>515</v>
      </c>
      <c r="C514" t="str">
        <f>IFERROR(__xludf.DUMMYFUNCTION("GOOGLETRANSLATE(B514, ""zh"", ""en"")"),"This is really brand clothes? This style is really disappointed in the quality, not ever dare to buy 😒😒😒")</f>
        <v>This is really brand clothes? This style is really disappointed in the quality, not ever dare to buy 😒😒😒</v>
      </c>
    </row>
    <row r="515">
      <c r="A515" s="1">
        <v>4.0</v>
      </c>
      <c r="B515" s="1" t="s">
        <v>516</v>
      </c>
      <c r="C515" t="str">
        <f>IFERROR(__xludf.DUMMYFUNCTION("GOOGLETRANSLATE(B515, ""zh"", ""en"")"),"Three sizes are not the same three colors, gray maximum, minimum Tibetan blue")</f>
        <v>Three sizes are not the same three colors, gray maximum, minimum Tibetan blue</v>
      </c>
    </row>
    <row r="516">
      <c r="A516" s="1">
        <v>4.0</v>
      </c>
      <c r="B516" s="1" t="s">
        <v>517</v>
      </c>
      <c r="C516" t="str">
        <f>IFERROR(__xludf.DUMMYFUNCTION("GOOGLETRANSLATE(B516, ""zh"", ""en"")"),"Quality clothes line number is too small, non-standard size")</f>
        <v>Quality clothes line number is too small, non-standard size</v>
      </c>
    </row>
    <row r="517">
      <c r="A517" s="1">
        <v>4.0</v>
      </c>
      <c r="B517" s="1" t="s">
        <v>518</v>
      </c>
      <c r="C517" t="str">
        <f>IFERROR(__xludf.DUMMYFUNCTION("GOOGLETRANSLATE(B517, ""zh"", ""en"")"),"Affordable, too long of 33 yards usually wear pants, bought in yards, belts good, too, although revenue feet, but the really good long ah, the quality generally like it, the price is affordable. Pants a little thin.")</f>
        <v>Affordable, too long of 33 yards usually wear pants, bought in yards, belts good, too, although revenue feet, but the really good long ah, the quality generally like it, the price is affordable. Pants a little thin.</v>
      </c>
    </row>
    <row r="518">
      <c r="A518" s="1">
        <v>4.0</v>
      </c>
      <c r="B518" s="1" t="s">
        <v>519</v>
      </c>
      <c r="C518" t="str">
        <f>IFERROR(__xludf.DUMMYFUNCTION("GOOGLETRANSLATE(B518, ""zh"", ""en"")"),"Exterior BNM some more low-key than life, sounds are satisfied, but Bluetooth connection stability is not good, half an hour later a great chance of instability appears sound. This headset looks like a common problem?")</f>
        <v>Exterior BNM some more low-key than life, sounds are satisfied, but Bluetooth connection stability is not good, half an hour later a great chance of instability appears sound. This headset looks like a common problem?</v>
      </c>
    </row>
    <row r="519">
      <c r="A519" s="1">
        <v>4.0</v>
      </c>
      <c r="B519" s="1" t="s">
        <v>520</v>
      </c>
      <c r="C519" t="str">
        <f>IFERROR(__xludf.DUMMYFUNCTION("GOOGLETRANSLATE(B519, ""zh"", ""en"")"),"Fabric looks a little more comfortable grades four corners of the triangle or not the habit, but also, for the wear.")</f>
        <v>Fabric looks a little more comfortable grades four corners of the triangle or not the habit, but also, for the wear.</v>
      </c>
    </row>
    <row r="520">
      <c r="A520" s="1">
        <v>5.0</v>
      </c>
      <c r="B520" s="1" t="s">
        <v>521</v>
      </c>
      <c r="C520" t="str">
        <f>IFERROR(__xludf.DUMMYFUNCTION("GOOGLETRANSLATE(B520, ""zh"", ""en"")"),"178cm87kg Workout wear this size often just 178cm87kg fitness wear this size is just right, very comfortable padded jackets, there are certain components, sleeves and did not like other people's comments so much longer, put on the waist position compariso"&amp;"n's sake, but the version is very reasonable, more burly look. The overall domestic purchasing prices with the comparison value ratio, and fidelity.")</f>
        <v>178cm87kg Workout wear this size often just 178cm87kg fitness wear this size is just right, very comfortable padded jackets, there are certain components, sleeves and did not like other people's comments so much longer, put on the waist position comparison's sake, but the version is very reasonable, more burly look. The overall domestic purchasing prices with the comparison value ratio, and fidelity.</v>
      </c>
    </row>
    <row r="521">
      <c r="A521" s="1">
        <v>5.0</v>
      </c>
      <c r="B521" s="1" t="s">
        <v>522</v>
      </c>
      <c r="C521" t="str">
        <f>IFERROR(__xludf.DUMMYFUNCTION("GOOGLETRANSLATE(B521, ""zh"", ""en"")"),"Comments are not accustomed to online shopping and buy spare way, and before you buy from other sources compared, are identical. For the first time in the Amazon to buy things, domestic logistics process is not detailed, I would like to see real-time stat"&amp;"us is difficult, can not find online customer service, or not used to the experience.")</f>
        <v>Comments are not accustomed to online shopping and buy spare way, and before you buy from other sources compared, are identical. For the first time in the Amazon to buy things, domestic logistics process is not detailed, I would like to see real-time status is difficult, can not find online customer service, or not used to the experience.</v>
      </c>
    </row>
    <row r="522">
      <c r="A522" s="1">
        <v>5.0</v>
      </c>
      <c r="B522" s="1" t="s">
        <v>523</v>
      </c>
      <c r="C522" t="str">
        <f>IFERROR(__xludf.DUMMYFUNCTION("GOOGLETRANSLATE(B522, ""zh"", ""en"")"),"Good 😊 &lt;div id = ""video-block-RRHUX3QW9SJ6T"" class = ""a-section a-spacing-small a-spacing-top-mini video-block""&gt; &lt;div tabindex = ""0"" class = ""airy airy-svg vmin-supported airy-skin-beacon ""style ="" background-color: rgb (0, 0, 0); position: rela"&amp;"tive; width: 100%; height: 100%; font-size: 0px; overflow: hidden; outline : none; ""&gt; &lt;div class ="" airy-renderer-container ""style ="" position: relative; height: 100%; width: 100%; ""&gt; &lt;video id ="" 7 ""preload ="" auto ""src ="" https://images-cn.ssl"&amp;"-images-amazon.com/images/I/71ef82GBBaS.mp4 ""style ="" position: absolute; left: 0px; top: 0px; overflow: hidden; height: 1px; width: 1px ; ""&gt; &lt;/ video&gt; &lt;/ div&gt; &lt;div id ="" airy-slate-preload ""style ="" background-color: rgb (0, 0, 0); background-image"&amp;": url (&amp; quot; https: // images-cn.ssl-images-amazon.com/images/I/91iGHtMVCFS.png&amp;quot;); background-size: contain; background-position: center center; background-repeat: no-repeat; position: absolute; top: 0px ; left: 0px; visibility: visible; width: 100"&amp;"%; height: 100%; ""&gt; &lt;/ div&gt; &lt;iframe scrolling ="" no ""fr ameborder = ""0"" src = ""about: blank"" style = ""display: none;""&gt; &lt;/ iframe&gt; &lt;div tabindex = ""- 1"" class = ""airy-controls-container"" style = ""opacity: 0; visibility : hidden; ""&gt; &lt;div tabi"&amp;"ndex ="" - 1 ""class ="" airy-screen-size-toggle airy-fullscreen ""&gt; &lt;/ div&gt; &lt;div tabindex ="" - 1 ""class ="" airy-container-bottom ""&gt; &lt;div tabindex = ""- 1"" class = ""airy-track-bar-spacer-left"" style = ""width: 11px;""&gt; &lt;/ div&gt; &lt;div tabindex = ""- 1"&amp;""" class = ""airy-play-toggle airy-play ""style ="" width: 12px; margin-right: 12px; ""&gt; &lt;/ div&gt; &lt;div tabindex ="" - 1 ""class ="" airy-audio-elements ""style ="" float: right; width: 34px ; ""&gt; &lt;div tabindex ="" - 1 ""class ="" airy-audio-toggle airy-on "&amp;"""&gt; &lt;/ div&gt; &lt;div tabindex ="" - 1 ""class ="" airy-audio-container ""style ="" opacity: 0; visibility: hidden; ""&gt; &lt;div tabindex ="" - 1 ""class ="" airy-audio-track-bar ""style ="" height: 80%; ""&gt; &lt;div tabindex ="" - 1 ""class ="" airy- audio-scrubber-b"&amp;"ar ""style ="" height: 85%; ""&gt; &lt;/ div&gt; &lt;div tabindex ="" - 1 ""class ="" airy-audio-scrubber ""style ="" height: 12px; bottom: 85%; "" &gt; &lt;/ div&gt; &lt;/ div&gt; &lt;/ div&gt; &lt;/ div&gt; &lt;div tabindex = ""- 1"" class = ""airy-duration-label"" style = ""float : Right; widt"&amp;"h: 26px; margin-right: 4px; text-align: center; ""&gt; 0:03 &lt;/ div&gt; &lt;div tabindex ="" - 1 ""class ="" airy-track-bar-spacer-right ""style = ""float: right; width: 11px;""&gt; &lt;/ div&gt; &lt;div tabindex = ""- 1"" class = ""airy-track-bar-container"" style = ""margin-"&amp;"left: 35px; margin-right: 75px; ""&gt; &lt;div tabindex ="" - 1 ""class ="" airy-track-bar airy-vertical-centering-table ""&gt; &lt;div tabindex ="" - 1 ""class ="" airy-vertical-centering-table-cell ""&gt; &lt; div tabindex = ""- 1"" class = ""airy-track-bar-elements""&gt; &lt;"&amp;"div tabindex = ""- 1"" class = ""airy-progress-bar"" style = ""width: 71.1358%;""&gt; &lt;/ div&gt; &lt;div tabindex = ""- 1"" class = ""airy-scrubber-bar""&gt; &lt;/ div&gt; &lt;div tabindex = ""- 1"" class = ""airy-scrubber""&gt; &lt;div tabindex = ""- 1"" class = ""airy -scrubber-i"&amp;"con ""&gt; &lt;/ div&gt; &lt;div tabindex ="" - 1 ""class ="" airy-adjusted-aui-tooltip ""style ="" opacity: 0; visibility: hidden; ""&gt; &lt;div tabindex ="" - 1 "" class = ""airy-adjusted-aui-tooltip-inner""&gt; &lt;div tabindex = ""- 1"" class = ""airy-current-time-label""&gt; "&amp;"0:00 &lt;/ div&gt; &lt;/ div&gt; &lt;div tabindex = "" -1 ""class ="" airy-adjusted-aui-arrow-border ""&gt; &lt;div tabindex ="" - 1 ""class ="" airy-adjusted-aui-arrow ""&gt; &lt;/ Div&gt; &lt;/ div&gt; &lt;/ div&gt; &lt;/ div&gt; &lt;/ div&gt; &lt;/ div&gt; &lt;/ div&gt; &lt;/ div&gt; &lt;/ div&gt; &lt;/ div&gt; &lt;div tabindex = ""- 1"""&amp;" class = ""airy-age-gate airy-stage airy-vertical-centering-table airy-dialog"" style = ""opacity: 0; visibility: hidden;""&gt; &lt;div tabindex = ""- 1"" class = ""airy-age-gate- vertical-centering-table-cell airy-vertical-centering-table-cell ""&gt; &lt;div tabinde"&amp;"x ="" - 1 ""class ="" airy-vertical-centering-wrapper airy-age-gate-elements-wrapper ""&gt; &lt;div tabindex = ""- 1"" class = ""airy-age-gate-elements airy-dialog-elements""&gt; &lt;div tabindex = ""- 1"" class = ""airy-age-gate-prompt""&gt; This video is not intended "&amp;"for all audiences . What date were you born &lt;/ div&gt;? &lt;div tabindex = ""- 1"" class = ""airy-age-gate-inputs airy-dialog-inner-elements""&gt; &lt;select tabindex = ""- 1"" class = ""airy -age-gate-month ""&gt; &lt;option value ="" 1 ""&gt; January &lt;/ option&gt; &lt;option valu"&amp;"e ="" 2 ""&gt; February &lt;/ option&gt; &lt;option value ="" 3 ""&gt; March &lt;/ option&gt; &lt;option value = ""4""&gt; April &lt;/ option&gt; &lt;option value = ""5""&gt; May &lt;/ option&gt; &lt;option value = ""6""&gt; June &lt;/ option&gt; &lt;option value = ""7""&gt; July &lt;/ option&gt; &lt; option value = ""8""&gt; Au"&amp;"gust &lt;/ option&gt; &lt;option value = ""9""&gt; September &lt;/ opt ion&gt; &lt;option value = ""10""&gt; October &lt;/ option&gt; &lt;option value = ""11""&gt; November &lt;/ option&gt; &lt;option value = ""12""&gt; December &lt;/ option&gt; &lt;/ select&gt; &lt;select tabindex = "" -1 ""class ="" airy-age-gate-d"&amp;"ay ""&gt; &lt;option value ="" 1 ""&gt; 1 &lt;/ option&gt; &lt;option value ="" 2 ""&gt; 2 &lt;/ option&gt; &lt;option value ="" 3 ""&gt; 3 &lt;/ option&gt; &lt;option value = ""4""&gt; 4 &lt;/ option&gt; &lt;option value = ""5""&gt; 5 &lt;/ option&gt; &lt;option value = ""6""&gt; 6 &lt;/ option&gt; &lt;option value = ""7"" &gt; 7 &lt;/ "&amp;"option&gt; &lt;option value = ""8""&gt; 8 &lt;/ option&gt; &lt;option value = ""9""&gt; 9 &lt;/ option&gt; &lt;option value = ""10""&gt; 10 &lt;/ option&gt; &lt;option value = "" 11 ""&gt; 11 &lt;/ option&gt; &lt;option value ="" 12 ""&gt; 12 &lt;/ option&gt; &lt;option value ="" 13 ""&gt; 13 &lt;/ option&gt; &lt;option value ="" 1"&amp;"4 ""&gt; 14 &lt;/ option&gt; &lt;option value = ""15""&gt; 15 &lt;/ option&gt; &lt;option value = ""16""&gt; 16 &lt;/ option&gt; &lt;option value = ""17""&gt; 17 &lt;/ option&gt; &lt;option value = ""18""&gt; 18 &lt;/ option&gt; &lt; option value = ""19""&gt; 19 &lt;/ option&gt; &lt;option value = ""20""&gt; 20 &lt;/ option&gt; &lt;optio"&amp;"n value = ""21""&gt; 21 &lt;/ option&gt; &lt;option value = ""22""&gt; 22 &lt;/ option &gt; &lt;option value = ""23""&gt; 23 &lt;/ option&gt; &lt;option value = ""24""&gt; 24 &lt;/ option&gt; &lt;option value = ""25""&gt; 25 &lt;/ option&gt; &lt;option value = ""26""&gt; 26 &lt; / option&gt; &lt;option value = ""27""&gt; 27 &lt;/ o"&amp;"ption&gt; &lt;option value = ""28""&gt; 28 &lt;/ option&gt; &lt;option va lue = ""29""&gt; 29 &lt;/ option&gt; &lt;option value = ""30""&gt; 30 &lt;/ option&gt; &lt;option value = ""31""&gt; 31 &lt;/ option&gt; &lt;/ select&gt; &lt;select tabindex = ""- 1"" class = ""airy-age-gate-year""&gt; &lt;option value = ""2019""&gt;"&amp;" 2019 &lt;/ option&gt; &lt;option value = ""2018""&gt; 2018 &lt;/ option&gt; &lt;option value = ""2017""&gt; 2017 &lt;/ option&gt; &lt;option value = ""2016""&gt; ​​2016 &lt;/ option&gt; &lt;option value = ""2015""&gt; 2015 &lt;/ option&gt; &lt;option value = ""2014""&gt; 2014 &lt;/ option&gt; &lt;option value = ""2013""&gt; "&amp;"2013 &lt;/ option&gt; &lt;option value = ""2012""&gt; 2012 &lt;/ option&gt; &lt;option value = ""2011""&gt; 2011 &lt;/ option&gt; &lt;option value = ""2010""&gt; 2010 &lt;/ option&gt; &lt;option value = ""2009""&gt; 2009 &lt;/ option&gt; &lt;option value = ""2008""&gt; 2008 &lt;/ option&gt; &lt;option value = ""2007""&gt; 200"&amp;"7 &lt;/ option&gt; &lt;option value = ""2006""&gt; 2006 &lt;/ option&gt; &lt;option value = ""2005"" &gt; 2005 &lt;/ option&gt; &lt;option value = ""2004""&gt; 2004 &lt;/ option&gt; &lt;option value = ""2003""&gt; 2003 &lt;/ option&gt; &lt;option value = ""2002""&gt; 2002 &lt;/ option&gt; &lt;option value = "" 2001 ""&gt; 200"&amp;"1 &lt;/ option&gt; &lt;option value ="" 2000 ""&gt; 2000 &lt;/ option&gt; &lt;option value ="" 1999 ""&gt; 1999 &lt;/ option&gt; &lt;option value ="" 1998 ""&gt; 1998 &lt;/ option&gt; &lt;option value = ""1997""&gt; 1997 &lt;/ option&gt; &lt;option value = ""1996""&gt; 1996 &lt;/ option&gt; &lt;option value = ""1995""&gt; 199"&amp;"5 &lt;/ option&gt; &lt;option valu e = ""1994""&gt; 1994 &lt;/ option&gt; &lt;option value = ""1993""&gt; 1993 &lt;/ option&gt; &lt;option value = ""1992""&gt; 1992 &lt;/ option&gt; &lt;option value = ""1991""&gt; 1991 &lt;/ option&gt; &lt;option value = ""1990""&gt; 1990 &lt;/ option&gt; &lt;option value = ""1989""&gt; 1989 "&amp;"&lt;/ option&gt; &lt;option value = ""1988""&gt; 1988 &lt;/ option&gt; &lt;option value = ""1987""&gt; 1987 &lt;/ option&gt; &lt;option value = ""1986""&gt; 1986 &lt;/ option&gt; &lt;option value = ""1985""&gt; 1985 &lt;/ option&gt; &lt;option value = ""1984""&gt; 1984 &lt;/ option&gt; &lt;option value = ""1983""&gt; 1983 &lt;/ "&amp;"option&gt; &lt;option value = ""1982""&gt; 1982 &lt;/ option&gt; &lt;option value = ""1981""&gt; 1981 &lt;/ option&gt; &lt;option value = ""1980""&gt; 1980 &lt;/ option&gt; &lt;option value = ""1979"" &gt; 1979 &lt;/ option&gt; &lt;option value = ""1978""&gt; 1978 &lt;/ option&gt; &lt;option value = ""1977""&gt; 1977 &lt;/ op"&amp;"tion&gt; &lt;option value = ""1976""&gt; 1976 &lt;/ option&gt; &lt;option value = "" 1975 ""&gt; 1975 &lt;/ option&gt; &lt;option value ="" 1974 ""&gt; 1974 &lt;/ option&gt; &lt;option value ="" 1973 ""&gt; 1973 &lt;/ option&gt; &lt;option value ="" 1972 ""&gt; 1972 &lt;/ option&gt; &lt;option value = ""1971""&gt; 1971 &lt;/ "&amp;"option&gt; &lt;option value = ""1970""&gt; 1970 &lt;/ option&gt; &lt;option value = ""1969""&gt; 1969 &lt;/ option&gt; &lt;option value = ""1968""&gt; 1968 &lt;/ option&gt; &lt; option value = ""1967""&gt; 1967 &lt;/ option&gt; &lt;option value = ""1966""&gt; 1966 &lt;/ option&gt; &lt;option value = ""1965""&gt; 1965 &lt; / O"&amp;"ption&gt; &lt;option value = ""1964""&gt; 1964 &lt;/ option&gt; &lt;option value = ""1963""&gt; 1963 &lt;/ option&gt; &lt;option value = ""1962""&gt; 1962 &lt;/ option&gt; &lt;option value = ""1961""&gt; 1961 &lt;/ option&gt; &lt;option value = ""1960""&gt; 1960 &lt;/ option&gt; &lt;option value = ""1959""&gt; 1959 &lt;/ opti"&amp;"on&gt; &lt;option value = ""1958""&gt; 1958 &lt;/ option&gt; &lt;option value = ""1957 ""&gt; 1957 &lt;/ option&gt; &lt;option value ="" 1956 ""&gt; 1956 &lt;/ option&gt; &lt;option value ="" 1955 ""&gt; 1955 &lt;/ option&gt; &lt;option value ="" 1954 ""&gt; 1954 &lt;/ option&gt; &lt;option value = ""1953""&gt; 1953 &lt;/ opt"&amp;"ion&gt; &lt;option value = ""1952""&gt; 1952 &lt;/ option&gt; &lt;option value = ""1951""&gt; 1951 &lt;/ option&gt; &lt;option value = ""1950""&gt; 1950 &lt;/ option&gt; &lt;option value = ""1949""&gt; 1949 &lt;/ option&gt; &lt;option value = ""1948""&gt; 1948 &lt;/ option&gt; &lt;option value = ""1947""&gt; 1947 &lt;/ option"&amp;"&gt; &lt;option value = ""1946""&gt; 1946 &lt;/ option&gt; &lt;option value = ""1945""&gt; 1945 &lt;/ option&gt; &lt;option value = ""1944""&gt; 1944 &lt;/ option&gt; &lt;option value = ""1943""&gt; 1943 &lt;/ option&gt; &lt;option value = ""1942""&gt; 1942 &lt;/ option&gt; &lt;option value = ""1941""&gt; 1941 &lt;/ option&gt; &lt;"&amp;"option value = ""1940""&gt; 1940 &lt;/ option&gt; &lt;option value = ""1939""&gt; 1939 &lt;/ option&gt; &lt;option value = ""1938""&gt; 1938 &lt;/ option&gt; &lt;option value = ""1937""&gt; 1937 &lt;/ option&gt; &lt;option value = ""1936""&gt; 1936 &lt;/ option&gt; &lt;optio n value = ""1935""&gt; 1935 &lt;/ option&gt; &lt;op"&amp;"tion value = ""1934""&gt; 1934 &lt;/ option&gt; &lt;option value = ""1933""&gt; 1933 &lt;/ option&gt; &lt;option value = ""1932""&gt; 1932 &lt;/ option &gt; &lt;option value = ""1931""&gt; 1931 &lt;/ option&gt; &lt;option value = ""1930""&gt; 1930 &lt;/ option&gt; &lt;option value = ""1929""&gt; 1929 &lt;/ option&gt; &lt;opti"&amp;"on value = ""1928""&gt; 1928 &lt; / option&gt; &lt;option value = ""1927""&gt; 1927 &lt;/ option&gt; &lt;option value = ""1926""&gt; 1926 &lt;/ option&gt; &lt;option value = ""1925""&gt; 1925 &lt;/ option&gt; &lt;option value = ""1924""&gt; 1924 &lt;/ option&gt; &lt;option value = ""1923""&gt; 1923 &lt;/ option&gt; &lt;option"&amp;" value = ""1922""&gt; 1922 &lt;/ option&gt; &lt;option value = ""1921""&gt; 1921 &lt;/ option&gt; &lt;option value = ""1920 ""&gt; 1920 &lt;/ option&gt; &lt;option value ="" 1919 ""&gt; 1919 &lt;/ option&gt; &lt;option value ="" 1918 ""&gt; 1918 &lt;/ option&gt; &lt;option value ="" 1917 ""&gt; 1917 &lt;/ option&gt; &lt;optio"&amp;"n value = ""1916""&gt; 1916 &lt;/ option&gt; &lt;option value = ""1915""&gt; 1915 &lt;/ option&gt; &lt;option value = ""1914""&gt; 1914 &lt;/ option&gt; &lt;option value = ""1913""&gt; 1913 &lt;/ option&gt; &lt;option value = ""1912""&gt; 1912 &lt;/ option&gt; &lt;option value = ""1911""&gt; 1911 &lt;/ option&gt; &lt;option v"&amp;"alue = ""1910""&gt; 1910 &lt;/ option&gt; &lt;option value = ""1909""&gt; 1909 &lt;/ option&gt; &lt;option value = ""1908""&gt; 1908 &lt;/ option&gt; &lt;option value = ""1907""&gt; 1907 &lt;/ option&gt; &lt;option value = ""1906"" &gt; 1906 &lt;/ option&gt; &lt;option value = ""1905""&gt; 1905 &lt;/ option&gt; &lt;option val"&amp;"ue = ""1904""&gt; 1904 &lt;/ option&gt; &lt;option value = ""1903""&gt; 1903 &lt;/ option&gt; &lt;option value = "" 1902 ""&gt; 1902 &lt;/ option&gt; &lt;option value ="" 1901 ""&gt; 1901 &lt;/ option&gt; &lt;option value ="" 1900 ""&gt; 1900 &lt;/ option&gt; &lt;/ select&gt; &lt;div tabindex ="" - 1 ""class ="" airy -a"&amp;"ge-gate-submit airy-submit airy-button airy-submit-disabled ""&gt; Submit &lt;/ div&gt; &lt;/ div&gt; &lt;/ div&gt; &lt;/ div&gt; &lt;/ div&gt; &lt;/ div&gt; &lt;div tabindex ="" - 1 ""class ="" airy-install-flash-dialog airy-stage airy-vertical-centering-table airy-dialog airy-denied ""style ="""&amp;" opacity: 0; visibility: hidden; ""&gt; &lt;div tabindex ="" - 1 "" class = ""airy-install-flash-vertical-centering-table-cell airy-vertical-centering-table-cell""&gt; &lt;div tabindex = ""- 1"" class = ""airy-vertical-centering-wrapper airy-install-flash -elements-w"&amp;"rapper ""&gt; &lt;div tabindex ="" - 1 ""class ="" airy-install-flash-elements airy-dialog-elements ""&gt; &lt;div tabindex ="" - 1 ""class ="" airy-install-flash-prompt "" &gt; Adobe Flash Player is required to watch this video &lt;/ div&gt; &lt;div tabindex =. ""- 1"" class = "&amp;"""airy-install-flash-button-wrapper airy-dialog-inner-elements""&gt; &lt;Div tabindex = ""- 1"" class = ""airy-install-flash-button airy-button""&gt; Install Flash Player &lt;/ div&gt; &lt;/ div&gt; &lt;/ div&gt; &lt;/ div&gt; &lt;/ div&gt; &lt;/ div&gt; &lt;div tabindex = ""- 1"" class = ""airy-video-"&amp;"unsupported-dialog airy-stage airy-vertical-centering-table airy-dialog airy-denied"" style = ""opacity: 0; visibility: hidden;""&gt; &lt;div tabindex = ""- 1"" class = ""airy-video-unsupported-vertical-centering-table-cell airy-vertical-centering-table-cell""&gt;"&amp;" &lt;div tabindex = ""- 1"" class = ""airy-vertical-centering- wrapper airy-video-unsupported-elements-wrapper ""&gt; &lt;div tabindex ="" - 1 ""class ="" airy-video-unsupported-elements airy-dialog-elements ""&gt; &lt;div tabindex ="" - 1 ""class ="" airy- video-unsupp"&amp;"orted-prompt ""&gt; &lt;/ div&gt; &lt;/ div&gt; &lt;/ div&gt; &lt;/ div&gt; &lt;/ div&gt; &lt;div tabindex ="" - 1 ""class ="" airy-loading-spinner-stage airy-stage ""&gt; &lt;div tabindex = ""- 1"" class = ""airy-loading-spinner-vertical-centering-table-cell airy-vertical-centering-table-cell""&gt;"&amp;" &lt;div tabindex = ""- 1"" class = ""airy-loading- spinner-container airy-scalable-hint-container ""&gt; &lt;div tabindex ="" - 1 ""class ="" airy-loading-spinner-dummy airy-scalable-dumm y ""&gt; &lt;/ div&gt; &lt;div tabindex ="" - 1 ""class ="" airy-loading-spinner airy-h"&amp;"int ""style ="" visibility: hidden; ""&gt; &lt;/ div&gt; &lt;/ div&gt; &lt;/ div&gt; &lt;/ div&gt; &lt;div tabindex = ""- 1"" class = ""airy-ads-screen-size-toggle airy-screen-size-toggle airy-fullscreen"" style = ""visibility: hidden;""&gt; &lt;/ div&gt; &lt;div tabindex = ""-1"" class = ""airy-"&amp;"ad-prompt-container"" style = ""visibility: hidden;""&gt; &lt;div tabindex = ""- 1"" class = ""airy-ad-prompt-vertical-centering-table airy-vertical- centering-table ""&gt; &lt;div tabindex ="" - 1 ""class ="" airy-ad-prompt-vertical-centering-table-cell airy-vertica"&amp;"l-centering-table-cell ""&gt; &lt;div tabindex ="" - 1 ""class = ""airy-ad-prompt-label""&gt; &lt;/ div&gt; &lt;/ div&gt; &lt;/ div&gt; &lt;/ div&gt; &lt;div tabindex = ""- 1"" class = ""airy-ads-controls-container"" style = ""visibility: hidden; ""&gt; &lt;div tabindex ="" - 1 ""class ="" airy-a"&amp;"ds-audio-toggle airy-audio-toggle airy-on ""style ="" visibility: hidden; ""&gt; &lt;/ div&gt; &lt;div tabindex ="" - 1 ""class ="" airy-time-remaining-label-container ""&gt; &lt;div tabindex ="" - 1 ""class ="" airy-time-remaining-vertical-centering-table airy-vertical-ce"&amp;"ntering-table ""&gt; &lt;div tabindex = ""- 1"" class = ""airy-time-rem aining-vertical-centering-table-cell airy-vertical-centering-table-cell ""&gt; &lt;div tabindex ="" - 1 ""class ="" airy-vertical-centering-wrapper airy-time-remaining-label-wrapper ""&gt; &lt; div tab"&amp;"index = ""- 1"" class = ""airy-time-remaining-label"" style = ""visibility: hidden;""&gt; &lt;/ div&gt; &lt;div tabindex = ""- 1"" class = ""airy-ad-skip"" style = ""visibility: hidden;""&gt; &lt;/ div&gt; &lt;div tabindex = ""- 1"" class = ""airy-ad-end"" style = ""visibility: "&amp;"hidden;""&gt; &lt;/ div&gt; &lt;/ div&gt; &lt;/ div&gt; &lt; / div&gt; &lt;/ div&gt; &lt;div tabindex = ""- 1"" class = ""airy-learn-more"" style = ""visibility: hidden;""&gt; &lt;/ div&gt; &lt;/ div&gt; &lt;div tabindex = ""- 1"" class = ""airy-play-toggle-hint-stage airy-stage airy-cursor""&gt; &lt;div tabindex "&amp;"= ""- 1"" class = ""airy-play-toggle-hint-vertical-centering-table-cell airy-vertical-centering -table-cell airy-cursor ""&gt; &lt;div tabindex ="" - 1 ""class ="" airy-play-toggle-hint-container airy-scalable-hint-container ""&gt; &lt;div tabindex ="" - 1 ""class ="&amp;""" airy -play-toggle-hint-dummy airy-scalable-dummy ""&gt; &lt;/ div&gt; &lt;div tabindex ="" - 1 ""class ="" airy-play-toggle-hint airy-hint airy-play-hint ""style ="" opacity : 1; visibility: visible; ""&gt; &lt;/ div &gt; &lt;/ Div&gt; &lt;/ div&gt; &lt;/ div&gt; &lt;div tabindex = ""- 1"" cla"&amp;"ss = ""airy-replay-hint-stage airy-stage"" style = ""visibility: hidden;""&gt; &lt;div tabindex = ""- 1 ""class ="" airy-replay-hint-vertical-centering-table-cell airy-vertical-centering-table-cell airy-cursor ""&gt; &lt;div tabindex ="" - 1 ""class ="" airy-replay-h"&amp;"int-container airy-scalable-hint-container ""&gt; &lt;div tabindex ="" - 1 ""class ="" airy-replay-hint-dummy airy-scalable-dummy ""&gt; &lt;/ div&gt; &lt;div tabindex ="" - 1 ""class ="" airy -replay-hint airy-hint ""&gt; &lt;/ div&gt; &lt;/ div&gt; &lt;/ div&gt; &lt;/ div&gt; &lt;div tabindex ="" - 1"&amp;" ""class ="" airy-autoplay-hint-stage airy-stage ""style ="" visibility: hidden; ""&gt; &lt;div tabindex ="" - 1 ""class ="" airy-autoplay-hint-vertical-centering-table-cell airy-vertical-centering-table-cell airy-cursor ""&gt; &lt;div tabindex ="" - 1 ""class ="" ai"&amp;"ry-autoplay-hint-container airy-scalable-hint-container ""&gt; &lt;div tabindex ="" - 1 ""class ="" airy-autoplay-hint-dummy airy-scalable-dummy ""&gt; &lt;/ div&gt; &lt;/ div&gt; &lt;/ div&gt; &lt;/ div&gt; &lt;/ div&gt; &lt;/ div&gt; &lt;input type = ""hidden"" name = """" value = ""https://images-cn"&amp;".ssl-images-amazon.com/ images / I / 71ef82GBBaS.mp4 ""class ="" video-url ""&gt; &lt;input type = ""hidden"" name = """" value = ""https://images-cn.ssl-images-amazon.com/images/I/91iGHtMVCFS.png"" class = ""video-slate-img-url""&gt; &amp; nbsp; price beautiful, very"&amp;" beautiful watches")</f>
        <v>Good 😊 &lt;div id = "video-block-RRHUX3QW9SJ6T" class = "a-section a-spacing-small a-spacing-top-mini video-block"&gt; &lt;div tabindex = "0" class = "airy airy-svg vmin-supported airy-skin-beacon "style =" background-color: rgb (0, 0, 0); position: relative; width: 100%; height: 100%; font-size: 0px; overflow: hidden; outline : none; "&gt; &lt;div class =" airy-renderer-container "style =" position: relative; height: 100%; width: 100%; "&gt; &lt;video id =" 7 "preload =" auto "src =" https://images-cn.ssl-images-amazon.com/images/I/71ef82GBBaS.mp4 "style =" position: absolute; left: 0px; top: 0px; overflow: hidden; height: 1px; width: 1px ; "&gt; &lt;/ video&gt; &lt;/ div&gt; &lt;div id =" airy-slate-preload "style =" background-color: rgb (0, 0, 0); background-image: url (&amp; quot; https: // images-cn.ssl-images-amazon.com/images/I/91iGHtMVCFS.png&amp;quot;); background-size: contain; background-position: center center; background-repeat: no-repeat; position: absolute; top: 0px ; left: 0px; visibility: visible; width: 100%; height: 100%; "&gt; &lt;/ div&gt; &lt;iframe scrolling =" no "fr ameborder = "0" src = "about: blank" style = "display: none;"&gt; &lt;/ iframe&gt; &lt;div tabindex = "- 1" class = "airy-controls-container" style = "opacity: 0; visibility : hidden; "&gt; &lt;div tabindex =" - 1 "class =" airy-screen-size-toggle airy-fullscreen "&gt; &lt;/ div&gt; &lt;div tabindex =" - 1 "class =" airy-container-bottom "&gt; &lt;div tabindex = "- 1" class = "airy-track-bar-spacer-left" style = "width: 11px;"&gt; &lt;/ div&gt; &lt;div tabindex = "- 1" class = "airy-play-toggle airy-play "style =" width: 12px; margin-right: 12px; "&gt; &lt;/ div&gt; &lt;div tabindex =" - 1 "class =" airy-audio-elements "style =" float: right; width: 34px ; "&gt; &lt;div tabindex =" - 1 "class =" airy-audio-toggle airy-on "&gt; &lt;/ div&gt; &lt;div tabindex =" - 1 "class =" airy-audio-container "style =" opacity: 0; visibility: hidden; "&gt; &lt;div tabindex =" - 1 "class =" airy-audio-track-bar "style =" height: 80%; "&gt; &lt;div tabindex =" - 1 "class =" airy- audio-scrubber-bar "style =" height: 85%; "&gt; &lt;/ div&gt; &lt;div tabindex =" - 1 "class =" airy-audio-scrubber "style =" height: 12px; bottom: 85%; " &gt; &lt;/ div&gt; &lt;/ div&gt; &lt;/ div&gt; &lt;/ div&gt; &lt;div tabindex = "- 1" class = "airy-duration-label" style = "float : Right; width: 26px; margin-right: 4px; text-align: center; "&gt; 0:03 &lt;/ div&gt; &lt;div tabindex =" - 1 "class =" airy-track-bar-spacer-right "style = "float: right; width: 11px;"&gt; &lt;/ div&gt; &lt;div tabindex = "- 1" class = "airy-track-bar-container" style = "margin-left: 35px; margin-right: 75px; "&gt; &lt;div tabindex =" - 1 "class =" airy-track-bar airy-vertical-centering-table "&gt; &lt;div tabindex =" - 1 "class =" airy-vertical-centering-table-cell "&gt; &lt; div tabindex = "- 1" class = "airy-track-bar-elements"&gt; &lt;div tabindex = "- 1" class = "airy-progress-bar" style = "width: 71.1358%;"&gt; &lt;/ div&gt; &lt;div tabindex = "- 1" class = "airy-scrubber-bar"&gt; &lt;/ div&gt; &lt;div tabindex = "- 1" class = "airy-scrubber"&gt; &lt;div tabindex = "- 1" class = "airy -scrubber-icon "&gt; &lt;/ div&gt; &lt;div tabindex =" - 1 "class =" airy-adjusted-aui-tooltip "style =" opacity: 0; visibility: hidden; "&gt; &lt;div tabindex =" - 1 " class = "airy-adjusted-aui-tooltip-inner"&gt; &lt;div tabindex = "- 1" class = "airy-current-time-label"&gt; 0:00 &lt;/ div&gt; &lt;/ div&gt; &lt;div tabindex = " -1 "class =" airy-adjusted-aui-arrow-border "&gt; &lt;div tabindex =" - 1 "class =" airy-adjusted-aui-arrow "&gt; &lt;/ Div&gt; &lt;/ div&gt; &lt;/ div&gt; &lt;/ div&gt; &lt;/ div&gt; &lt;/ div&gt; &lt;/ div&gt; &lt;/ div&gt; &lt;/ div&gt; &lt;/ div&gt; &lt;div tabindex = "- 1" class = "airy-age-gate airy-stage airy-vertical-centering-table airy-dialog" style = "opacity: 0; visibility: hidden;"&gt; &lt;div tabindex = "- 1" class = "airy-age-gate- vertical-centering-table-cell airy-vertical-centering-table-cell "&gt; &lt;div tabindex =" - 1 "class =" airy-vertical-centering-wrapper airy-age-gate-elements-wrapper "&gt; &lt;div tabindex = "- 1" class = "airy-age-gate-elements airy-dialog-elements"&gt; &lt;div tabindex = "- 1" class = "airy-age-gate-prompt"&gt; This video is not intended for all audiences . What date were you born &lt;/ div&gt;? &lt;div tabindex = "- 1" class = "airy-age-gate-inputs airy-dialog-inner-elements"&gt; &lt;select tabindex = "- 1" class = "airy -age-gate-month "&gt; &lt;option value =" 1 "&gt; January &lt;/ option&gt; &lt;option value =" 2 "&gt; February &lt;/ option&gt; &lt;option value =" 3 "&gt; March &lt;/ option&gt; &lt;option value = "4"&gt; April &lt;/ option&gt; &lt;option value = "5"&gt; May &lt;/ option&gt; &lt;option value = "6"&gt; June &lt;/ option&gt; &lt;option value = "7"&gt; July &lt;/ option&gt; &lt; option value = "8"&gt; August &lt;/ option&gt; &lt;option value = "9"&gt; September &lt;/ opt ion&gt; &lt;option value = "10"&gt; October &lt;/ option&gt; &lt;option value = "11"&gt; November &lt;/ option&gt; &lt;option value = "12"&gt; December &lt;/ option&gt; &lt;/ select&gt; &lt;select tabindex = " -1 "class =" airy-age-gate-day "&gt; &lt;option value =" 1 "&gt; 1 &lt;/ option&gt; &lt;option value =" 2 "&gt; 2 &lt;/ option&gt; &lt;option value =" 3 "&gt; 3 &lt;/ option&gt; &lt;option value = "4"&gt; 4 &lt;/ option&gt; &lt;option value = "5"&gt; 5 &lt;/ option&gt; &lt;option value = "6"&gt; 6 &lt;/ option&gt; &lt;option value = "7" &gt; 7 &lt;/ option&gt; &lt;option value = "8"&gt; 8 &lt;/ option&gt; &lt;option value = "9"&gt; 9 &lt;/ option&gt; &lt;option value = "10"&gt; 10 &lt;/ option&gt; &lt;option value = " 11 "&gt; 11 &lt;/ option&gt; &lt;option value =" 12 "&gt; 12 &lt;/ option&gt; &lt;option value =" 13 "&gt; 13 &lt;/ option&gt; &lt;option value =" 14 "&gt; 14 &lt;/ option&gt; &lt;option value = "15"&gt; 15 &lt;/ option&gt; &lt;option value = "16"&gt; 16 &lt;/ option&gt; &lt;option value = "17"&gt; 17 &lt;/ option&gt; &lt;option value = "18"&gt; 18 &lt;/ option&gt; &lt; option value = "19"&gt; 19 &lt;/ option&gt; &lt;option value = "20"&gt; 20 &lt;/ option&gt; &lt;option value = "21"&gt; 21 &lt;/ option&gt; &lt;option value = "22"&gt; 22 &lt;/ option &gt; &lt;option value = "23"&gt; 23 &lt;/ option&gt; &lt;option value = "24"&gt; 24 &lt;/ option&gt; &lt;option value = "25"&gt; 25 &lt;/ option&gt; &lt;option value = "26"&gt; 26 &lt; / option&gt; &lt;option value = "27"&gt; 27 &lt;/ option&gt; &lt;option value = "28"&gt; 28 &lt;/ option&gt; &lt;option va lue = "29"&gt; 29 &lt;/ option&gt; &lt;option value = "30"&gt; 30 &lt;/ option&gt; &lt;option value = "31"&gt; 31 &lt;/ option&gt; &lt;/ select&gt; &lt;select tabindex = "- 1" class = "airy-age-gate-year"&gt; &lt;option value = "2019"&gt; 2019 &lt;/ option&gt; &lt;option value = "2018"&gt; 2018 &lt;/ option&gt; &lt;option value = "2017"&gt; 2017 &lt;/ option&gt; &lt;option value = "2016"&gt; ​​2016 &lt;/ option&gt; &lt;option value = "2015"&gt; 2015 &lt;/ option&gt; &lt;option value = "2014"&gt; 2014 &lt;/ option&gt; &lt;option value = "2013"&gt; 2013 &lt;/ option&gt; &lt;option value = "2012"&gt; 2012 &lt;/ option&gt; &lt;option value = "2011"&gt; 2011 &lt;/ option&gt; &lt;option value = "2010"&gt; 2010 &lt;/ option&gt; &lt;option value = "2009"&gt; 2009 &lt;/ option&gt; &lt;option value = "2008"&gt; 2008 &lt;/ option&gt; &lt;option value = "2007"&gt; 2007 &lt;/ option&gt; &lt;option value = "2006"&gt; 2006 &lt;/ option&gt; &lt;option value = "2005" &gt; 2005 &lt;/ option&gt; &lt;option value = "2004"&gt; 2004 &lt;/ option&gt; &lt;option value = "2003"&gt; 2003 &lt;/ option&gt; &lt;option value = "2002"&gt; 2002 &lt;/ option&gt; &lt;option value = " 2001 "&gt; 2001 &lt;/ option&gt; &lt;option value =" 2000 "&gt; 2000 &lt;/ option&gt; &lt;option value =" 1999 "&gt; 1999 &lt;/ option&gt; &lt;option value =" 1998 "&gt; 1998 &lt;/ option&gt; &lt;option value = "1997"&gt; 1997 &lt;/ option&gt; &lt;option value = "1996"&gt; 1996 &lt;/ option&gt; &lt;option value = "1995"&gt; 1995 &lt;/ option&gt; &lt;option valu e = "1994"&gt; 1994 &lt;/ option&gt; &lt;option value = "1993"&gt; 1993 &lt;/ option&gt; &lt;option value = "1992"&gt; 1992 &lt;/ option&gt; &lt;option value = "1991"&gt; 1991 &lt;/ option&gt; &lt;option value = "1990"&gt; 1990 &lt;/ option&gt; &lt;option value = "1989"&gt; 1989 &lt;/ option&gt; &lt;option value = "1988"&gt; 1988 &lt;/ option&gt; &lt;option value = "1987"&gt; 1987 &lt;/ option&gt; &lt;option value = "1986"&gt; 1986 &lt;/ option&gt; &lt;option value = "1985"&gt; 1985 &lt;/ option&gt; &lt;option value = "1984"&gt; 1984 &lt;/ option&gt; &lt;option value = "1983"&gt; 1983 &lt;/ option&gt; &lt;option value = "1982"&gt; 1982 &lt;/ option&gt; &lt;option value = "1981"&gt; 1981 &lt;/ option&gt; &lt;option value = "1980"&gt; 1980 &lt;/ option&gt; &lt;option value = "1979" &gt; 1979 &lt;/ option&gt; &lt;option value = "1978"&gt; 1978 &lt;/ option&gt; &lt;option value = "1977"&gt; 1977 &lt;/ option&gt; &lt;option value = "1976"&gt; 1976 &lt;/ option&gt; &lt;option value = " 1975 "&gt; 1975 &lt;/ option&gt; &lt;option value =" 1974 "&gt; 1974 &lt;/ option&gt; &lt;option value =" 1973 "&gt; 1973 &lt;/ option&gt; &lt;option value =" 1972 "&gt; 1972 &lt;/ option&gt; &lt;option value = "1971"&gt; 1971 &lt;/ option&gt; &lt;option value = "1970"&gt; 1970 &lt;/ option&gt; &lt;option value = "1969"&gt; 1969 &lt;/ option&gt; &lt;option value = "1968"&gt; 1968 &lt;/ option&gt; &lt; option value = "1967"&gt; 1967 &lt;/ option&gt; &lt;option value = "1966"&gt; 1966 &lt;/ option&gt; &lt;option value = "1965"&gt; 1965 &lt; / Option&gt; &lt;option value = "1964"&gt; 1964 &lt;/ option&gt; &lt;option value = "1963"&gt; 1963 &lt;/ option&gt; &lt;option value = "1962"&gt; 1962 &lt;/ option&gt; &lt;option value = "1961"&gt; 1961 &lt;/ option&gt; &lt;option value = "1960"&gt; 1960 &lt;/ option&gt; &lt;option value = "1959"&gt; 1959 &lt;/ option&gt; &lt;option value = "1958"&gt; 1958 &lt;/ option&gt; &lt;option value = "1957 "&gt; 1957 &lt;/ option&gt; &lt;option value =" 1956 "&gt; 1956 &lt;/ option&gt; &lt;option value =" 1955 "&gt; 1955 &lt;/ option&gt; &lt;option value =" 1954 "&gt; 1954 &lt;/ option&gt; &lt;option value = "1953"&gt; 1953 &lt;/ option&gt; &lt;option value = "1952"&gt; 1952 &lt;/ option&gt; &lt;option value = "1951"&gt; 1951 &lt;/ option&gt; &lt;option value = "1950"&gt; 1950 &lt;/ option&gt; &lt;option value = "1949"&gt; 1949 &lt;/ option&gt; &lt;option value = "1948"&gt; 1948 &lt;/ option&gt; &lt;option value = "1947"&gt; 1947 &lt;/ option&gt; &lt;option value = "1946"&gt; 1946 &lt;/ option&gt; &lt;option value = "1945"&gt; 1945 &lt;/ option&gt; &lt;option value = "1944"&gt; 1944 &lt;/ option&gt; &lt;option value = "1943"&gt; 1943 &lt;/ option&gt; &lt;option value = "1942"&gt; 1942 &lt;/ option&gt; &lt;option value = "1941"&gt; 1941 &lt;/ option&gt; &lt;option value = "1940"&gt; 1940 &lt;/ option&gt; &lt;option value = "1939"&gt; 1939 &lt;/ option&gt; &lt;option value = "1938"&gt; 1938 &lt;/ option&gt; &lt;option value = "1937"&gt; 1937 &lt;/ option&gt; &lt;option value = "1936"&gt; 1936 &lt;/ option&gt; &lt;optio n value = "1935"&gt; 1935 &lt;/ option&gt; &lt;option value = "1934"&gt; 1934 &lt;/ option&gt; &lt;option value = "1933"&gt; 1933 &lt;/ option&gt; &lt;option value = "1932"&gt; 1932 &lt;/ option &gt; &lt;option value = "1931"&gt; 1931 &lt;/ option&gt; &lt;option value = "1930"&gt; 1930 &lt;/ option&gt; &lt;option value = "1929"&gt; 1929 &lt;/ option&gt; &lt;option value = "1928"&gt; 1928 &lt; / option&gt; &lt;option value = "1927"&gt; 1927 &lt;/ option&gt; &lt;option value = "1926"&gt; 1926 &lt;/ option&gt; &lt;option value = "1925"&gt; 1925 &lt;/ option&gt; &lt;option value = "1924"&gt; 1924 &lt;/ option&gt; &lt;option value = "1923"&gt; 1923 &lt;/ option&gt; &lt;option value = "1922"&gt; 1922 &lt;/ option&gt; &lt;option value = "1921"&gt; 1921 &lt;/ option&gt; &lt;option value = "1920 "&gt; 1920 &lt;/ option&gt; &lt;option value =" 1919 "&gt; 1919 &lt;/ option&gt; &lt;option value =" 1918 "&gt; 1918 &lt;/ option&gt; &lt;option value =" 1917 "&gt; 1917 &lt;/ option&gt; &lt;option value = "1916"&gt; 1916 &lt;/ option&gt; &lt;option value = "1915"&gt; 1915 &lt;/ option&gt; &lt;option value = "1914"&gt; 1914 &lt;/ option&gt; &lt;option value = "1913"&gt; 1913 &lt;/ option&gt; &lt;option value = "1912"&gt; 1912 &lt;/ option&gt; &lt;option value = "1911"&gt; 1911 &lt;/ option&gt; &lt;option value = "1910"&gt; 1910 &lt;/ option&gt; &lt;option value = "1909"&gt; 1909 &lt;/ option&gt; &lt;option value = "1908"&gt; 1908 &lt;/ option&gt; &lt;option value = "1907"&gt; 1907 &lt;/ option&gt; &lt;option value = "1906" &gt; 1906 &lt;/ option&gt; &lt;option value = "1905"&gt; 1905 &lt;/ option&gt; &lt;option value = "1904"&gt; 1904 &lt;/ option&gt; &lt;option value = "1903"&gt; 1903 &lt;/ option&gt; &lt;option value = " 1902 "&gt; 1902 &lt;/ option&gt; &lt;option value =" 1901 "&gt; 1901 &lt;/ option&gt; &lt;option value =" 1900 "&gt; 1900 &lt;/ option&gt; &lt;/ select&gt; &lt;div tabindex =" - 1 "class =" airy -age-gate-submit airy-submit airy-button airy-submit-disabled "&gt; Submit &lt;/ div&gt; &lt;/ div&gt; &lt;/ div&gt; &lt;/ div&gt; &lt;/ div&gt; &lt;/ div&gt; &lt;div tabindex =" - 1 "class =" airy-install-flash-dialog airy-stage airy-vertical-centering-table airy-dialog airy-denied "style =" opacity: 0; visibility: hidden; "&gt; &lt;div tabindex =" - 1 " class = "airy-install-flash-vertical-centering-table-cell airy-vertical-centering-table-cell"&gt; &lt;div tabindex = "- 1" class = "airy-vertical-centering-wrapper airy-install-flash -elements-wrapper "&gt; &lt;div tabindex =" - 1 "class =" airy-install-flash-elements airy-dialog-elements "&gt; &lt;div tabindex =" - 1 "class =" airy-install-flash-prompt " &gt; Adobe Flash Player is required to watch this video &lt;/ div&gt; &lt;div tabindex =. "- 1" class = "airy-install-flash-button-wrapper airy-dialog-inner-elements"&gt; &lt;Div tabindex = "- 1" class = "airy-install-flash-button airy-button"&gt; Install Flash Player &lt;/ div&gt; &lt;/ div&gt; &lt;/ div&gt; &lt;/ div&gt; &lt;/ div&gt; &lt;/ div&gt; &lt;div tabindex = "- 1" class = "airy-video-unsupported-dialog airy-stage airy-vertical-centering-table airy-dialog airy-denied" style = "opacity: 0; visibility: hidden;"&gt; &lt;div tabindex = "- 1" class = "airy-video-unsupported-vertical-centering-table-cell airy-vertical-centering-table-cell"&gt; &lt;div tabindex = "- 1" class = "airy-vertical-centering- wrapper airy-video-unsupported-elements-wrapper "&gt; &lt;div tabindex =" - 1 "class =" airy-video-unsupported-elements airy-dialog-elements "&gt; &lt;div tabindex =" - 1 "class =" airy- video-unsupported-prompt "&gt; &lt;/ div&gt; &lt;/ div&gt; &lt;/ div&gt; &lt;/ div&gt; &lt;/ div&gt; &lt;div tabindex =" - 1 "class =" airy-loading-spinner-stage airy-stage "&gt; &lt;div tabindex = "- 1" class = "airy-loading-spinner-vertical-centering-table-cell airy-vertical-centering-table-cell"&gt; &lt;div tabindex = "- 1" class = "airy-loading- spinner-container airy-scalable-hint-container "&gt; &lt;div tabindex =" - 1 "class =" airy-loading-spinner-dummy airy-scalable-dumm y "&gt; &lt;/ div&gt; &lt;div tabindex =" - 1 "class =" airy-loading-spinner airy-hint "style =" visibility: hidden; "&gt; &lt;/ div&gt; &lt;/ div&gt; &lt;/ div&gt; &lt;/ div&gt; &lt;div tabindex = "- 1" class = "airy-ads-screen-size-toggle airy-screen-size-toggle airy-fullscreen" style = "visibility: hidden;"&gt; &lt;/ div&gt; &lt;div tabindex = "-1" class = "airy-ad-prompt-container" style = "visibility: hidden;"&gt; &lt;div tabindex = "- 1" class = "airy-ad-prompt-vertical-centering-table airy-vertical- centering-table "&gt; &lt;div tabindex =" - 1 "class =" airy-ad-prompt-vertical-centering-table-cell airy-vertical-centering-table-cell "&gt; &lt;div tabindex =" - 1 "class = "airy-ad-prompt-label"&gt; &lt;/ div&gt; &lt;/ div&gt; &lt;/ div&gt; &lt;/ div&gt; &lt;div tabindex = "- 1" class = "airy-ads-controls-container" style = "visibility: hidden; "&gt; &lt;div tabindex =" - 1 "class =" airy-ads-audio-toggle airy-audio-toggle airy-on "style =" visibility: hidden; "&gt; &lt;/ div&gt; &lt;div tabindex =" - 1 "class =" airy-time-remaining-label-container "&gt; &lt;div tabindex =" - 1 "class =" airy-time-remaining-vertical-centering-table airy-vertical-centering-table "&gt; &lt;div tabindex = "- 1" class = "airy-time-rem aining-vertical-centering-table-cell airy-vertical-centering-table-cell "&gt; &lt;div tabindex =" - 1 "class =" airy-vertical-centering-wrapper airy-time-remaining-label-wrapper "&gt; &lt; div tabindex = "- 1" class = "airy-time-remaining-label" style = "visibility: hidden;"&gt; &lt;/ div&gt; &lt;div tabindex = "- 1" class = "airy-ad-skip" style = "visibility: hidden;"&gt; &lt;/ div&gt; &lt;div tabindex = "- 1" class = "airy-ad-end" style = "visibility: hidden;"&gt; &lt;/ div&gt; &lt;/ div&gt; &lt;/ div&gt; &lt; / div&gt; &lt;/ div&gt; &lt;div tabindex = "- 1" class = "airy-learn-more" style = "visibility: hidden;"&gt; &lt;/ div&gt; &lt;/ div&gt; &lt;div tabindex = "- 1" class = "airy-play-toggle-hint-stage airy-stage airy-cursor"&gt; &lt;div tabindex = "- 1" class = "airy-play-toggle-hint-vertical-centering-table-cell airy-vertical-centering -table-cell airy-cursor "&gt; &lt;div tabindex =" - 1 "class =" airy-play-toggle-hint-container airy-scalable-hint-container "&gt; &lt;div tabindex =" - 1 "class =" airy -play-toggle-hint-dummy airy-scalable-dummy "&gt; &lt;/ div&gt; &lt;div tabindex =" - 1 "class =" airy-play-toggle-hint airy-hint airy-play-hint "style =" opacity : 1; visibility: visible; "&gt; &lt;/ div &gt; &lt;/ Div&gt; &lt;/ div&gt; &lt;/ div&gt; &lt;div tabindex = "- 1" class = "airy-replay-hint-stage airy-stage" style = "visibility: hidden;"&gt; &lt;div tabindex = "- 1 "class =" airy-replay-hint-vertical-centering-table-cell airy-vertical-centering-table-cell airy-cursor "&gt; &lt;div tabindex =" - 1 "class =" airy-replay-hint-container airy-scalable-hint-container "&gt; &lt;div tabindex =" - 1 "class =" airy-replay-hint-dummy airy-scalable-dummy "&gt; &lt;/ div&gt; &lt;div tabindex =" - 1 "class =" airy -replay-hint airy-hint "&gt; &lt;/ div&gt; &lt;/ div&gt; &lt;/ div&gt; &lt;/ div&gt; &lt;div tabindex =" - 1 "class =" airy-autoplay-hint-stage airy-stage "style =" visibility: hidden; "&gt; &lt;div tabindex =" - 1 "class =" airy-autoplay-hint-vertical-centering-table-cell airy-vertical-centering-table-cell airy-cursor "&gt; &lt;div tabindex =" - 1 "class =" airy-autoplay-hint-container airy-scalable-hint-container "&gt; &lt;div tabindex =" - 1 "class =" airy-autoplay-hint-dummy airy-scalable-dummy "&gt; &lt;/ div&gt; &lt;/ div&gt; &lt;/ div&gt; &lt;/ div&gt; &lt;/ div&gt; &lt;/ div&gt; &lt;input type = "hidden" name = "" value = "https://images-cn.ssl-images-amazon.com/ images / I / 71ef82GBBaS.mp4 "class =" video-url "&gt; &lt;input type = "hidden" name = "" value = "https://images-cn.ssl-images-amazon.com/images/I/91iGHtMVCFS.png" class = "video-slate-img-url"&gt; &amp; nbsp; price beautiful, very beautiful watches</v>
      </c>
    </row>
    <row r="523">
      <c r="A523" s="1">
        <v>5.0</v>
      </c>
      <c r="B523" s="1" t="s">
        <v>524</v>
      </c>
      <c r="C523" t="str">
        <f>IFERROR(__xludf.DUMMYFUNCTION("GOOGLETRANSLATE(B523, ""zh"", ""en"")"),"Style good style very well, very much. German original. Currently just received the headphones, yet burn. Listen when the bass is quite rich, but suppressed the midrange and treble. The big volume, treble sound will become spikes until after the open burn"&amp;"ing look.")</f>
        <v>Style good style very well, very much. German original. Currently just received the headphones, yet burn. Listen when the bass is quite rich, but suppressed the midrange and treble. The big volume, treble sound will become spikes until after the open burning look.</v>
      </c>
    </row>
    <row r="524">
      <c r="A524" s="1">
        <v>5.0</v>
      </c>
      <c r="B524" s="1" t="s">
        <v>525</v>
      </c>
      <c r="C524" t="str">
        <f>IFERROR(__xludf.DUMMYFUNCTION("GOOGLETRANSLATE(B524, ""zh"", ""en"")"),"Yes Belt Belt'm sure it is genuine, with the fate of tomorrow")</f>
        <v>Yes Belt Belt'm sure it is genuine, with the fate of tomorrow</v>
      </c>
    </row>
    <row r="525">
      <c r="A525" s="1">
        <v>5.0</v>
      </c>
      <c r="B525" s="1" t="s">
        <v>526</v>
      </c>
      <c r="C525" t="str">
        <f>IFERROR(__xludf.DUMMYFUNCTION("GOOGLETRANSLATE(B525, ""zh"", ""en"")"),"Good shopping beginning with the Philips shaver, 16 years on Taobao Shopping Japan 5040S, Philips feeling really not good, not clean shaven, so occasionally will use a razor. The purchase of the British head, not the same feeling, too clean. Shopping on T"&amp;"aobao treasure Japanese razor I do not know where a problem, subvert the feelings of Braun's, thanks to the online shopping.")</f>
        <v>Good shopping beginning with the Philips shaver, 16 years on Taobao Shopping Japan 5040S, Philips feeling really not good, not clean shaven, so occasionally will use a razor. The purchase of the British head, not the same feeling, too clean. Shopping on Taobao treasure Japanese razor I do not know where a problem, subvert the feelings of Braun's, thanks to the online shopping.</v>
      </c>
    </row>
    <row r="526">
      <c r="A526" s="1">
        <v>5.0</v>
      </c>
      <c r="B526" s="1" t="s">
        <v>527</v>
      </c>
      <c r="C526" t="str">
        <f>IFERROR(__xludf.DUMMYFUNCTION("GOOGLETRANSLATE(B526, ""zh"", ""en"")"),"Slightly larger good, then less than half the number the better, and W Wide little fat ah, but not the right number, or very satisfied! Super nice! But what to wear clothing with pleats on this too quickly ... is the most fun a lot cheaper than a treasure"&amp;"! I waited more than a week before delivery! Fortunately, however, to delivery it here")</f>
        <v>Slightly larger good, then less than half the number the better, and W Wide little fat ah, but not the right number, or very satisfied! Super nice! But what to wear clothing with pleats on this too quickly ... is the most fun a lot cheaper than a treasure! I waited more than a week before delivery! Fortunately, however, to delivery it here</v>
      </c>
    </row>
    <row r="527">
      <c r="A527" s="1">
        <v>5.0</v>
      </c>
      <c r="B527" s="1" t="s">
        <v>528</v>
      </c>
      <c r="C527" t="str">
        <f>IFERROR(__xludf.DUMMYFUNCTION("GOOGLETRANSLATE(B527, ""zh"", ""en"")"),"You can buy a single 13 evening, 18 am received, this speed is not the who. I still mighty Amazon. 160,60, usually tops L code, look at all suggesting that small, so buy the m code, suitable, but a little loose should buy L code is also possible. Thin cas"&amp;"hmere, fairly warm outside wearing a down jacket without pressure from Beijing.")</f>
        <v>You can buy a single 13 evening, 18 am received, this speed is not the who. I still mighty Amazon. 160,60, usually tops L code, look at all suggesting that small, so buy the m code, suitable, but a little loose should buy L code is also possible. Thin cashmere, fairly warm outside wearing a down jacket without pressure from Beijing.</v>
      </c>
    </row>
    <row r="528">
      <c r="A528" s="1">
        <v>5.0</v>
      </c>
      <c r="B528" s="1" t="s">
        <v>529</v>
      </c>
      <c r="C528" t="str">
        <f>IFERROR(__xludf.DUMMYFUNCTION("GOOGLETRANSLATE(B528, ""zh"", ""en"")"),"Genuine love, it should be genuine, quite nice")</f>
        <v>Genuine love, it should be genuine, quite nice</v>
      </c>
    </row>
    <row r="529">
      <c r="A529" s="1">
        <v>5.0</v>
      </c>
      <c r="B529" s="1" t="s">
        <v>530</v>
      </c>
      <c r="C529" t="str">
        <f>IFERROR(__xludf.DUMMYFUNCTION("GOOGLETRANSLATE(B529, ""zh"", ""en"")"),"Fortunately, the right size, the results were OK.")</f>
        <v>Fortunately, the right size, the results were OK.</v>
      </c>
    </row>
    <row r="530">
      <c r="A530" s="1">
        <v>5.0</v>
      </c>
      <c r="B530" s="1" t="s">
        <v>531</v>
      </c>
      <c r="C530" t="str">
        <f>IFERROR(__xludf.DUMMYFUNCTION("GOOGLETRANSLATE(B530, ""zh"", ""en"")"),"Very good comfort level online no cup at all thanks to the good breast shape it")</f>
        <v>Very good comfort level online no cup at all thanks to the good breast shape it</v>
      </c>
    </row>
    <row r="531">
      <c r="A531" s="1">
        <v>5.0</v>
      </c>
      <c r="B531" s="1" t="s">
        <v>532</v>
      </c>
      <c r="C531" t="str">
        <f>IFERROR(__xludf.DUMMYFUNCTION("GOOGLETRANSLATE(B531, ""zh"", ""en"")"),"Genuine store goods, with the purchase on behalf of the same")</f>
        <v>Genuine store goods, with the purchase on behalf of the same</v>
      </c>
    </row>
    <row r="532">
      <c r="A532" s="1">
        <v>5.0</v>
      </c>
      <c r="B532" s="1" t="s">
        <v>533</v>
      </c>
      <c r="C532" t="str">
        <f>IFERROR(__xludf.DUMMYFUNCTION("GOOGLETRANSLATE(B532, ""zh"", ""en"")"),"Original authentic, the lowest price, right? Ear bag is very soft, very comfortable wearing, do not wear glasses sandwiched ear pain; a clean sound, after all, the positioning device is portable, low impedance, so it was otherwise, the price or full fair.")</f>
        <v>Original authentic, the lowest price, right? Ear bag is very soft, very comfortable wearing, do not wear glasses sandwiched ear pain; a clean sound, after all, the positioning device is portable, low impedance, so it was otherwise, the price or full fair.</v>
      </c>
    </row>
    <row r="533">
      <c r="A533" s="1">
        <v>5.0</v>
      </c>
      <c r="B533" s="1" t="s">
        <v>534</v>
      </c>
      <c r="C533" t="str">
        <f>IFERROR(__xludf.DUMMYFUNCTION("GOOGLETRANSLATE(B533, ""zh"", ""en"")"),"The price really buy is to make this really real price to buy the BUG. . . More than 200 in Japan can not buy a lot of time, really feel earned a one hundred million ah")</f>
        <v>The price really buy is to make this really real price to buy the BUG. . . More than 200 in Japan can not buy a lot of time, really feel earned a one hundred million ah</v>
      </c>
    </row>
    <row r="534">
      <c r="A534" s="1">
        <v>5.0</v>
      </c>
      <c r="B534" s="1" t="s">
        <v>535</v>
      </c>
      <c r="C534" t="str">
        <f>IFERROR(__xludf.DUMMYFUNCTION("GOOGLETRANSLATE(B534, ""zh"", ""en"")"),"Buy less than the last thread of a lot more than that ...... last time to buy is a single 36 × 29 in the right way, this time to buy the right there are 36 × 30 in there a little bit longer, to Like this work is really good, it's summer, do not know the d"&amp;"egree of warmth.")</f>
        <v>Buy less than the last thread of a lot more than that ...... last time to buy is a single 36 × 29 in the right way, this time to buy the right there are 36 × 30 in there a little bit longer, to Like this work is really good, it's summer, do not know the degree of warmth.</v>
      </c>
    </row>
    <row r="535">
      <c r="A535" s="1">
        <v>5.0</v>
      </c>
      <c r="B535" s="1" t="s">
        <v>536</v>
      </c>
      <c r="C535" t="str">
        <f>IFERROR(__xludf.DUMMYFUNCTION("GOOGLETRANSLATE(B535, ""zh"", ""en"")"),"Why not act very satisfied, in addition to logistics speed slightly slower, shoe itself is very good, just started the first day of wear heels and do some little finger pressure, but wearing a few days after opening very comfortable to wear, this is what "&amp;"I want to buy shoes I nike Adidas sneakers to wear 44 yards shoes 10us this is appropriate, there are some gaps in the Amazon shopping is great, more and more overseas to buy goods and more complete, I still remember last year, I want to buy a double play"&amp;" is not bad shoes, small Central Asian sources did not say the price is ridiculously expensive, only the United States and Asia to buy, and now much more convenient, I wish Amazon better and better.")</f>
        <v>Why not act very satisfied, in addition to logistics speed slightly slower, shoe itself is very good, just started the first day of wear heels and do some little finger pressure, but wearing a few days after opening very comfortable to wear, this is what I want to buy shoes I nike Adidas sneakers to wear 44 yards shoes 10us this is appropriate, there are some gaps in the Amazon shopping is great, more and more overseas to buy goods and more complete, I still remember last year, I want to buy a double play is not bad shoes, small Central Asian sources did not say the price is ridiculously expensive, only the United States and Asia to buy, and now much more convenient, I wish Amazon better and better.</v>
      </c>
    </row>
    <row r="536">
      <c r="A536" s="1">
        <v>5.0</v>
      </c>
      <c r="B536" s="1" t="s">
        <v>537</v>
      </c>
      <c r="C536" t="str">
        <f>IFERROR(__xludf.DUMMYFUNCTION("GOOGLETRANSLATE(B536, ""zh"", ""en"")"),"170cm75kg buy m number of wearing a little tight, like loose can buy freshman yards. 170cm75kg buy m number of wearing a little tight, like loose can buy freshman yards.")</f>
        <v>170cm75kg buy m number of wearing a little tight, like loose can buy freshman yards. 170cm75kg buy m number of wearing a little tight, like loose can buy freshman yards.</v>
      </c>
    </row>
    <row r="537">
      <c r="A537" s="1">
        <v>5.0</v>
      </c>
      <c r="B537" s="1" t="s">
        <v>538</v>
      </c>
      <c r="C537" t="str">
        <f>IFERROR(__xludf.DUMMYFUNCTION("GOOGLETRANSLATE(B537, ""zh"", ""en"")"),"Just right height and weight 70 170 is just right, super.")</f>
        <v>Just right height and weight 70 170 is just right, super.</v>
      </c>
    </row>
    <row r="538">
      <c r="A538" s="1">
        <v>5.0</v>
      </c>
      <c r="B538" s="1" t="s">
        <v>539</v>
      </c>
      <c r="C538" t="str">
        <f>IFERROR(__xludf.DUMMYFUNCTION("GOOGLETRANSLATE(B538, ""zh"", ""en"")"),"Super elastic, super cheap. Although this is scouring the sea, but the feeling is Asia's version, with sea Amoy US version of the 3130 levis little freshman than the waist, pants length of 1 inch. Magical place that the resilient force of nearly complete "&amp;"pants, a general concept is not completely slightly elastic fabric. Waistband with elastic band that just as exaggerated, so wear comfortable not tight. Pants feel a little bit slightly larger than the average of the strait.")</f>
        <v>Super elastic, super cheap. Although this is scouring the sea, but the feeling is Asia's version, with sea Amoy US version of the 3130 levis little freshman than the waist, pants length of 1 inch. Magical place that the resilient force of nearly complete pants, a general concept is not completely slightly elastic fabric. Waistband with elastic band that just as exaggerated, so wear comfortable not tight. Pants feel a little bit slightly larger than the average of the strait.</v>
      </c>
    </row>
    <row r="539">
      <c r="A539" s="1">
        <v>5.0</v>
      </c>
      <c r="B539" s="1" t="s">
        <v>540</v>
      </c>
      <c r="C539" t="str">
        <f>IFERROR(__xludf.DUMMYFUNCTION("GOOGLETRANSLATE(B539, ""zh"", ""en"")"),"Correct phone problem, full five-star is what I want to publish!")</f>
        <v>Correct phone problem, full five-star is what I want to publish!</v>
      </c>
    </row>
    <row r="540">
      <c r="A540" s="1">
        <v>5.0</v>
      </c>
      <c r="B540" s="1" t="s">
        <v>541</v>
      </c>
      <c r="C540" t="str">
        <f>IFERROR(__xludf.DUMMYFUNCTION("GOOGLETRANSLATE(B540, ""zh"", ""en"")"),"Although somewhat useful, but very good use")</f>
        <v>Although somewhat useful, but very good use</v>
      </c>
    </row>
    <row r="541">
      <c r="A541" s="1">
        <v>5.0</v>
      </c>
      <c r="B541" s="1" t="s">
        <v>542</v>
      </c>
      <c r="C541" t="str">
        <f>IFERROR(__xludf.DUMMYFUNCTION("GOOGLETRANSLATE(B541, ""zh"", ""en"")"),"Cotton content of 80%, these pants I beat out better than Nike, cheaper than Nike, 100 points")</f>
        <v>Cotton content of 80%, these pants I beat out better than Nike, cheaper than Nike, 100 points</v>
      </c>
    </row>
    <row r="542">
      <c r="A542" s="1">
        <v>2.0</v>
      </c>
      <c r="B542" s="1" t="s">
        <v>543</v>
      </c>
      <c r="C542" t="str">
        <f>IFERROR(__xludf.DUMMYFUNCTION("GOOGLETRANSLATE(B542, ""zh"", ""en"")"),"Very strange stature, body short and thick stubby body long sleeves, stature in Europe and also one of those absolutely wonderful quality is very good, do not recommend buying")</f>
        <v>Very strange stature, body short and thick stubby body long sleeves, stature in Europe and also one of those absolutely wonderful quality is very good, do not recommend buying</v>
      </c>
    </row>
    <row r="543">
      <c r="A543" s="1">
        <v>3.0</v>
      </c>
      <c r="B543" s="1" t="s">
        <v>544</v>
      </c>
      <c r="C543" t="str">
        <f>IFERROR(__xludf.DUMMYFUNCTION("GOOGLETRANSLATE(B543, ""zh"", ""en"")"),"Bangladesh-made size is too large, the quality was okay, that size is too large. Waist 38 actually has 101cm.")</f>
        <v>Bangladesh-made size is too large, the quality was okay, that size is too large. Waist 38 actually has 101cm.</v>
      </c>
    </row>
    <row r="544">
      <c r="A544" s="1">
        <v>1.0</v>
      </c>
      <c r="B544" s="1" t="s">
        <v>545</v>
      </c>
      <c r="C544" t="str">
        <f>IFERROR(__xludf.DUMMYFUNCTION("GOOGLETRANSLATE(B544, ""zh"", ""en"")"),"Not very satisfied uncomfortable to wear insoles super hard, barefoot and wear socks to wear slip will not walk much, super foot pain. Just in time to go out and play with these shoes, walking directly to the other half went to buy a pair of shoes, only t"&amp;"o feel alive again. As it has been through a few days, so we reclaim, but really super super satisfied.")</f>
        <v>Not very satisfied uncomfortable to wear insoles super hard, barefoot and wear socks to wear slip will not walk much, super foot pain. Just in time to go out and play with these shoes, walking directly to the other half went to buy a pair of shoes, only to feel alive again. As it has been through a few days, so we reclaim, but really super super satisfied.</v>
      </c>
    </row>
    <row r="545">
      <c r="A545" s="1">
        <v>1.0</v>
      </c>
      <c r="B545" s="1" t="s">
        <v>546</v>
      </c>
      <c r="C545" t="str">
        <f>IFERROR(__xludf.DUMMYFUNCTION("GOOGLETRANSLATE(B545, ""zh"", ""en"")"),"Poor quality of hand count the shipping price is less than .500. Cheap is cheap but the quality of the shoes too bad. Unglued through the second week.")</f>
        <v>Poor quality of hand count the shipping price is less than .500. Cheap is cheap but the quality of the shoes too bad. Unglued through the second week.</v>
      </c>
    </row>
    <row r="546">
      <c r="A546" s="1">
        <v>4.0</v>
      </c>
      <c r="B546" s="1" t="s">
        <v>547</v>
      </c>
      <c r="C546" t="str">
        <f>IFERROR(__xludf.DUMMYFUNCTION("GOOGLETRANSLATE(B546, ""zh"", ""en"")"),"Size quality was okay, too small")</f>
        <v>Size quality was okay, too small</v>
      </c>
    </row>
    <row r="547">
      <c r="A547" s="1">
        <v>4.0</v>
      </c>
      <c r="B547" s="1" t="s">
        <v>548</v>
      </c>
      <c r="C547" t="str">
        <f>IFERROR(__xludf.DUMMYFUNCTION("GOOGLETRANSLATE(B547, ""zh"", ""en"")"),"Some small 172,75kg wear M code slightly smaller, mainly the sleeves too narrow, this is for people to prepare thin star.")</f>
        <v>Some small 172,75kg wear M code slightly smaller, mainly the sleeves too narrow, this is for people to prepare thin star.</v>
      </c>
    </row>
    <row r="548">
      <c r="A548" s="1">
        <v>4.0</v>
      </c>
      <c r="B548" s="1" t="s">
        <v>549</v>
      </c>
      <c r="C548" t="str">
        <f>IFERROR(__xludf.DUMMYFUNCTION("GOOGLETRANSLATE(B548, ""zh"", ""en"")"),"Something good something good, the price is not expensive, is wearing a bit hot in summer!")</f>
        <v>Something good something good, the price is not expensive, is wearing a bit hot in summer!</v>
      </c>
    </row>
    <row r="549">
      <c r="A549" s="1">
        <v>4.0</v>
      </c>
      <c r="B549" s="1" t="s">
        <v>550</v>
      </c>
      <c r="C549" t="str">
        <f>IFERROR(__xludf.DUMMYFUNCTION("GOOGLETRANSLATE(B549, ""zh"", ""en"")"),"Shoes very good but a little smaller uk7 change uk8 have uk8 but big pro please contact me")</f>
        <v>Shoes very good but a little smaller uk7 change uk8 have uk8 but big pro please contact me</v>
      </c>
    </row>
    <row r="550">
      <c r="A550" s="1">
        <v>4.0</v>
      </c>
      <c r="B550" s="1" t="s">
        <v>551</v>
      </c>
      <c r="C550" t="str">
        <f>IFERROR(__xludf.DUMMYFUNCTION("GOOGLETRANSLATE(B550, ""zh"", ""en"")"),"Please note that when 350ml and 360ml section lid open the way to open the way not the same as buying 360ml and 350ml lid section is not the same, this is not convenient 350ml of open with one hand, and the instructions on the cup is not upside down.")</f>
        <v>Please note that when 350ml and 360ml section lid open the way to open the way not the same as buying 360ml and 350ml lid section is not the same, this is not convenient 350ml of open with one hand, and the instructions on the cup is not upside down.</v>
      </c>
    </row>
    <row r="551">
      <c r="A551" s="1">
        <v>5.0</v>
      </c>
      <c r="B551" s="1" t="s">
        <v>552</v>
      </c>
      <c r="C551" t="str">
        <f>IFERROR(__xludf.DUMMYFUNCTION("GOOGLETRANSLATE(B551, ""zh"", ""en"")"),"Worth buying satisfaction. Amazon trustworthy.")</f>
        <v>Worth buying satisfaction. Amazon trustworthy.</v>
      </c>
    </row>
    <row r="552">
      <c r="A552" s="1">
        <v>5.0</v>
      </c>
      <c r="B552" s="1" t="s">
        <v>553</v>
      </c>
      <c r="C552" t="str">
        <f>IFERROR(__xludf.DUMMYFUNCTION("GOOGLETRANSLATE(B552, ""zh"", ""en"")"),"When the table is very beautiful very good value for money to go fairly accurate steel bracelet is very solid praise")</f>
        <v>When the table is very beautiful very good value for money to go fairly accurate steel bracelet is very solid praise</v>
      </c>
    </row>
    <row r="553">
      <c r="A553" s="1">
        <v>5.0</v>
      </c>
      <c r="B553" s="1" t="s">
        <v>554</v>
      </c>
      <c r="C553" t="str">
        <f>IFERROR(__xludf.DUMMYFUNCTION("GOOGLETRANSLATE(B553, ""zh"", ""en"")"),"A little too much quality is good, the nipple is thinner than the original number, in fact, better and more softened. Is more, 6")</f>
        <v>A little too much quality is good, the nipple is thinner than the original number, in fact, better and more softened. Is more, 6</v>
      </c>
    </row>
    <row r="554">
      <c r="A554" s="1">
        <v>5.0</v>
      </c>
      <c r="B554" s="1" t="s">
        <v>555</v>
      </c>
      <c r="C554" t="str">
        <f>IFERROR(__xludf.DUMMYFUNCTION("GOOGLETRANSLATE(B554, ""zh"", ""en"")"),"Feel value cry out, line and two sets, shower head shake that voice, want to install smoothly, good luck")</f>
        <v>Feel value cry out, line and two sets, shower head shake that voice, want to install smoothly, good luck</v>
      </c>
    </row>
    <row r="555">
      <c r="A555" s="1">
        <v>5.0</v>
      </c>
      <c r="B555" s="1" t="s">
        <v>556</v>
      </c>
      <c r="C555" t="str">
        <f>IFERROR(__xludf.DUMMYFUNCTION("GOOGLETRANSLATE(B555, ""zh"", ""en"")"),"Comfortable and just the right size, wear comfortable, very soft")</f>
        <v>Comfortable and just the right size, wear comfortable, very soft</v>
      </c>
    </row>
    <row r="556">
      <c r="A556" s="1">
        <v>5.0</v>
      </c>
      <c r="B556" s="1" t="s">
        <v>557</v>
      </c>
      <c r="C556" t="str">
        <f>IFERROR(__xludf.DUMMYFUNCTION("GOOGLETRANSLATE(B556, ""zh"", ""en"")"),"Inside and outside the code is not the same as you see the packaging and the receipt of the package code is not the same as in Fig.")</f>
        <v>Inside and outside the code is not the same as you see the packaging and the receipt of the package code is not the same as in Fig.</v>
      </c>
    </row>
    <row r="557">
      <c r="A557" s="1">
        <v>5.0</v>
      </c>
      <c r="B557" s="1" t="s">
        <v>558</v>
      </c>
      <c r="C557" t="str">
        <f>IFERROR(__xludf.DUMMYFUNCTION("GOOGLETRANSLATE(B557, ""zh"", ""en"")"),"Durable, fit feet. 10 years ago, bought with the money just is not geotex, wore six or seven years, until the leak soles, uppers unscathed, serious recommendation.")</f>
        <v>Durable, fit feet. 10 years ago, bought with the money just is not geotex, wore six or seven years, until the leak soles, uppers unscathed, serious recommendation.</v>
      </c>
    </row>
    <row r="558">
      <c r="A558" s="1">
        <v>5.0</v>
      </c>
      <c r="B558" s="1" t="s">
        <v>559</v>
      </c>
      <c r="C558" t="str">
        <f>IFERROR(__xludf.DUMMYFUNCTION("GOOGLETRANSLATE(B558, ""zh"", ""en"")"),"Good belt, the price is not expensive cortex smooth and delicate, very good!")</f>
        <v>Good belt, the price is not expensive cortex smooth and delicate, very good!</v>
      </c>
    </row>
    <row r="559">
      <c r="A559" s="1">
        <v>5.0</v>
      </c>
      <c r="B559" s="1" t="s">
        <v>560</v>
      </c>
      <c r="C559" t="str">
        <f>IFERROR(__xludf.DUMMYFUNCTION("GOOGLETRANSLATE(B559, ""zh"", ""en"")"),"Yes. 173, weight 130, just buy the S number.")</f>
        <v>Yes. 173, weight 130, just buy the S number.</v>
      </c>
    </row>
    <row r="560">
      <c r="A560" s="1">
        <v>5.0</v>
      </c>
      <c r="B560" s="1" t="s">
        <v>561</v>
      </c>
      <c r="C560" t="str">
        <f>IFERROR(__xludf.DUMMYFUNCTION("GOOGLETRANSLATE(B560, ""zh"", ""en"")"),"Straight good value for money, more suitable for middle-aged. Traditional style, there are some thread on the work, overall good")</f>
        <v>Straight good value for money, more suitable for middle-aged. Traditional style, there are some thread on the work, overall good</v>
      </c>
    </row>
    <row r="561">
      <c r="A561" s="1">
        <v>5.0</v>
      </c>
      <c r="B561" s="1" t="s">
        <v>562</v>
      </c>
      <c r="C561" t="str">
        <f>IFERROR(__xludf.DUMMYFUNCTION("GOOGLETRANSLATE(B561, ""zh"", ""en"")"),"Yes I am male, 182cm, 64kg. 32w34l a little big, but better than a good small.")</f>
        <v>Yes I am male, 182cm, 64kg. 32w34l a little big, but better than a good small.</v>
      </c>
    </row>
    <row r="562">
      <c r="A562" s="1">
        <v>5.0</v>
      </c>
      <c r="B562" s="1" t="s">
        <v>563</v>
      </c>
      <c r="C562" t="str">
        <f>IFERROR(__xludf.DUMMYFUNCTION("GOOGLETRANSLATE(B562, ""zh"", ""en"")"),"Very good very good, very convenient to eat with children")</f>
        <v>Very good very good, very convenient to eat with children</v>
      </c>
    </row>
    <row r="563">
      <c r="A563" s="1">
        <v>5.0</v>
      </c>
      <c r="B563" s="1" t="s">
        <v>564</v>
      </c>
      <c r="C563" t="str">
        <f>IFERROR(__xludf.DUMMYFUNCTION("GOOGLETRANSLATE(B563, ""zh"", ""en"")"),"Under Armor first purchase product very satisfied, at least I will not buy shoes New Balance, and each is very disappointed.")</f>
        <v>Under Armor first purchase product very satisfied, at least I will not buy shoes New Balance, and each is very disappointed.</v>
      </c>
    </row>
    <row r="564">
      <c r="A564" s="1">
        <v>5.0</v>
      </c>
      <c r="B564" s="1" t="s">
        <v>565</v>
      </c>
      <c r="C564" t="str">
        <f>IFERROR(__xludf.DUMMYFUNCTION("GOOGLETRANSLATE(B564, ""zh"", ""en"")"),"Very satisfied with the first overseas purchase counters to 1390, as long as half the price online, week under a single hand, is simply terrible, I bought most of the code, wearing also fit, very satisfied")</f>
        <v>Very satisfied with the first overseas purchase counters to 1390, as long as half the price online, week under a single hand, is simply terrible, I bought most of the code, wearing also fit, very satisfied</v>
      </c>
    </row>
    <row r="565">
      <c r="A565" s="1">
        <v>5.0</v>
      </c>
      <c r="B565" s="1" t="s">
        <v>566</v>
      </c>
      <c r="C565" t="str">
        <f>IFERROR(__xludf.DUMMYFUNCTION("GOOGLETRANSLATE(B565, ""zh"", ""en"")"),"Filter effects house has been opened with this brand, but the domestic version, this time specifically to buy imported comparison. Original filter is indeed better than the domestic good effect, give praise!")</f>
        <v>Filter effects house has been opened with this brand, but the domestic version, this time specifically to buy imported comparison. Original filter is indeed better than the domestic good effect, give praise!</v>
      </c>
    </row>
    <row r="566">
      <c r="A566" s="1">
        <v>5.0</v>
      </c>
      <c r="B566" s="1" t="s">
        <v>567</v>
      </c>
      <c r="C566" t="str">
        <f>IFERROR(__xludf.DUMMYFUNCTION("GOOGLETRANSLATE(B566, ""zh"", ""en"")"),"Comments appearance beautiful, smooth water, writing fluency, value for money.")</f>
        <v>Comments appearance beautiful, smooth water, writing fluency, value for money.</v>
      </c>
    </row>
    <row r="567">
      <c r="A567" s="1">
        <v>5.0</v>
      </c>
      <c r="B567" s="1" t="s">
        <v>568</v>
      </c>
      <c r="C567" t="str">
        <f>IFERROR(__xludf.DUMMYFUNCTION("GOOGLETRANSLATE(B567, ""zh"", ""en"")"),"Arrival slower but your product is good scouring the sea in Tianjin customs clearance full clear more than a week, back and forth waiting for more than 3 weeks may look at. This slow clearance may be external factors, this is not blame. After the arrival "&amp;"of the packaging intact, the product is also good, so the high sea Amoy cost-effective. Have to spend, I feel good. Estimated that it takes them a while, the next will consider buying this way.")</f>
        <v>Arrival slower but your product is good scouring the sea in Tianjin customs clearance full clear more than a week, back and forth waiting for more than 3 weeks may look at. This slow clearance may be external factors, this is not blame. After the arrival of the packaging intact, the product is also good, so the high sea Amoy cost-effective. Have to spend, I feel good. Estimated that it takes them a while, the next will consider buying this way.</v>
      </c>
    </row>
    <row r="568">
      <c r="A568" s="1">
        <v>5.0</v>
      </c>
      <c r="B568" s="1" t="s">
        <v>569</v>
      </c>
      <c r="C568" t="str">
        <f>IFERROR(__xludf.DUMMYFUNCTION("GOOGLETRANSLATE(B568, ""zh"", ""en"")"),"Domestic appropriate than just buy a small one yard, 178,78kg, for your reference")</f>
        <v>Domestic appropriate than just buy a small one yard, 178,78kg, for your reference</v>
      </c>
    </row>
    <row r="569">
      <c r="A569" s="1">
        <v>5.0</v>
      </c>
      <c r="B569" s="1" t="s">
        <v>570</v>
      </c>
      <c r="C569" t="str">
        <f>IFERROR(__xludf.DUMMYFUNCTION("GOOGLETRANSLATE(B569, ""zh"", ""en"")"),"Very good 42 yards right size, sort of a small, start with a little less than 300, Taobao cheaper double eleven hundred, style I liked it, followed by a little foot wear, need to wear more than a while to adapt!")</f>
        <v>Very good 42 yards right size, sort of a small, start with a little less than 300, Taobao cheaper double eleven hundred, style I liked it, followed by a little foot wear, need to wear more than a while to adapt!</v>
      </c>
    </row>
    <row r="570">
      <c r="A570" s="1">
        <v>5.0</v>
      </c>
      <c r="B570" s="1" t="s">
        <v>571</v>
      </c>
      <c r="C570" t="str">
        <f>IFERROR(__xludf.DUMMYFUNCTION("GOOGLETRANSLATE(B570, ""zh"", ""en"")"),"Kawaii cup very affordable, good finish, small cup insulation effect is better")</f>
        <v>Kawaii cup very affordable, good finish, small cup insulation effect is better</v>
      </c>
    </row>
    <row r="571">
      <c r="A571" s="1">
        <v>5.0</v>
      </c>
      <c r="B571" s="1" t="s">
        <v>572</v>
      </c>
      <c r="C571" t="str">
        <f>IFERROR(__xludf.DUMMYFUNCTION("GOOGLETRANSLATE(B571, ""zh"", ""en"")"),"Good use has been using this brand, good")</f>
        <v>Good use has been using this brand, good</v>
      </c>
    </row>
    <row r="572">
      <c r="A572" s="1">
        <v>5.0</v>
      </c>
      <c r="B572" s="1" t="s">
        <v>573</v>
      </c>
      <c r="C572" t="str">
        <f>IFERROR(__xludf.DUMMYFUNCTION("GOOGLETRANSLATE(B572, ""zh"", ""en"")"),"Yes very good, feel good taste")</f>
        <v>Yes very good, feel good taste</v>
      </c>
    </row>
    <row r="573">
      <c r="A573" s="1">
        <v>2.0</v>
      </c>
      <c r="B573" s="1" t="s">
        <v>574</v>
      </c>
      <c r="C573" t="str">
        <f>IFERROR(__xludf.DUMMYFUNCTION("GOOGLETRANSLATE(B573, ""zh"", ""en"")"),"It is not necessary scissors relatively tasteless, now we found not much left to cut")</f>
        <v>It is not necessary scissors relatively tasteless, now we found not much left to cut</v>
      </c>
    </row>
    <row r="574">
      <c r="A574" s="1">
        <v>3.0</v>
      </c>
      <c r="B574" s="1" t="s">
        <v>575</v>
      </c>
      <c r="C574" t="str">
        <f>IFERROR(__xludf.DUMMYFUNCTION("GOOGLETRANSLATE(B574, ""zh"", ""en"")"),"Some activities junction writing is very smooth, but the pen is connected at some event, I returned several times, or so, may be design issues, do not understand 🤔 finally back")</f>
        <v>Some activities junction writing is very smooth, but the pen is connected at some event, I returned several times, or so, may be design issues, do not understand 🤔 finally back</v>
      </c>
    </row>
    <row r="575">
      <c r="A575" s="1">
        <v>3.0</v>
      </c>
      <c r="B575" s="1" t="s">
        <v>576</v>
      </c>
      <c r="C575" t="str">
        <f>IFERROR(__xludf.DUMMYFUNCTION("GOOGLETRANSLATE(B575, ""zh"", ""en"")"),"Code number is too large 165.106 pounds, wearing a fertilizer. Code number is too large, for reference. Quality can be.")</f>
        <v>Code number is too large 165.106 pounds, wearing a fertilizer. Code number is too large, for reference. Quality can be.</v>
      </c>
    </row>
    <row r="576">
      <c r="A576" s="1">
        <v>1.0</v>
      </c>
      <c r="B576" s="1" t="s">
        <v>577</v>
      </c>
      <c r="C576" t="str">
        <f>IFERROR(__xludf.DUMMYFUNCTION("GOOGLETRANSLATE(B576, ""zh"", ""en"")"),"Received very satisfied for the first time in the Amazon top shopping results very disappointing! Very very thin layer, feels like a raincoat same. See so much praise do not know how come.")</f>
        <v>Received very satisfied for the first time in the Amazon top shopping results very disappointing! Very very thin layer, feels like a raincoat same. See so much praise do not know how come.</v>
      </c>
    </row>
    <row r="577">
      <c r="A577" s="1">
        <v>1.0</v>
      </c>
      <c r="B577" s="1" t="s">
        <v>578</v>
      </c>
      <c r="C577" t="str">
        <f>IFERROR(__xludf.DUMMYFUNCTION("GOOGLETRANSLATE(B577, ""zh"", ""en"")"),"😔 too lazy to back. I thought it was 1000w, finally 700w! Amazon can expect a bit more professional, self-directed buy! I never thought that such a stupid mistake! ! ! !")</f>
        <v>😔 too lazy to back. I thought it was 1000w, finally 700w! Amazon can expect a bit more professional, self-directed buy! I never thought that such a stupid mistake! ! ! !</v>
      </c>
    </row>
    <row r="578">
      <c r="A578" s="1">
        <v>1.0</v>
      </c>
      <c r="B578" s="1" t="s">
        <v>579</v>
      </c>
      <c r="C578" t="str">
        <f>IFERROR(__xludf.DUMMYFUNCTION("GOOGLETRANSLATE(B578, ""zh"", ""en"")"),"Amazon still can not poor after-sales and after-sales Jingdong than a few months, Bluetooth is broken, contact customer service, to fend for themselves and Sennheiser contact, or to run their own repair your address, point of sale from me four or five pub"&amp;"lic in. If Jingdong not say it directly to new ones, at least pick-up, fix gets here. Buy what u disk, Jingdong are direct new ones, or to support the East Columbia Well, I want this prime members of what used to be my 288, untold")</f>
        <v>Amazon still can not poor after-sales and after-sales Jingdong than a few months, Bluetooth is broken, contact customer service, to fend for themselves and Sennheiser contact, or to run their own repair your address, point of sale from me four or five public in. If Jingdong not say it directly to new ones, at least pick-up, fix gets here. Buy what u disk, Jingdong are direct new ones, or to support the East Columbia Well, I want this prime members of what used to be my 288, untold</v>
      </c>
    </row>
    <row r="579">
      <c r="A579" s="1">
        <v>4.0</v>
      </c>
      <c r="B579" s="1" t="s">
        <v>580</v>
      </c>
      <c r="C579" t="str">
        <f>IFERROR(__xludf.DUMMYFUNCTION("GOOGLETRANSLATE(B579, ""zh"", ""en"")"),"Comfortable, but the box has been opened like something very good, very comfortable. That is, when received, the boxes seem to have been replaced over the same open, anyway, have to wash it again, so there is no good mind.")</f>
        <v>Comfortable, but the box has been opened like something very good, very comfortable. That is, when received, the boxes seem to have been replaced over the same open, anyway, have to wash it again, so there is no good mind.</v>
      </c>
    </row>
    <row r="580">
      <c r="A580" s="1">
        <v>4.0</v>
      </c>
      <c r="B580" s="1" t="s">
        <v>581</v>
      </c>
      <c r="C580" t="str">
        <f>IFERROR(__xludf.DUMMYFUNCTION("GOOGLETRANSLATE(B580, ""zh"", ""en"")"),"7US / 37.5 yards, can not wear too narrow, only now try out a new original! 7US / 37.5 yards, can not wear too narrow, only now try out a new original!")</f>
        <v>7US / 37.5 yards, can not wear too narrow, only now try out a new original! 7US / 37.5 yards, can not wear too narrow, only now try out a new original!</v>
      </c>
    </row>
    <row r="581">
      <c r="A581" s="1">
        <v>4.0</v>
      </c>
      <c r="B581" s="1" t="s">
        <v>582</v>
      </c>
      <c r="C581" t="str">
        <f>IFERROR(__xludf.DUMMYFUNCTION("GOOGLETRANSLATE(B581, ""zh"", ""en"")"),"Delivery is too slow pen has been received, EF is still a little rough, delivery is too slow, four days after a single shipment at the same time buy the ink absorber in Deya, 5 days on hand.")</f>
        <v>Delivery is too slow pen has been received, EF is still a little rough, delivery is too slow, four days after a single shipment at the same time buy the ink absorber in Deya, 5 days on hand.</v>
      </c>
    </row>
    <row r="582">
      <c r="A582" s="1">
        <v>4.0</v>
      </c>
      <c r="B582" s="1" t="s">
        <v>583</v>
      </c>
      <c r="C582" t="str">
        <f>IFERROR(__xludf.DUMMYFUNCTION("GOOGLETRANSLATE(B582, ""zh"", ""en"")"),"I have feelings for Sennheiser brand. Sound quality is not really good. Pot pot should have improved. PS: not too happy with Amazon Amoy overseas service. The first tranche of the past 10 days. Do not give me delivery. Phone can not handle the complaint s"&amp;"aid. Then I dropped out of money to re-shoot. After N long to send over.")</f>
        <v>I have feelings for Sennheiser brand. Sound quality is not really good. Pot pot should have improved. PS: not too happy with Amazon Amoy overseas service. The first tranche of the past 10 days. Do not give me delivery. Phone can not handle the complaint said. Then I dropped out of money to re-shoot. After N long to send over.</v>
      </c>
    </row>
    <row r="583">
      <c r="A583" s="1">
        <v>4.0</v>
      </c>
      <c r="B583" s="1" t="s">
        <v>584</v>
      </c>
      <c r="C583" t="str">
        <f>IFERROR(__xludf.DUMMYFUNCTION("GOOGLETRANSLATE(B583, ""zh"", ""en"")"),"Cost-effective and comfortable. Not recommended for running high cost, comfortable to wear. Indoor or outdoor fitness walking can be. Not recommended for running. The sole material is too soft, no rebound. Tan")</f>
        <v>Cost-effective and comfortable. Not recommended for running high cost, comfortable to wear. Indoor or outdoor fitness walking can be. Not recommended for running. The sole material is too soft, no rebound. Tan</v>
      </c>
    </row>
    <row r="584">
      <c r="A584" s="1">
        <v>5.0</v>
      </c>
      <c r="B584" s="1" t="s">
        <v>585</v>
      </c>
      <c r="C584" t="str">
        <f>IFERROR(__xludf.DUMMYFUNCTION("GOOGLETRANSLATE(B584, ""zh"", ""en"")"),"The cheapest Compare all countries worldwide Amazon Amazon, the Japanese version of the cheapest, then Amazon China free postage. The suit brought out. Permanent residence outside")</f>
        <v>The cheapest Compare all countries worldwide Amazon Amazon, the Japanese version of the cheapest, then Amazon China free postage. The suit brought out. Permanent residence outside</v>
      </c>
    </row>
    <row r="585">
      <c r="A585" s="1">
        <v>5.0</v>
      </c>
      <c r="B585" s="1" t="s">
        <v>586</v>
      </c>
      <c r="C585" t="str">
        <f>IFERROR(__xludf.DUMMYFUNCTION("GOOGLETRANSLATE(B585, ""zh"", ""en"")"),"Insulation effect, bought again the insulation effect, to buy again")</f>
        <v>Insulation effect, bought again the insulation effect, to buy again</v>
      </c>
    </row>
    <row r="586">
      <c r="A586" s="1">
        <v>5.0</v>
      </c>
      <c r="B586" s="1" t="s">
        <v>587</v>
      </c>
      <c r="C586" t="str">
        <f>IFERROR(__xludf.DUMMYFUNCTION("GOOGLETRANSLATE(B586, ""zh"", ""en"")"),"FIG pass by reference shakuhachi waist two engagement 94cm acquired last several inverted after receipt size 38 test head much more than just the belt length 112cm width 4cm by reference")</f>
        <v>FIG pass by reference shakuhachi waist two engagement 94cm acquired last several inverted after receipt size 38 test head much more than just the belt length 112cm width 4cm by reference</v>
      </c>
    </row>
    <row r="587">
      <c r="A587" s="1">
        <v>5.0</v>
      </c>
      <c r="B587" s="1" t="s">
        <v>588</v>
      </c>
      <c r="C587" t="str">
        <f>IFERROR(__xludf.DUMMYFUNCTION("GOOGLETRANSLATE(B587, ""zh"", ""en"")"),"Affordable price deal, as expected, like the right size, like this one thank you for sharing experience. I just wear m 18370")</f>
        <v>Affordable price deal, as expected, like the right size, like this one thank you for sharing experience. I just wear m 18370</v>
      </c>
    </row>
    <row r="588">
      <c r="A588" s="1">
        <v>5.0</v>
      </c>
      <c r="B588" s="1" t="s">
        <v>589</v>
      </c>
      <c r="C588" t="str">
        <f>IFERROR(__xludf.DUMMYFUNCTION("GOOGLETRANSLATE(B588, ""zh"", ""en"")"),"Inexpensive, imported toothpaste, rainbow ribbon son liked the toothpaste, but also facilitate extrusion, the price is not expensive!")</f>
        <v>Inexpensive, imported toothpaste, rainbow ribbon son liked the toothpaste, but also facilitate extrusion, the price is not expensive!</v>
      </c>
    </row>
    <row r="589">
      <c r="A589" s="1">
        <v>5.0</v>
      </c>
      <c r="B589" s="1" t="s">
        <v>590</v>
      </c>
      <c r="C589" t="str">
        <f>IFERROR(__xludf.DUMMYFUNCTION("GOOGLETRANSLATE(B589, ""zh"", ""en"")"),"Slim works well height 1.72, weight 160. M number just right, and very self-cultivation was thin. National number usually wear L. After washing twice from the ball, the whole dress looked edgy, poor quality. Not recommended.")</f>
        <v>Slim works well height 1.72, weight 160. M number just right, and very self-cultivation was thin. National number usually wear L. After washing twice from the ball, the whole dress looked edgy, poor quality. Not recommended.</v>
      </c>
    </row>
    <row r="590">
      <c r="A590" s="1">
        <v>5.0</v>
      </c>
      <c r="B590" s="1" t="s">
        <v>591</v>
      </c>
      <c r="C590" t="str">
        <f>IFERROR(__xludf.DUMMYFUNCTION("GOOGLETRANSLATE(B590, ""zh"", ""en"")"),"This year's production date is easy to use, easy to use, easy to use than Sophie like a domestic")</f>
        <v>This year's production date is easy to use, easy to use, easy to use than Sophie like a domestic</v>
      </c>
    </row>
    <row r="591">
      <c r="A591" s="1">
        <v>5.0</v>
      </c>
      <c r="B591" s="1" t="s">
        <v>592</v>
      </c>
      <c r="C591" t="str">
        <f>IFERROR(__xludf.DUMMYFUNCTION("GOOGLETRANSLATE(B591, ""zh"", ""en"")"),"No title for the first time to buy. Big amount of good taste. fast shipments. When I first came also do not see results. Then use specifically.")</f>
        <v>No title for the first time to buy. Big amount of good taste. fast shipments. When I first came also do not see results. Then use specifically.</v>
      </c>
    </row>
    <row r="592">
      <c r="A592" s="1">
        <v>5.0</v>
      </c>
      <c r="B592" s="1" t="s">
        <v>593</v>
      </c>
      <c r="C592" t="str">
        <f>IFERROR(__xludf.DUMMYFUNCTION("GOOGLETRANSLATE(B592, ""zh"", ""en"")"),"Simple very simple, relatively small, suitable for young people")</f>
        <v>Simple very simple, relatively small, suitable for young people</v>
      </c>
    </row>
    <row r="593">
      <c r="A593" s="1">
        <v>5.0</v>
      </c>
      <c r="B593" s="1" t="s">
        <v>594</v>
      </c>
      <c r="C593" t="str">
        <f>IFERROR(__xludf.DUMMYFUNCTION("GOOGLETRANSLATE(B593, ""zh"", ""en"")"),"It is worthwhile to buy? value! Her mother a birthday present. The machines sent as a shell, although the shell has a recess Fortunately coffee machine intact. Red shell is very beautiful, bought jacobs capsules, fast heating, pressing out the taste is ve"&amp;"ry sweet. 15 cups of Starbucks coffee price, you deserve. (Connecting the tank slightly loose")</f>
        <v>It is worthwhile to buy? value! Her mother a birthday present. The machines sent as a shell, although the shell has a recess Fortunately coffee machine intact. Red shell is very beautiful, bought jacobs capsules, fast heating, pressing out the taste is very sweet. 15 cups of Starbucks coffee price, you deserve. (Connecting the tank slightly loose</v>
      </c>
    </row>
    <row r="594">
      <c r="A594" s="1">
        <v>5.0</v>
      </c>
      <c r="B594" s="1" t="s">
        <v>595</v>
      </c>
      <c r="C594" t="str">
        <f>IFERROR(__xludf.DUMMYFUNCTION("GOOGLETRANSLATE(B594, ""zh"", ""en"")"),"Judging the quality is good, although the belts tie, but still easy to loose a long time, this is a common problem with the brand champion, should improve")</f>
        <v>Judging the quality is good, although the belts tie, but still easy to loose a long time, this is a common problem with the brand champion, should improve</v>
      </c>
    </row>
    <row r="595">
      <c r="A595" s="1">
        <v>5.0</v>
      </c>
      <c r="B595" s="1" t="s">
        <v>596</v>
      </c>
      <c r="C595" t="str">
        <f>IFERROR(__xludf.DUMMYFUNCTION("GOOGLETRANSLATE(B595, ""zh"", ""en"")"),"Good for the summer, the fabric is very comfortable for summer")</f>
        <v>Good for the summer, the fabric is very comfortable for summer</v>
      </c>
    </row>
    <row r="596">
      <c r="A596" s="1">
        <v>5.0</v>
      </c>
      <c r="B596" s="1" t="s">
        <v>597</v>
      </c>
      <c r="C596" t="str">
        <f>IFERROR(__xludf.DUMMYFUNCTION("GOOGLETRANSLATE(B596, ""zh"", ""en"")"),"Soften water for the stomach to buy this stuff, very good, affordable, is what I want, it has been inseparable from overseas purchased! Almost always we buy, we can consider to start!")</f>
        <v>Soften water for the stomach to buy this stuff, very good, affordable, is what I want, it has been inseparable from overseas purchased! Almost always we buy, we can consider to start!</v>
      </c>
    </row>
    <row r="597">
      <c r="A597" s="1">
        <v>5.0</v>
      </c>
      <c r="B597" s="1" t="s">
        <v>598</v>
      </c>
      <c r="C597" t="str">
        <f>IFERROR(__xludf.DUMMYFUNCTION("GOOGLETRANSLATE(B597, ""zh"", ""en"")"),"Very satisfied! I do not feel handsome fong a partial code, usually wear much to buy much. The United States sent Shanghai actually came four days? ? Shocked speed")</f>
        <v>Very satisfied! I do not feel handsome fong a partial code, usually wear much to buy much. The United States sent Shanghai actually came four days? ? Shocked speed</v>
      </c>
    </row>
    <row r="598">
      <c r="A598" s="1">
        <v>5.0</v>
      </c>
      <c r="B598" s="1" t="s">
        <v>599</v>
      </c>
      <c r="C598" t="str">
        <f>IFERROR(__xludf.DUMMYFUNCTION("GOOGLETRANSLATE(B598, ""zh"", ""en"")"),"When good quality easy for children to make their own operations such as port operator convenience in mind")</f>
        <v>When good quality easy for children to make their own operations such as port operator convenience in mind</v>
      </c>
    </row>
    <row r="599">
      <c r="A599" s="1">
        <v>5.0</v>
      </c>
      <c r="B599" s="1" t="s">
        <v>600</v>
      </c>
      <c r="C599" t="str">
        <f>IFERROR(__xludf.DUMMYFUNCTION("GOOGLETRANSLATE(B599, ""zh"", ""en"")"),"Helium plate 10T is not special, and can only start 8T, helium disk, read and write very fast, cost-effective first-class.")</f>
        <v>Helium plate 10T is not special, and can only start 8T, helium disk, read and write very fast, cost-effective first-class.</v>
      </c>
    </row>
    <row r="600">
      <c r="A600" s="1">
        <v>5.0</v>
      </c>
      <c r="B600" s="1" t="s">
        <v>601</v>
      </c>
      <c r="C600" t="str">
        <f>IFERROR(__xludf.DUMMYFUNCTION("GOOGLETRANSLATE(B600, ""zh"", ""en"")"),"Great shoes great shoes for foot fat people wear, do not buy the freshman code")</f>
        <v>Great shoes great shoes for foot fat people wear, do not buy the freshman code</v>
      </c>
    </row>
    <row r="601">
      <c r="A601" s="1">
        <v>5.0</v>
      </c>
      <c r="B601" s="1" t="s">
        <v>602</v>
      </c>
      <c r="C601" t="str">
        <f>IFERROR(__xludf.DUMMYFUNCTION("GOOGLETRANSLATE(B601, ""zh"", ""en"")"),"The color looks good! Color is great, too soft refills, need to match the color of lead used in conjunction hard. Pink and red colors found department a little less. General painting words enough to use 72 colors, 132 colors in some color with less.")</f>
        <v>The color looks good! Color is great, too soft refills, need to match the color of lead used in conjunction hard. Pink and red colors found department a little less. General painting words enough to use 72 colors, 132 colors in some color with less.</v>
      </c>
    </row>
    <row r="602">
      <c r="A602" s="1">
        <v>5.0</v>
      </c>
      <c r="B602" s="1" t="s">
        <v>603</v>
      </c>
      <c r="C602" t="str">
        <f>IFERROR(__xludf.DUMMYFUNCTION("GOOGLETRANSLATE(B602, ""zh"", ""en"")"),"175 65 m suitable for feeling good")</f>
        <v>175 65 m suitable for feeling good</v>
      </c>
    </row>
    <row r="603">
      <c r="A603" s="1">
        <v>5.0</v>
      </c>
      <c r="B603" s="1" t="s">
        <v>604</v>
      </c>
      <c r="C603" t="str">
        <f>IFERROR(__xludf.DUMMYFUNCTION("GOOGLETRANSLATE(B603, ""zh"", ""en"")"),"Authentic German with a very good, very beautiful pot, white, like")</f>
        <v>Authentic German with a very good, very beautiful pot, white, like</v>
      </c>
    </row>
    <row r="604">
      <c r="A604" s="1">
        <v>5.0</v>
      </c>
      <c r="B604" s="1" t="s">
        <v>605</v>
      </c>
      <c r="C604" t="str">
        <f>IFERROR(__xludf.DUMMYFUNCTION("GOOGLETRANSLATE(B604, ""zh"", ""en"")"),"Good connection is very simple operation, without identification can understand English. Listen a little bit stereo effect.")</f>
        <v>Good connection is very simple operation, without identification can understand English. Listen a little bit stereo effect.</v>
      </c>
    </row>
    <row r="605">
      <c r="A605" s="1">
        <v>5.0</v>
      </c>
      <c r="B605" s="1" t="s">
        <v>606</v>
      </c>
      <c r="C605" t="str">
        <f>IFERROR(__xludf.DUMMYFUNCTION("GOOGLETRANSLATE(B605, ""zh"", ""en"")"),"Watch good watch good services is the whole 5 minutes")</f>
        <v>Watch good watch good services is the whole 5 minutes</v>
      </c>
    </row>
    <row r="606">
      <c r="A606" s="1">
        <v>2.0</v>
      </c>
      <c r="B606" s="1" t="s">
        <v>607</v>
      </c>
      <c r="C606" t="str">
        <f>IFERROR(__xludf.DUMMYFUNCTION("GOOGLETRANSLATE(B606, ""zh"", ""en"")"),"Texture is very general, very general texture as work clothes, work clothes, like, do not close the body legs")</f>
        <v>Texture is very general, very general texture as work clothes, work clothes, like, do not close the body legs</v>
      </c>
    </row>
    <row r="607">
      <c r="A607" s="1">
        <v>3.0</v>
      </c>
      <c r="B607" s="1" t="s">
        <v>608</v>
      </c>
      <c r="C607" t="str">
        <f>IFERROR(__xludf.DUMMYFUNCTION("GOOGLETRANSLATE(B607, ""zh"", ""en"")"),"Cotton is not the way it seems okay decent test label is old")</f>
        <v>Cotton is not the way it seems okay decent test label is old</v>
      </c>
    </row>
    <row r="608">
      <c r="A608" s="1">
        <v>3.0</v>
      </c>
      <c r="B608" s="1" t="s">
        <v>609</v>
      </c>
      <c r="C608" t="str">
        <f>IFERROR(__xludf.DUMMYFUNCTION("GOOGLETRANSLATE(B608, ""zh"", ""en"")"),"I do not recommend buying this thin, looks like the kind of longer wash. Sure enough, on the same day to get water for flushing a bit, did not dare hang dry, dry after tile, or a tragedy. . .")</f>
        <v>I do not recommend buying this thin, looks like the kind of longer wash. Sure enough, on the same day to get water for flushing a bit, did not dare hang dry, dry after tile, or a tragedy. . .</v>
      </c>
    </row>
    <row r="609">
      <c r="A609" s="1">
        <v>3.0</v>
      </c>
      <c r="B609" s="1" t="s">
        <v>610</v>
      </c>
      <c r="C609" t="str">
        <f>IFERROR(__xludf.DUMMYFUNCTION("GOOGLETRANSLATE(B609, ""zh"", ""en"")"),"May be less comfortable style design, do not pack hip, also fell, thin layer, no seam, 168,54kg, buy s, appropriate but not comfortable.")</f>
        <v>May be less comfortable style design, do not pack hip, also fell, thin layer, no seam, 168,54kg, buy s, appropriate but not comfortable.</v>
      </c>
    </row>
    <row r="610">
      <c r="A610" s="1">
        <v>1.0</v>
      </c>
      <c r="B610" s="1" t="s">
        <v>611</v>
      </c>
      <c r="C610" t="str">
        <f>IFERROR(__xludf.DUMMYFUNCTION("GOOGLETRANSLATE(B610, ""zh"", ""en"")"),"Break vamp break, Timberland and CAT are, because Chinese buyers made so defective? Originally apply for return, and that as Jingdong as home delivery, send the results to yourself. Article catch a break for the international postage not seem to value. He"&amp;"lpless. 42 yards is appropriate to buy 8.5.")</f>
        <v>Break vamp break, Timberland and CAT are, because Chinese buyers made so defective? Originally apply for return, and that as Jingdong as home delivery, send the results to yourself. Article catch a break for the international postage not seem to value. Helpless. 42 yards is appropriate to buy 8.5.</v>
      </c>
    </row>
    <row r="611">
      <c r="A611" s="1">
        <v>1.0</v>
      </c>
      <c r="B611" s="1" t="s">
        <v>612</v>
      </c>
      <c r="C611" t="str">
        <f>IFERROR(__xludf.DUMMYFUNCTION("GOOGLETRANSLATE(B611, ""zh"", ""en"")"),"Not serious I ordered L, is sent to 2XL. What the hell? Big number two. Amazon too sloppy.")</f>
        <v>Not serious I ordered L, is sent to 2XL. What the hell? Big number two. Amazon too sloppy.</v>
      </c>
    </row>
    <row r="612">
      <c r="A612" s="1">
        <v>1.0</v>
      </c>
      <c r="B612" s="1" t="s">
        <v>613</v>
      </c>
      <c r="C612" t="str">
        <f>IFERROR(__xludf.DUMMYFUNCTION("GOOGLETRANSLATE(B612, ""zh"", ""en"")"),"Rupturing the package, no seal. Pen dusty pen is used to write Chinese manufacturing MADE IN China, the other is French. It must be a bad review! ! ! Packaging bad, just outside of opening a carton! ! ! Did not seal! ! Is not sealed, it can direct the pen"&amp;" box out. Besides pencil cases, it has been broken, while all cracked, dusty. Pen is, the residue was written there.")</f>
        <v>Rupturing the package, no seal. Pen dusty pen is used to write Chinese manufacturing MADE IN China, the other is French. It must be a bad review! ! ! Packaging bad, just outside of opening a carton! ! ! Did not seal! ! Is not sealed, it can direct the pen box out. Besides pencil cases, it has been broken, while all cracked, dusty. Pen is, the residue was written there.</v>
      </c>
    </row>
    <row r="613">
      <c r="A613" s="1">
        <v>4.0</v>
      </c>
      <c r="B613" s="1" t="s">
        <v>614</v>
      </c>
      <c r="C613" t="str">
        <f>IFERROR(__xludf.DUMMYFUNCTION("GOOGLETRANSLATE(B613, ""zh"", ""en"")"),"Calvin Klein Calvin Klein men's classic cotton short-sleeved V-neck T-shirt three package right size, weight 162M high 180 yards just right, the domestic price of cotton this better than manufacturing in Bangladesh.")</f>
        <v>Calvin Klein Calvin Klein men's classic cotton short-sleeved V-neck T-shirt three package right size, weight 162M high 180 yards just right, the domestic price of cotton this better than manufacturing in Bangladesh.</v>
      </c>
    </row>
    <row r="614">
      <c r="A614" s="1">
        <v>4.0</v>
      </c>
      <c r="B614" s="1" t="s">
        <v>615</v>
      </c>
      <c r="C614" t="str">
        <f>IFERROR(__xludf.DUMMYFUNCTION("GOOGLETRANSLATE(B614, ""zh"", ""en"")"),"How domestic sale, ask! ! ! I spent less than a year of bad sectors.")</f>
        <v>How domestic sale, ask! ! ! I spent less than a year of bad sectors.</v>
      </c>
    </row>
    <row r="615">
      <c r="A615" s="1">
        <v>4.0</v>
      </c>
      <c r="B615" s="1" t="s">
        <v>616</v>
      </c>
      <c r="C615" t="str">
        <f>IFERROR(__xludf.DUMMYFUNCTION("GOOGLETRANSLATE(B615, ""zh"", ""en"")"),"Size is too large, feel good thin body, the body is thin, relatively thick collar, size is too large, 173 / s 52 size is too large to wear")</f>
        <v>Size is too large, feel good thin body, the body is thin, relatively thick collar, size is too large, 173 / s 52 size is too large to wear</v>
      </c>
    </row>
    <row r="616">
      <c r="A616" s="1">
        <v>4.0</v>
      </c>
      <c r="B616" s="1" t="s">
        <v>617</v>
      </c>
      <c r="C616" t="str">
        <f>IFERROR(__xludf.DUMMYFUNCTION("GOOGLETRANSLATE(B616, ""zh"", ""en"")"),"Consider the repurchase Oh! Improve the skin's collagen effect remains to be seen, but after drinking for a week, the effect on the hair is quite obvious!")</f>
        <v>Consider the repurchase Oh! Improve the skin's collagen effect remains to be seen, but after drinking for a week, the effect on the hair is quite obvious!</v>
      </c>
    </row>
    <row r="617">
      <c r="A617" s="1">
        <v>5.0</v>
      </c>
      <c r="B617" s="1" t="s">
        <v>618</v>
      </c>
      <c r="C617" t="str">
        <f>IFERROR(__xludf.DUMMYFUNCTION("GOOGLETRANSLATE(B617, ""zh"", ""en"")"),"In addition to low protein content of ultrafine powder can also be other, it is relatively free vanilla card tired")</f>
        <v>In addition to low protein content of ultrafine powder can also be other, it is relatively free vanilla card tired</v>
      </c>
    </row>
    <row r="618">
      <c r="A618" s="1">
        <v>5.0</v>
      </c>
      <c r="B618" s="1" t="s">
        <v>619</v>
      </c>
      <c r="C618" t="str">
        <f>IFERROR(__xludf.DUMMYFUNCTION("GOOGLETRANSLATE(B618, ""zh"", ""en"")"),"Inexpensive engage in activities to buy, cheap, and the shelf life of a year and a half, not bad")</f>
        <v>Inexpensive engage in activities to buy, cheap, and the shelf life of a year and a half, not bad</v>
      </c>
    </row>
    <row r="619">
      <c r="A619" s="1">
        <v>5.0</v>
      </c>
      <c r="B619" s="1" t="s">
        <v>620</v>
      </c>
      <c r="C619" t="str">
        <f>IFERROR(__xludf.DUMMYFUNCTION("GOOGLETRANSLATE(B619, ""zh"", ""en"")"),"Good quality preferential price, the price is right, good")</f>
        <v>Good quality preferential price, the price is right, good</v>
      </c>
    </row>
    <row r="620">
      <c r="A620" s="1">
        <v>5.0</v>
      </c>
      <c r="B620" s="1" t="s">
        <v>621</v>
      </c>
      <c r="C620" t="str">
        <f>IFERROR(__xludf.DUMMYFUNCTION("GOOGLETRANSLATE(B620, ""zh"", ""en"")"),"Fast, free shipping, very good! Nichia direct mail, fast, free shipping, good deal, it is hoped overseas purchase some rich stuff again")</f>
        <v>Fast, free shipping, very good! Nichia direct mail, fast, free shipping, good deal, it is hoped overseas purchase some rich stuff again</v>
      </c>
    </row>
    <row r="621">
      <c r="A621" s="1">
        <v>5.0</v>
      </c>
      <c r="B621" s="1" t="s">
        <v>622</v>
      </c>
      <c r="C621" t="str">
        <f>IFERROR(__xludf.DUMMYFUNCTION("GOOGLETRANSLATE(B621, ""zh"", ""en"")"),"💖 one of the three major brands, the quality did not say when the price shot, feel worthwhile")</f>
        <v>💖 one of the three major brands, the quality did not say when the price shot, feel worthwhile</v>
      </c>
    </row>
    <row r="622">
      <c r="A622" s="1">
        <v>5.0</v>
      </c>
      <c r="B622" s="1" t="s">
        <v>623</v>
      </c>
      <c r="C622" t="str">
        <f>IFERROR(__xludf.DUMMYFUNCTION("GOOGLETRANSLATE(B622, ""zh"", ""en"")"),"Easy to use soft bottle nipple clear bright colors easy to use")</f>
        <v>Easy to use soft bottle nipple clear bright colors easy to use</v>
      </c>
    </row>
    <row r="623">
      <c r="A623" s="1">
        <v>5.0</v>
      </c>
      <c r="B623" s="1" t="s">
        <v>624</v>
      </c>
      <c r="C623" t="str">
        <f>IFERROR(__xludf.DUMMYFUNCTION("GOOGLETRANSLATE(B623, ""zh"", ""en"")"),"Like the good style, wear appropriate, like this style")</f>
        <v>Like the good style, wear appropriate, like this style</v>
      </c>
    </row>
    <row r="624">
      <c r="A624" s="1">
        <v>5.0</v>
      </c>
      <c r="B624" s="1" t="s">
        <v>625</v>
      </c>
      <c r="C624" t="str">
        <f>IFERROR(__xludf.DUMMYFUNCTION("GOOGLETRANSLATE(B624, ""zh"", ""en"")"),"Good quality, good workmanship good quality, good workmanship, height 180CM, weight 85KG, bought a slightly smaller L code, wearing some tight. Overseas purchase for refund / replacement trouble, simply bought a piece of XL")</f>
        <v>Good quality, good workmanship good quality, good workmanship, height 180CM, weight 85KG, bought a slightly smaller L code, wearing some tight. Overseas purchase for refund / replacement trouble, simply bought a piece of XL</v>
      </c>
    </row>
    <row r="625">
      <c r="A625" s="1">
        <v>5.0</v>
      </c>
      <c r="B625" s="1" t="s">
        <v>626</v>
      </c>
      <c r="C625" t="str">
        <f>IFERROR(__xludf.DUMMYFUNCTION("GOOGLETRANSLATE(B625, ""zh"", ""en"")"),"Good products cost-effective, worth buying.")</f>
        <v>Good products cost-effective, worth buying.</v>
      </c>
    </row>
    <row r="626">
      <c r="A626" s="1">
        <v>5.0</v>
      </c>
      <c r="B626" s="1" t="s">
        <v>627</v>
      </c>
      <c r="C626" t="str">
        <f>IFERROR(__xludf.DUMMYFUNCTION("GOOGLETRANSLATE(B626, ""zh"", ""en"")"),"Section with a long leather wear. Black suede leather that money should not have this problem into the outer layers of damaged lines, black lines bared part of it, even so, a few years is absolutely no problem.")</f>
        <v>Section with a long leather wear. Black suede leather that money should not have this problem into the outer layers of damaged lines, black lines bared part of it, even so, a few years is absolutely no problem.</v>
      </c>
    </row>
    <row r="627">
      <c r="A627" s="1">
        <v>5.0</v>
      </c>
      <c r="B627" s="1" t="s">
        <v>628</v>
      </c>
      <c r="C627" t="str">
        <f>IFERROR(__xludf.DUMMYFUNCTION("GOOGLETRANSLATE(B627, ""zh"", ""en"")"),"The best memory card fast, quality is also used in 2056, and that there is no problem.")</f>
        <v>The best memory card fast, quality is also used in 2056, and that there is no problem.</v>
      </c>
    </row>
    <row r="628">
      <c r="A628" s="1">
        <v>5.0</v>
      </c>
      <c r="B628" s="1" t="s">
        <v>629</v>
      </c>
      <c r="C628" t="str">
        <f>IFERROR(__xludf.DUMMYFUNCTION("GOOGLETRANSLATE(B628, ""zh"", ""en"")"),"Pretty good second purchase, or good, packaging has been good.")</f>
        <v>Pretty good second purchase, or good, packaging has been good.</v>
      </c>
    </row>
    <row r="629">
      <c r="A629" s="1">
        <v>5.0</v>
      </c>
      <c r="B629" s="1" t="s">
        <v>630</v>
      </c>
      <c r="C629" t="str">
        <f>IFERROR(__xludf.DUMMYFUNCTION("GOOGLETRANSLATE(B629, ""zh"", ""en"")"),"Very practical, the taste is OK overall look is still parked texture, it is also easy to use (I just kept him there, stopped watching fades, so do not use? Generally a capsule coffee out about 100-150ml). The next problem is to buy the capsules. May be re"&amp;"latively strong, I feel kind of flavor than the average American cafe chain better. Of course, good drink, had to drink red hand. Working days required, this little machine is fully able to meet and Latin America.")</f>
        <v>Very practical, the taste is OK overall look is still parked texture, it is also easy to use (I just kept him there, stopped watching fades, so do not use? Generally a capsule coffee out about 100-150ml). The next problem is to buy the capsules. May be relatively strong, I feel kind of flavor than the average American cafe chain better. Of course, good drink, had to drink red hand. Working days required, this little machine is fully able to meet and Latin America.</v>
      </c>
    </row>
    <row r="630">
      <c r="A630" s="1">
        <v>5.0</v>
      </c>
      <c r="B630" s="1" t="s">
        <v>509</v>
      </c>
      <c r="C630" t="str">
        <f>IFERROR(__xludf.DUMMYFUNCTION("GOOGLETRANSLATE(B630, ""zh"", ""en"")"),"Size is accurate, authentic goods, very fond of, recommended purchase size is accurate, authentic goods, very fond of, recommended purchase")</f>
        <v>Size is accurate, authentic goods, very fond of, recommended purchase size is accurate, authentic goods, very fond of, recommended purchase</v>
      </c>
    </row>
    <row r="631">
      <c r="A631" s="1">
        <v>5.0</v>
      </c>
      <c r="B631" s="1" t="s">
        <v>631</v>
      </c>
      <c r="C631" t="str">
        <f>IFERROR(__xludf.DUMMYFUNCTION("GOOGLETRANSLATE(B631, ""zh"", ""en"")"),"Storage cassette storage case cute good use, very convenient sizes, the sealing effect is also very good")</f>
        <v>Storage cassette storage case cute good use, very convenient sizes, the sealing effect is also very good</v>
      </c>
    </row>
    <row r="632">
      <c r="A632" s="1">
        <v>5.0</v>
      </c>
      <c r="B632" s="1" t="s">
        <v>632</v>
      </c>
      <c r="C632" t="str">
        <f>IFERROR(__xludf.DUMMYFUNCTION("GOOGLETRANSLATE(B632, ""zh"", ""en"")"),"Share this headset is worth transparent and bright sound, rich layers, like, ready the next time a gift for someone close, uncomfortable about their ears")</f>
        <v>Share this headset is worth transparent and bright sound, rich layers, like, ready the next time a gift for someone close, uncomfortable about their ears</v>
      </c>
    </row>
    <row r="633">
      <c r="A633" s="1">
        <v>5.0</v>
      </c>
      <c r="B633" s="1" t="s">
        <v>633</v>
      </c>
      <c r="C633" t="str">
        <f>IFERROR(__xludf.DUMMYFUNCTION("GOOGLETRANSLATE(B633, ""zh"", ""en"")"),"Inexpensive! S family of vitamins in the country, it is difficult to buy such a cheap, less than 130, mostly authentic! Good good. We hope that activities often.")</f>
        <v>Inexpensive! S family of vitamins in the country, it is difficult to buy such a cheap, less than 130, mostly authentic! Good good. We hope that activities often.</v>
      </c>
    </row>
    <row r="634">
      <c r="A634" s="1">
        <v>5.0</v>
      </c>
      <c r="B634" s="1" t="s">
        <v>634</v>
      </c>
      <c r="C634" t="str">
        <f>IFERROR(__xludf.DUMMYFUNCTION("GOOGLETRANSLATE(B634, ""zh"", ""en"")"),"Kick kick is not bad not bad deserved reputation well-deserved reputation, is a little big, but good, this winter wear thick socks will not feel small.")</f>
        <v>Kick kick is not bad not bad deserved reputation well-deserved reputation, is a little big, but good, this winter wear thick socks will not feel small.</v>
      </c>
    </row>
    <row r="635">
      <c r="A635" s="1">
        <v>5.0</v>
      </c>
      <c r="B635" s="1" t="s">
        <v>635</v>
      </c>
      <c r="C635" t="str">
        <f>IFERROR(__xludf.DUMMYFUNCTION("GOOGLETRANSLATE(B635, ""zh"", ""en"")"),"Multiple purchases a very appropriate color are good size")</f>
        <v>Multiple purchases a very appropriate color are good size</v>
      </c>
    </row>
    <row r="636">
      <c r="A636" s="1">
        <v>5.0</v>
      </c>
      <c r="B636" s="1" t="s">
        <v>636</v>
      </c>
      <c r="C636" t="str">
        <f>IFERROR(__xludf.DUMMYFUNCTION("GOOGLETRANSLATE(B636, ""zh"", ""en"")"),"Great watch very beautiful. Technological sense but relatively low-key, ready to buy one give as gifts")</f>
        <v>Great watch very beautiful. Technological sense but relatively low-key, ready to buy one give as gifts</v>
      </c>
    </row>
    <row r="637">
      <c r="A637" s="1">
        <v>5.0</v>
      </c>
      <c r="B637" s="1" t="s">
        <v>637</v>
      </c>
      <c r="C637" t="str">
        <f>IFERROR(__xludf.DUMMYFUNCTION("GOOGLETRANSLATE(B637, ""zh"", ""en"")"),"My favorite brand is very like it, good quality, fast speed mail, 511 is my favorite brand. Warm days, there is a little thin with no flexibility, I would also like to buy. 👍👍👍")</f>
        <v>My favorite brand is very like it, good quality, fast speed mail, 511 is my favorite brand. Warm days, there is a little thin with no flexibility, I would also like to buy. 👍👍👍</v>
      </c>
    </row>
    <row r="638">
      <c r="A638" s="1">
        <v>5.0</v>
      </c>
      <c r="B638" s="1" t="s">
        <v>638</v>
      </c>
      <c r="C638" t="str">
        <f>IFERROR(__xludf.DUMMYFUNCTION("GOOGLETRANSLATE(B638, ""zh"", ""en"")"),"A lot cheaper from order to receipt of a total of seven days than the domestic counter, is simply amazing speed! Fabric good, relatively soft, and I wear this 160/135 XL is just right, liberal bias, very fit! like!")</f>
        <v>A lot cheaper from order to receipt of a total of seven days than the domestic counter, is simply amazing speed! Fabric good, relatively soft, and I wear this 160/135 XL is just right, liberal bias, very fit! like!</v>
      </c>
    </row>
    <row r="639">
      <c r="A639" s="1">
        <v>2.0</v>
      </c>
      <c r="B639" s="1" t="s">
        <v>639</v>
      </c>
      <c r="C639" t="str">
        <f>IFERROR(__xludf.DUMMYFUNCTION("GOOGLETRANSLATE(B639, ""zh"", ""en"")"),"Packaging sucks November 24 Kusakabe single, December 18 did not receive the goods. Packaging sucks, like being opened several times, manual control, the current can be determined at least two gaskets which, though not worth, but feel uncomfortable. The n"&amp;"on-professionals direct mounting, lead to disastrous consequences. We hope to be able to improve it.")</f>
        <v>Packaging sucks November 24 Kusakabe single, December 18 did not receive the goods. Packaging sucks, like being opened several times, manual control, the current can be determined at least two gaskets which, though not worth, but feel uncomfortable. The non-professionals direct mounting, lead to disastrous consequences. We hope to be able to improve it.</v>
      </c>
    </row>
    <row r="640">
      <c r="A640" s="1">
        <v>3.0</v>
      </c>
      <c r="B640" s="1" t="s">
        <v>640</v>
      </c>
      <c r="C640" t="str">
        <f>IFERROR(__xludf.DUMMYFUNCTION("GOOGLETRANSLATE(B640, ""zh"", ""en"")"),"Bluetooth connection is not smooth sounds good, that is Bluetooth connection is not smooth feeling, there is the Bluetooth connection range is relatively small")</f>
        <v>Bluetooth connection is not smooth sounds good, that is Bluetooth connection is not smooth feeling, there is the Bluetooth connection range is relatively small</v>
      </c>
    </row>
    <row r="641">
      <c r="A641" s="1">
        <v>3.0</v>
      </c>
      <c r="B641" s="1" t="s">
        <v>641</v>
      </c>
      <c r="C641" t="str">
        <f>IFERROR(__xludf.DUMMYFUNCTION("GOOGLETRANSLATE(B641, ""zh"", ""en"")"),"Experience material in general, not very good after wearing somatosensory")</f>
        <v>Experience material in general, not very good after wearing somatosensory</v>
      </c>
    </row>
    <row r="642">
      <c r="A642" s="1">
        <v>3.0</v>
      </c>
      <c r="B642" s="1" t="s">
        <v>642</v>
      </c>
      <c r="C642" t="str">
        <f>IFERROR(__xludf.DUMMYFUNCTION("GOOGLETRANSLATE(B642, ""zh"", ""en"")"),"Origin Honduras is not recommended to wear thin fabric also more comfortable version good workmanship is appalling miserable pin")</f>
        <v>Origin Honduras is not recommended to wear thin fabric also more comfortable version good workmanship is appalling miserable pin</v>
      </c>
    </row>
    <row r="643">
      <c r="A643" s="1">
        <v>1.0</v>
      </c>
      <c r="B643" s="1" t="s">
        <v>643</v>
      </c>
      <c r="C643" t="str">
        <f>IFERROR(__xludf.DUMMYFUNCTION("GOOGLETRANSLATE(B643, ""zh"", ""en"")"),"Cup spicy chicken &lt;div id = ""video-block-RTKYCCRU8K5JQ"" class = ""a-section a-spacing-small a-spacing-top-mini video-block""&gt; &lt;div tabindex = ""0"" class = ""airy airy- svg vmin-unsupported airy-skin-beacon ""style ="" background-color: rgb (0, 0, 0); p"&amp;"osition: relative; width: 100%; height: 100%; font-size: 0px; overflow: hidden; outline: none; ""&gt; &lt;div class ="" airy-renderer-container ""style ="" position: relative; height: 100%; width: 100%; ""&gt; &lt;video id ="" 7 ""preload ="" auto ""src = ""https://i"&amp;"mages-cn.ssl-images-amazon.com/images/I/81W7m7mzzqS.mp4"" style = ""position: absolute; left: 0px; top: 0px; overflow: hidden; height: 1px; width: 1px; ""&gt; &lt;/ video&gt; &lt;/ div&gt; &lt;div id ="" airy-slate-preload ""style ="" background-color: rgb (0, 0, 0); backg"&amp;"round-image: url (&amp; quot; https: / /images-cn.ssl-images-amazon.com/images/I/81IcDvWnHOS.png&amp;quot;); background-size: contain; background-position: center center; background-repeat: no-repeat; position: absolute; top: 0px; left: 0px; visibility: visible; "&amp;"width: 100%; height: 100%; ""&gt; &lt;/ div&gt; &lt;iframe scrolling ="" no ""Frameborder ="" 0 ""src ="" about: blank ""style ="" display: none; ""&gt; &lt;/ iframe&gt; &lt;div tabindex ="" - 1 ""class ="" airy-controls-container ""style ="" opacity: 0; visibility: hidden; ""&gt; "&amp;"&lt;div tabindex ="" - 1 ""class ="" airy-screen-size-toggle airy-fullscreen ""&gt; &lt;/ div&gt; &lt;div tabindex ="" - 1 ""class ="" airy-container-bottom "" &gt; &lt;div tabindex = ""- 1"" class = ""airy-track-bar-spacer-left"" style = ""width: 11px;""&gt; &lt;/ div&gt; &lt;div tabind"&amp;"ex = ""- 1"" class = ""airy-play- toggle airy-play ""style ="" width: 12px; margin-right: 12px; ""&gt; &lt;/ div&gt; &lt;div tabindex ="" - 1 ""class ="" airy-audio-elements ""style ="" float: right; width: 34px; ""&gt; &lt;div tabindex ="" - 1 ""class ="" airy-audio-toggl"&amp;"e airy-on ""&gt; &lt;/ div&gt; &lt;div tabindex ="" - 1 ""class ="" airy-audio-container ""style ="" opacity : 0; visibility: hidden; ""&gt; &lt;div tabindex ="" - 1 ""class ="" airy-audio-track-bar ""style ="" height: 80%; ""&gt; &lt;div tabindex ="" - 1 ""class ="" airy -audio"&amp;"-scrubber-bar ""style ="" height: 85%; ""&gt; &lt;/ div&gt; &lt;div tabindex ="" - 1 ""class ="" airy-audio-scrubber ""style ="" height: 12px; bottom: 85%; ""&gt; &lt;/ div&gt; &lt;/ div&gt; &lt;/ div&gt; &lt;/ div&gt; &lt;div tabindex ="" - 1 ""class ="" airy-duration-label ""style ="" f loat: r"&amp;"ight; width: 26px; margin-right: 4px; text-align: center; ""&gt; 0:00 &lt;/ div&gt; &lt;div tabindex ="" - 1 ""class ="" airy-track-bar-spacer-right "" style = ""float: right; width: 11px;""&gt; &lt;/ div&gt; &lt;div tabindex = ""- 1"" class = ""airy-track-bar-container"" style "&amp;"= ""margin-left: 35px; margin-right: 75px ; ""&gt; &lt;div tabindex ="" - 1 ""class ="" airy-track-bar airy-vertical-centering-table ""&gt; &lt;div tabindex ="" - 1 ""class ="" airy-vertical-centering-table-cell ""&gt; &lt;div tabindex = ""- 1"" class = ""airy-track-bar-el"&amp;"ements""&gt; &lt;div tabindex = ""- 1"" class = ""airy-progress-bar""&gt; &lt;/ div&gt; &lt;div tabindex = ""- 1"" class = ""airy-scrubber-bar""&gt; &lt;/ div&gt; &lt;div tabindex = ""- 1"" class = ""airy-scrubber""&gt; &lt;div tabindex = ""- 1"" class = ""airy-scrubber-icon""&gt; &lt;/ div&gt; &lt;div"&amp;" tabindex = ""- 1"" class = ""airy-adjusted-aui-tooltip"" style = ""opacity: 0; visibility: hidden;""&gt; &lt;div tabindex = ""- 1"" class = ""airy-adjusted-aui -tooltip-inner ""&gt; &lt;div tabindex ="" - 1 ""class ="" airy-current-time-label ""&gt; 0:00 &lt;/ div&gt; &lt;/ div"&amp;"&gt; &lt;div tabindex ="" - 1 ""class ="" airy- adjusted-aui-arrow-border ""&gt; &lt;div tabindex ="" - 1 ""class ="" airy-adjusted-aui-arrow ""&gt; &lt;/ div&gt; &lt;/ div&gt; &lt;/ div&gt; &lt;/ d iv&gt; &lt;/ div&gt; &lt;/ div&gt; &lt;/ div&gt; &lt;/ div&gt; &lt;/ div&gt; &lt;/ div&gt; &lt;div tabindex = ""- 1"" class = ""airy-a"&amp;"ge-gate airy-stage airy-vertical-centering -table airy-dialog ""style ="" opacity: 0; visibility: hidden; ""&gt; &lt;div tabindex ="" - 1 ""class ="" airy-age-gate-vertical-centering-table-cell airy-vertical-centering-table -cell ""&gt; &lt;div tabindex ="" - 1 ""cla"&amp;"ss ="" airy-vertical-centering-wrapper airy-age-gate-elements-wrapper ""&gt; &lt;div tabindex ="" - 1 ""class ="" airy-age-gate- elements airy-dialog-elements ""&gt; &lt;div tabindex ="" - 1 ""class ="" airy-age-gate-prompt ""&gt; This video is not intended for all audi"&amp;"ences What date were you born &lt;/ div&gt; &lt;div tabindex.? = ""- 1"" class = ""airy-age-gate-inputs airy-dialog-inner-elements""&gt; &lt;select tabindex = ""- 1"" class = ""airy-age-gate-month""&gt; &lt;option value = ""1 ""&gt; January &lt;/ option&gt; &lt;option value ="" 2 ""&gt; Feb"&amp;"ruary &lt;/ option&gt; &lt;option value ="" 3 ""&gt; March &lt;/ option&gt; &lt;option value ="" 4 ""&gt; April &lt;/ option&gt; &lt;option value = ""5""&gt; May &lt;/ option&gt; &lt;option value = ""6""&gt; June &lt;/ option&gt; &lt;option value = ""7""&gt; July &lt;/ option&gt; &lt;option value = ""8""&gt; August &lt;/ option&gt;"&amp;" &lt;option value = ""9""&gt; September &lt;/ option&gt; &lt;option value = ""10 ""&gt; October &lt;/ option&gt; &lt;option value ="" 11 ""&gt; November &lt;/ option&gt; &lt;option value ="" 12 ""&gt; December &lt;/ option&gt; &lt;/ select&gt; &lt;select tabindex ="" - 1 ""class ="" airy- age-gate-day ""&gt; &lt;opti"&amp;"on value ="" 1 ""&gt; 1 &lt;/ option&gt; &lt;option value ="" 2 ""&gt; 2 &lt;/ option&gt; &lt;option value ="" 3 ""&gt; 3 &lt;/ option&gt; &lt;option value = ""4""&gt; 4 &lt;/ option&gt; &lt;option value = ""5""&gt; 5 &lt;/ option&gt; &lt;option value = ""6""&gt; 6 &lt;/ option&gt; &lt;option value = ""7""&gt; 7 &lt;/ option&gt; &lt;opti"&amp;"on value = ""8""&gt; 8 &lt;/ option&gt; &lt;option value = ""9""&gt; 9 &lt;/ option&gt; &lt;option value = ""10""&gt; 10 &lt;/ option&gt; &lt;option value = ""11""&gt; 11 &lt;/ option&gt; &lt;option value = ""12""&gt; 12 &lt;/ option&gt; &lt;option value = ""13""&gt; 13 &lt;/ option&gt; &lt;option value = ""14""&gt; 14 &lt;/ option"&amp;"&gt; &lt;option value = ""15""&gt; 15 &lt;/ option&gt; &lt;option value = ""16""&gt; 16 &lt;/ option&gt; &lt;option value = ""17""&gt; 17 &lt;/ option&gt; &lt;option value = ""18""&gt; 18 &lt;/ option&gt; &lt;option value = ""19""&gt; 19 &lt;/ option&gt; &lt;option value = ""20""&gt; 20 &lt;/ option&gt; &lt;option value = ""21""&gt; 2"&amp;"1 &lt;/ option&gt; &lt;option value = ""22""&gt; 22 &lt;/ option&gt; &lt;option value = ""23"" &gt; 23 &lt;/ option&gt; &lt;option value = ""24""&gt; 24 &lt;/ option&gt; &lt;option value = ""25""&gt; 25 &lt;/ option&gt; &lt;option value = ""26""&gt; 26 &lt;/ option&gt; &lt;option value = "" 27 ""&gt; 27 &lt;/ option&gt; &lt;option val"&amp;"ue ="" 28 ""&gt; 28 &lt;/ option&gt; &lt;option value ="" 29 ""&gt; 29 &lt;/ option&gt; &lt; option value = ""30""&gt; 30 &lt;/ option&gt; &lt;option value = ""31""&gt; 31 &lt;/ option&gt; &lt;/ select&gt; &lt;select tabindex = ""- 1"" class = ""airy-age-gate-year""&gt; &lt; option value = ""2019""&gt; 2019 &lt;/ option"&amp;"&gt; &lt;option value = ""2018""&gt; 2018 &lt;/ option&gt; &lt;option value = ""2017""&gt; 2017 &lt;/ option&gt; &lt;option value = ""2016""&gt; ​​2016 &lt;/ option &gt; &lt;option value = ""2015""&gt; 2015 &lt;/ option&gt; &lt;option value = ""2014""&gt; 2014 &lt;/ option&gt; &lt;option value = ""2013""&gt; 2013 &lt;/ option"&amp;"&gt; &lt;option value = ""2012""&gt; 2012 &lt; / option&gt; &lt;option value = ""2011""&gt; 2011 &lt;/ option&gt; &lt;option value = ""2010""&gt; 2010 &lt;/ option&gt; &lt;option value = ""2009""&gt; 2009 &lt;/ option&gt; &lt;option value = ""2008""&gt; 2008 &lt;/ option&gt; &lt;option value = ""2007""&gt; 2007 &lt;/ option&gt; "&amp;"&lt;option value = ""2006""&gt; 2006 &lt;/ option&gt; &lt;option value = ""2005""&gt; 2005 &lt;/ option&gt; &lt;option value = ""2004 ""&gt; 2004 &lt;/ option&gt; &lt;option value ="" 2003 ""&gt; 2003 &lt;/ option&gt; &lt;option value ="" 2002 ""&gt; 2002 &lt;/ option&gt; &lt;option value ="" 2001 ""&gt; 2001 &lt;/ option&gt;"&amp;" &lt;option value = ""2000""&gt; 2000 &lt;/ option&gt; &lt;option value = ""1999""&gt; 1999 &lt;/ option&gt; &lt;option value = ""1998""&gt; 1998 &lt;/ option&gt; &lt;option value = ""1997""&gt; 1997 &lt;/ option&gt; &lt;option value = ""1996""&gt; 1996 &lt;/ option&gt; &lt;option value = ""1995""&gt; 1995 &lt;/ option&gt; &lt;o"&amp;"ption value = ""1994""&gt; 1994 &lt;/ option &gt; &lt;Option value = ""1993""&gt; 1993 &lt;/ option&gt; &lt;option value = ""1992""&gt; 1992 &lt;/ option&gt; &lt;option value = ""1991""&gt; 1991 &lt;/ option&gt; &lt;option value = ""1990""&gt; 1990 &lt; / option&gt; &lt;option value = ""1989""&gt; 1989 &lt;/ option&gt; &lt;op"&amp;"tion value = ""1988""&gt; 1988 &lt;/ option&gt; &lt;option value = ""1987""&gt; 1987 &lt;/ option&gt; &lt;option value = ""1986""&gt; 1986 &lt;/ option&gt; &lt;option value = ""1985""&gt; 1985 &lt;/ option&gt; &lt;option value = ""1984""&gt; 1984 &lt;/ option&gt; &lt;option value = ""1983""&gt; 1983 &lt;/ option&gt; &lt;optio"&amp;"n value = ""1982 ""&gt; 1982 &lt;/ option&gt; &lt;option value ="" 1981 ""&gt; 1981 &lt;/ option&gt; &lt;option value ="" 1980 ""&gt; 1980 &lt;/ option&gt; &lt;option value ="" 1979 ""&gt; 1979 &lt;/ option&gt; &lt;option value = ""1978""&gt; 1978 &lt;/ option&gt; &lt;option value = ""1977""&gt; 1977 &lt;/ option&gt; &lt;opti"&amp;"on value = ""1976""&gt; 1976 &lt;/ option&gt; &lt;option value = ""1975""&gt; 1975 &lt;/ option&gt; &lt;option value = ""1974""&gt; 1974 &lt;/ option&gt; &lt;option value = ""1973""&gt; 1973 &lt;/ option&gt; &lt;option value = ""1972""&gt; 1972 &lt;/ option&gt; &lt;option value = ""1971""&gt; 1971 &lt;/ option&gt; &lt;option "&amp;"value = ""1970""&gt; 1970 &lt;/ option&gt; &lt;option value = ""1969""&gt; 1969 &lt;/ option&gt; &lt;option value = ""1968""&gt; 1968 &lt;/ option&gt; &lt;option value = ""1967""&gt; 1967 &lt;/ option&gt; &lt;option value = ""1966""&gt; 1966 &lt;/ option&gt; &lt;option value = ""1965""&gt; 1965 &lt;/ option&gt; &lt;option val"&amp;"ue = ""1964""&gt; 1964 &lt;/ option&gt; &lt;option value = ""1963""&gt; 1963 &lt;/ option&gt; &lt;option value = ""1962""&gt; 1962 &lt;/ option&gt; &lt;option value = ""1961""&gt; 1961 &lt;/ option&gt; &lt; option value = ""1960""&gt; 1960 &lt;/ option&gt; &lt;option value = ""1959""&gt; 1959 &lt;/ option&gt; &lt;option value"&amp;" = ""1958""&gt; 1958 &lt;/ option&gt; &lt;option value = ""1957""&gt; 1957 &lt;/ option &gt; &lt;option value = ""1956""&gt; 1956 &lt;/ option&gt; &lt;option value = ""1955""&gt; 1955 &lt;/ option&gt; &lt;option value = ""1954""&gt; 1954 &lt;/ option&gt; &lt;option value = ""1953""&gt; 1953 &lt; / option&gt; &lt;option value "&amp;"= ""1952""&gt; 1952 &lt;/ option&gt; &lt;option value = ""1951""&gt; 1951 &lt;/ option&gt; &lt;option value = ""1950""&gt; 1950 &lt;/ option&gt; &lt;option value = ""1949""&gt; 1949 &lt;/ option&gt; &lt;option value = ""1948""&gt; 1948 &lt;/ option&gt; &lt;option value = ""1947""&gt; 1947 &lt;/ option&gt; &lt;option value = "&amp;"""1946""&gt; 1946 &lt;/ option&gt; &lt;option value = ""1945 ""&gt; 1945 &lt;/ option&gt; &lt;option value ="" 1944 ""&gt; 1944 &lt;/ option&gt; &lt;option value ="" 1943 ""&gt; 1943 &lt;/ option&gt; &lt;option value ="" 1942 ""&gt; 1942 &lt;/ option&gt; &lt;option value = ""1941""&gt; 1941 &lt;/ option&gt; &lt;option value ="&amp;" ""1940""&gt; 1940 &lt;/ option&gt; &lt;option value = ""1939""&gt; 1939 &lt;/ option&gt; &lt;option value = ""1938""&gt; 1938 &lt;/ option&gt; &lt;option value = ""1937""&gt; 1937 &lt;/ option&gt; &lt;option value = ""1936""&gt; 1936 &lt;/ option&gt; &lt;option value = ""1935""&gt; 1935 &lt;/ option&gt; &lt;option value = """&amp;"1934""&gt; 1934 &lt;/ option&gt; &lt;option value = ""1933""&gt; 1933 &lt;/ option&gt; &lt;option value = ""1932""&gt; 1932 &lt;/ option&gt; &lt;option value = ""1931""&gt; 1931 &lt;/ option&gt; &lt;option value = ""1930""&gt; 1930 &lt;/ option&gt; &lt;option value = ""1929""&gt; 1929 &lt;/ option&gt; &lt;option value = ""192"&amp;"8""&gt; 1928 &lt;/ option&gt; &lt;option value = ""1927"" &gt; 1927 &lt;/ option&gt; &lt;option value = ""1926""&gt; 1926 &lt;/ option&gt; &lt;option value = ""1925""&gt; 1925 &lt;/ option&gt; &lt;option value = ""1924""&gt; 1924 &lt;/ option&gt; &lt;option value = "" 1923 ""&gt; 1923 &lt;/ option&gt; &lt;option value ="" 192"&amp;"2 ""&gt; 1922 &lt;/ option&gt; &lt;option value ="" 1921 ""&gt; 1921 &lt;/ option&gt; &lt;option value ="" 1920 ""&gt; 1920 &lt;/ option&gt; &lt;option value = ""1919""&gt; 1919 &lt;/ option&gt; &lt;option value = ""1918""&gt; 1918 &lt;/ option&gt; &lt;option value = ""1917""&gt; 1917 &lt;/ option&gt; &lt;option value = ""191"&amp;"6""&gt; 1916 &lt;/ option&gt; &lt; option value = ""1915""&gt; 1915 &lt;/ option&gt; &lt;option value = ""1914""&gt; 1914 &lt;/ option&gt; &lt;option value = ""1913""&gt; 1913 &lt;/ option&gt; &lt;option value = ""1912""&gt; 1912 &lt;/ option &gt; &lt;option value = ""1911""&gt; 1911 &lt;/ option&gt; &lt;option value = ""1910"&amp;"""&gt; 1910 &lt;/ option&gt; &lt;option value = ""1909""&gt; 1909 &lt;/ option&gt; &lt;option value = ""1908""&gt; 1908 &lt; / option&gt; &lt;option value = ""1907""&gt; 1907 &lt;/ option&gt; &lt;option value = ""1906""&gt; 1906 &lt;/ option&gt; &lt;option value = ""1905""&gt; 1905 &lt;/ option&gt; &lt;option value = ""1904"""&amp;"&gt; 1904 &lt;/ option&gt; &lt;option value = ""1903""&gt; 1903 &lt;/ option&gt; &lt;option value = ""1902""&gt; 1902 &lt;/ option&gt; &lt;option value = ""1901""&gt; 1901 &lt;/ option&gt; &lt;option value = ""1900""&gt; 1900 &lt;/ option&gt; &lt;/ select&gt; &lt;div tabindex = ""- 1"" class = ""airy-age-gate-submit air"&amp;"y- submit airy-button airy-submit-disabled ""&gt; Submit &lt;/ div&gt; &lt;/ div&gt; &lt;/ div&gt; &lt;/ div&gt; &lt;/ div&gt; &lt;/ div&gt; &lt;div tabindex ="" - 1 ""class ="" airy-install -flash-dialog airy-stage airy-vertical-centering-table airy-dialog airy-denied ""style ="" opacity: 0; vis"&amp;"ibility: hidden; ""&gt; &lt;div tabindex ="" - 1 ""class ="" airy-install-flash -vertical-centering-table-cell airy-vertical-centering-table-cell ""&gt; &lt;div tabindex ="" - 1 ""class ="" airy-vertical-centering-wrapper airy-install-flash-elements-wrapper ""&gt; &lt;div "&amp;"tabindex = ""- 1"" class = ""airy-install-flash-elements airy-dialog-elements""&gt; &lt;div tabindex = ""- 1"" class = ""airy-install-flash-prompt""&gt; Adobe Flash Player is required to watch . this video &lt;/ div&gt; &lt;div tabindex = ""- 1"" class = ""airy-install-fla"&amp;"sh-button-wrapper airy-dialog-inner-elements""&gt; &lt;div tabindex = ""- 1"" cl ass = ""airy-install-flash-button airy-button""&gt; Install Flash Player &lt;/ div&gt; &lt;/ div&gt; &lt;/ div&gt; &lt;/ div&gt; &lt;/ div&gt; &lt;/ div&gt; &lt;div tabindex = ""- 1"" class = ""airy-video-unsupported-dialo"&amp;"g airy-stage airy-vertical-centering-table airy-dialog airy-denied"" style = ""opacity: 0; visibility: hidden;""&gt; &lt;div tabindex = ""- 1"" class = ""airy-video-unsupported-vertical-centering-table-cell airy-vertical-centering-table-cell""&gt; &lt;div tabindex = "&amp;"""- 1"" class = ""airy-vertical-centering-wrapper airy-video-unsupported-elements -wrapper ""&gt; &lt;div tabindex ="" - 1 ""class ="" airy-video-unsupported-elements airy-dialog-elements ""&gt; &lt;div tabindex ="" - 1 ""class ="" airy-video-unsupported-prompt ""&gt; &lt;"&amp;" / div&gt; &lt;/ div&gt; &lt;/ div&gt; &lt;/ div&gt; &lt;/ div&gt; &lt;div tabindex = ""- 1"" class = ""airy-loading-spinner-stage airy-stage""&gt; &lt;div tabindex = ""- 1"" class = ""airy-loading-spinner-vertical-centering-table-cell airy-vertical-centering-table-cell""&gt; &lt;div tabindex = "&amp;"""- 1"" class = ""airy-loading-spinner-container airy-scalable-hint -container ""&gt; &lt;div tabindex ="" - 1 ""class ="" airy-loading-spinner-dummy airy-scalable-dummy ""&gt; &lt;/ div&gt; &lt;div tabinde x = ""- 1"" class = ""airy-loading-spinner airy-hint"" style = ""v"&amp;"isibility: hidden;""&gt; &lt;/ div&gt; &lt;/ div&gt; &lt;/ div&gt; &lt;/ div&gt; &lt;div tabindex = ""- 1 ""class ="" airy-ads-screen-size-toggle airy-screen-size-toggle airy-fullscreen ""style ="" visibility: hidden; ""&gt; &lt;/ div&gt; &lt;div tabindex ="" - 1 ""class ="" airy- ad-prompt-conta"&amp;"iner ""style ="" visibility: hidden; ""&gt; &lt;div tabindex ="" - 1 ""class ="" airy-ad-prompt-vertical-centering-table airy-vertical-centering-table ""&gt; &lt;div tabindex = ""-1"" class = ""airy-ad-prompt-vertical-centering-table-cell airy-vertical-centering-tabl"&amp;"e-cell""&gt; &lt;div tabindex = ""- 1"" class = ""airy-ad-prompt-label"" &gt; &lt;/ div&gt; &lt;/ div&gt; &lt;/ div&gt; &lt;/ div&gt; &lt;div tabindex = ""- 1"" class = ""airy-ads-controls-container"" style = ""visibility: hidden;""&gt; &lt;div tabindex = "" -1 ""class ="" airy-ads-audio-toggle a"&amp;"iry-audio-toggle airy-on ""style ="" visibility: hidden; ""&gt; &lt;/ div&gt; &lt;div tabindex ="" - 1 ""class ="" airy-time- remaining-label-container ""&gt; &lt;div tabindex ="" - 1 ""class ="" airy-time-remaining-vertical-centering-table airy-vertical-centering-table """&amp;"&gt; &lt;div tabindex ="" - 1 ""class ="" airy -time-remaining-vertical-cente ring-table-cell airy-vertical-centering-table-cell ""&gt; &lt;div tabindex ="" - 1 ""class ="" airy-vertical-centering-wrapper airy-time-remaining-label-wrapper ""&gt; &lt;div tabindex ="" -1 ""c"&amp;"lass ="" airy-time-remaining-label ""style ="" visibility: hidden; ""&gt; &lt;/ div&gt; &lt;div tabindex ="" - 1 ""class ="" airy-ad-skip ""style ="" visibility: hidden ; ""&gt; &lt;/ div&gt; &lt;div tabindex ="" - 1 ""class ="" airy-ad-end ""style ="" visibility: hidden; ""&gt; &lt;/"&amp;" div&gt; &lt;/ div&gt; &lt;/ div&gt; &lt;/ div&gt; &lt; / div&gt; &lt;div tabindex = ""- 1"" class = ""airy-learn-more"" style = ""visibility: hidden;""&gt; &lt;/ div&gt; &lt;/ div&gt; &lt;div tabindex = ""- 1"" class = ""airy- play-toggle-hint-stage airy-stage airy-cursor ""&gt; &lt;div tabindex ="" - 1 ""c"&amp;"lass ="" airy-play-toggle-hint-vertical-centering-table-cell airy-vertical-centering-table-cell airy-cursor ""&gt; &lt;div tabindex ="" - 1 ""class ="" airy-play-toggle-hint-container airy-scalable-hint-container ""&gt; &lt;div tabindex ="" - 1 ""class ="" airy-play-"&amp;"toggle -hint-dummy airy-scalable-dummy ""&gt; &lt;/ div&gt; &lt;div tabindex ="" - 1 ""class ="" airy-play-toggle-hint airy-hint airy-play-hint ""style ="" opacity: 1; visibility : visible; ""&gt; &lt;/ div&gt; &lt;/ div&gt; &lt;/ div&gt; &lt;/ div&gt; &lt;d iv tabindex = ""- 1"" class = ""airy-r"&amp;"eplay-hint-stage airy-stage"" style = ""visibility: hidden;""&gt; &lt;div tabindex = ""- 1"" class = ""airy-replay-hint-vertical-centering -table-cell airy-vertical-centering-table-cell airy-cursor ""&gt; &lt;div tabindex ="" - 1 ""class ="" airy-replay-hint-containe"&amp;"r airy-scalable-hint-container ""&gt; &lt;div tabindex ="" -1 ""class ="" airy-replay-hint-dummy airy-scalable-dummy ""&gt; &lt;/ div&gt; &lt;div tabindex ="" - 1 ""class ="" airy-replay-hint airy-hint ""&gt; &lt;/ div&gt; &lt; / div&gt; &lt;/ div&gt; &lt;/ div&gt; &lt;div tabindex = ""- 1"" class = """&amp;"airy-autoplay-hint-stage airy-stage"" style = ""visibility: hidden;""&gt; &lt;div tabindex = ""- 1"" class = ""airy-autoplay-hint-vertical-centering-table-cell airy-vertical-centering-table-cell airy-cursor""&gt; &lt;div tabindex = ""- 1"" class = ""airy-autoplay-hin"&amp;"t-container airy- scalable-hint-container ""&gt; &lt;div tabindex ="" - 1 ""class ="" airy-autoplay-hint-dummy airy-scalable-dummy ""&gt; &lt;/ div&gt; &lt;/ div&gt; &lt;/ div&gt; &lt;/ div&gt; &lt;/ div&gt; &lt;/ div&gt; &lt;input type = ""hidden"" name = """" value = ""https://images-cn.ssl-images-am"&amp;"azon.com/images/I/81W7m7mzzqS.mp4"" class = ""video-url ""&gt; &lt;input type ="" hidden ""name ="" "" value = ""https://images-cn.ssl-images-amazon.com/images/I/81IcDvWnHOS.png"" class = ""video-slate-img-url""&gt; &amp; nbsp; such as video, voice shaking when the cu"&amp;"p , insulation should be out of the question, annoying, is the pit of money, really served.")</f>
        <v>Cup spicy chicken &lt;div id = "video-block-RTKYCCRU8K5JQ" class = "a-section a-spacing-small a-spacing-top-mini video-block"&gt; &lt;div tabindex = "0" class = "airy airy- svg vmin-unsupported airy-skin-beacon "style =" background-color: rgb (0, 0, 0); position: relative; width: 100%; height: 100%; font-size: 0px; overflow: hidden; outline: none; "&gt; &lt;div class =" airy-renderer-container "style =" position: relative; height: 100%; width: 100%; "&gt; &lt;video id =" 7 "preload =" auto "src = "https://images-cn.ssl-images-amazon.com/images/I/81W7m7mzzqS.mp4" style = "position: absolute; left: 0px; top: 0px; overflow: hidden; height: 1px; width: 1px; "&gt; &lt;/ video&gt; &lt;/ div&gt; &lt;div id =" airy-slate-preload "style =" background-color: rgb (0, 0, 0); background-image: url (&amp; quot; https: / /images-cn.ssl-images-amazon.com/images/I/81IcDvWnHOS.png&amp;quot;); background-size: contain; background-position: center center; background-repeat: no-repeat; position: absolute; top: 0px; left: 0px; visibility: visible; width: 100%; height: 100%; "&gt; &lt;/ div&gt; &lt;iframe scrolling =" no "Frameborder =" 0 "src =" about: blank "style =" display: none; "&gt; &lt;/ iframe&gt; &lt;div tabindex =" - 1 "class =" airy-controls-container "style =" opacity: 0; visibility: hidden; "&gt; &lt;div tabindex =" - 1 "class =" airy-screen-size-toggle airy-fullscreen "&gt; &lt;/ div&gt; &lt;div tabindex =" - 1 "class =" airy-container-bottom " &gt; &lt;div tabindex = "- 1" class = "airy-track-bar-spacer-left" style = "width: 11px;"&gt; &lt;/ div&gt; &lt;div tabindex = "- 1" class = "airy-play- toggle airy-play "style =" width: 12px; margin-right: 12px; "&gt; &lt;/ div&gt; &lt;div tabindex =" - 1 "class =" airy-audio-elements "style =" float: right; width: 34px; "&gt; &lt;div tabindex =" - 1 "class =" airy-audio-toggle airy-on "&gt; &lt;/ div&gt; &lt;div tabindex =" - 1 "class =" airy-audio-container "style =" opacity : 0; visibility: hidden; "&gt; &lt;div tabindex =" - 1 "class =" airy-audio-track-bar "style =" height: 80%; "&gt; &lt;div tabindex =" - 1 "class =" airy -audio-scrubber-bar "style =" height: 85%; "&gt; &lt;/ div&gt; &lt;div tabindex =" - 1 "class =" airy-audio-scrubber "style =" height: 12px; bottom: 85%; "&gt; &lt;/ div&gt; &lt;/ div&gt; &lt;/ div&gt; &lt;/ div&gt; &lt;div tabindex =" - 1 "class =" airy-duration-label "style =" f loat: right; width: 26px; margin-right: 4px; text-align: center; "&gt; 0:00 &lt;/ div&gt; &lt;div tabindex =" - 1 "class =" airy-track-bar-spacer-right " style = "float: right; width: 11px;"&gt; &lt;/ div&gt; &lt;div tabindex = "- 1" class = "airy-track-bar-container" style = "margin-left: 35px; margin-right: 75px ; "&gt; &lt;div tabindex =" - 1 "class =" airy-track-bar airy-vertical-centering-table "&gt; &lt;div tabindex =" - 1 "class =" airy-vertical-centering-table-cell "&gt; &lt;div tabindex = "- 1" class = "airy-track-bar-elements"&gt; &lt;div tabindex = "- 1" class = "airy-progress-bar"&gt; &lt;/ div&gt; &lt;div tabindex = "- 1" class = "airy-scrubber-bar"&gt; &lt;/ div&gt; &lt;div tabindex = "- 1" class = "airy-scrubber"&gt; &lt;div tabindex = "- 1" class = "airy-scrubber-icon"&gt; &lt;/ div&gt; &lt;div tabindex = "- 1" class = "airy-adjusted-aui-tooltip" style = "opacity: 0; visibility: hidden;"&gt; &lt;div tabindex = "- 1" class = "airy-adjusted-aui -tooltip-inner "&gt; &lt;div tabindex =" - 1 "class =" airy-current-time-label "&gt; 0:00 &lt;/ div&gt; &lt;/ div&gt; &lt;div tabindex =" - 1 "class =" airy- adjusted-aui-arrow-border "&gt; &lt;div tabindex =" - 1 "class =" airy-adjusted-aui-arrow "&gt; &lt;/ div&gt; &lt;/ div&gt; &lt;/ div&gt; &lt;/ d iv&gt; &lt;/ div&gt; &lt;/ div&gt; &lt;/ div&gt; &lt;/ div&gt; &lt;/ div&gt; &lt;/ div&gt; &lt;div tabindex = "- 1" class = "airy-age-gate airy-stage airy-vertical-centering -table airy-dialog "style =" opacity: 0; visibility: hidden; "&gt; &lt;div tabindex =" - 1 "class =" airy-age-gate-vertical-centering-table-cell airy-vertical-centering-table -cell "&gt; &lt;div tabindex =" - 1 "class =" airy-vertical-centering-wrapper airy-age-gate-elements-wrapper "&gt; &lt;div tabindex =" - 1 "class =" airy-age-gate- elements airy-dialog-elements "&gt; &lt;div tabindex =" - 1 "class =" airy-age-gate-prompt "&gt; This video is not intended for all audiences What date were you born &lt;/ div&gt; &lt;div tabindex.? = "- 1" class = "airy-age-gate-inputs airy-dialog-inner-elements"&gt; &lt;select tabindex = "- 1" class = "airy-age-gate-month"&gt; &lt;option value = "1 "&gt; January &lt;/ option&gt; &lt;option value =" 2 "&gt; February &lt;/ option&gt; &lt;option value =" 3 "&gt; March &lt;/ option&gt; &lt;option value =" 4 "&gt; April &lt;/ option&gt; &lt;option value = "5"&gt; May &lt;/ option&gt; &lt;option value = "6"&gt; June &lt;/ option&gt; &lt;option value = "7"&gt; July &lt;/ option&gt; &lt;option value = "8"&gt; August &lt;/ option&gt; &lt;option value = "9"&gt; September &lt;/ option&gt; &lt;option value = "10 "&gt; October &lt;/ option&gt; &lt;option value =" 11 "&gt; November &lt;/ option&gt; &lt;option value =" 12 "&gt; December &lt;/ option&gt; &lt;/ select&gt; &lt;select tabindex =" - 1 "class =" airy- age-gate-day "&gt; &lt;option value =" 1 "&gt; 1 &lt;/ option&gt; &lt;option value =" 2 "&gt; 2 &lt;/ option&gt; &lt;option value =" 3 "&gt; 3 &lt;/ option&gt; &lt;option value = "4"&gt; 4 &lt;/ option&gt; &lt;option value = "5"&gt; 5 &lt;/ option&gt; &lt;option value = "6"&gt; 6 &lt;/ option&gt; &lt;option value = "7"&gt; 7 &lt;/ option&gt; &lt;option value = "8"&gt; 8 &lt;/ option&gt; &lt;option value = "9"&gt; 9 &lt;/ option&gt; &lt;option value = "10"&gt; 10 &lt;/ option&gt; &lt;option value = "11"&gt; 11 &lt;/ option&gt; &lt;option value = "12"&gt; 12 &lt;/ option&gt; &lt;option value = "13"&gt; 13 &lt;/ option&gt; &lt;option value = "14"&gt; 14 &lt;/ option&gt; &lt;option value = "15"&gt; 15 &lt;/ option&gt; &lt;option value = "16"&gt; 16 &lt;/ option&gt; &lt;option value = "17"&gt; 17 &lt;/ option&gt; &lt;option value = "18"&gt; 18 &lt;/ option&gt; &lt;option value = "19"&gt; 19 &lt;/ option&gt; &lt;option value = "20"&gt; 20 &lt;/ option&gt; &lt;option value = "21"&gt; 21 &lt;/ option&gt; &lt;option value = "22"&gt; 22 &lt;/ option&gt; &lt;option value = "23" &gt; 23 &lt;/ option&gt; &lt;option value = "24"&gt; 24 &lt;/ option&gt; &lt;option value = "25"&gt; 25 &lt;/ option&gt; &lt;option value = "26"&gt; 26 &lt;/ option&gt; &lt;option value = " 27 "&gt; 27 &lt;/ option&gt; &lt;option value =" 28 "&gt; 28 &lt;/ option&gt; &lt;option value =" 29 "&gt; 29 &lt;/ option&gt; &lt; option value = "30"&gt; 30 &lt;/ option&gt; &lt;option value = "31"&gt; 31 &lt;/ option&gt; &lt;/ select&gt; &lt;select tabindex = "- 1" class = "airy-age-gate-year"&gt; &lt; option value = "2019"&gt; 2019 &lt;/ option&gt; &lt;option value = "2018"&gt; 2018 &lt;/ option&gt; &lt;option value = "2017"&gt; 2017 &lt;/ option&gt; &lt;option value = "2016"&gt; ​​2016 &lt;/ option &gt; &lt;option value = "2015"&gt; 2015 &lt;/ option&gt; &lt;option value = "2014"&gt; 2014 &lt;/ option&gt; &lt;option value = "2013"&gt; 2013 &lt;/ option&gt; &lt;option value = "2012"&gt; 2012 &lt; / option&gt; &lt;option value = "2011"&gt; 2011 &lt;/ option&gt; &lt;option value = "2010"&gt; 2010 &lt;/ option&gt; &lt;option value = "2009"&gt; 2009 &lt;/ option&gt; &lt;option value = "2008"&gt; 2008 &lt;/ option&gt; &lt;option value = "2007"&gt; 2007 &lt;/ option&gt; &lt;option value = "2006"&gt; 2006 &lt;/ option&gt; &lt;option value = "2005"&gt; 2005 &lt;/ option&gt; &lt;option value = "2004 "&gt; 2004 &lt;/ option&gt; &lt;option value =" 2003 "&gt; 2003 &lt;/ option&gt; &lt;option value =" 2002 "&gt; 2002 &lt;/ option&gt; &lt;option value =" 2001 "&gt; 2001 &lt;/ option&gt; &lt;option value = "2000"&gt; 2000 &lt;/ option&gt; &lt;option value = "1999"&gt; 1999 &lt;/ option&gt; &lt;option value = "1998"&gt; 1998 &lt;/ option&gt; &lt;option value = "1997"&gt; 1997 &lt;/ option&gt; &lt;option value = "1996"&gt; 1996 &lt;/ option&gt; &lt;option value = "1995"&gt; 1995 &lt;/ option&gt; &lt;option value = "1994"&gt; 1994 &lt;/ option &gt; &lt;Option value = "1993"&gt; 1993 &lt;/ option&gt; &lt;option value = "1992"&gt; 1992 &lt;/ option&gt; &lt;option value = "1991"&gt; 1991 &lt;/ option&gt; &lt;option value = "1990"&gt; 1990 &lt; / option&gt; &lt;option value = "1989"&gt; 1989 &lt;/ option&gt; &lt;option value = "1988"&gt; 1988 &lt;/ option&gt; &lt;option value = "1987"&gt; 1987 &lt;/ option&gt; &lt;option value = "1986"&gt; 1986 &lt;/ option&gt; &lt;option value = "1985"&gt; 1985 &lt;/ option&gt; &lt;option value = "1984"&gt; 1984 &lt;/ option&gt; &lt;option value = "1983"&gt; 1983 &lt;/ option&gt; &lt;option value = "1982 "&gt; 1982 &lt;/ option&gt; &lt;option value =" 1981 "&gt; 1981 &lt;/ option&gt; &lt;option value =" 1980 "&gt; 1980 &lt;/ option&gt; &lt;option value =" 1979 "&gt; 1979 &lt;/ option&gt; &lt;option value = "1978"&gt; 1978 &lt;/ option&gt; &lt;option value = "1977"&gt; 1977 &lt;/ option&gt; &lt;option value = "1976"&gt; 1976 &lt;/ option&gt; &lt;option value = "1975"&gt; 1975 &lt;/ option&gt; &lt;option value = "1974"&gt; 1974 &lt;/ option&gt; &lt;option value = "1973"&gt; 1973 &lt;/ option&gt; &lt;option value = "1972"&gt; 1972 &lt;/ option&gt; &lt;option value = "1971"&gt; 1971 &lt;/ option&gt; &lt;option value = "1970"&gt; 1970 &lt;/ option&gt; &lt;option value = "1969"&gt; 1969 &lt;/ option&gt; &lt;option value = "1968"&gt; 1968 &lt;/ option&gt; &lt;option value = "1967"&gt; 1967 &lt;/ option&gt; &lt;option value = "1966"&gt; 1966 &lt;/ option&gt; &lt;option value = "1965"&gt; 1965 &lt;/ option&gt; &lt;option value = "1964"&gt; 1964 &lt;/ option&gt; &lt;option value = "1963"&gt; 1963 &lt;/ option&gt; &lt;option value = "1962"&gt; 1962 &lt;/ option&gt; &lt;option value = "1961"&gt; 1961 &lt;/ option&gt; &lt; option value = "1960"&gt; 1960 &lt;/ option&gt; &lt;option value = "1959"&gt; 1959 &lt;/ option&gt; &lt;option value = "1958"&gt; 1958 &lt;/ option&gt; &lt;option value = "1957"&gt; 1957 &lt;/ option &gt; &lt;option value = "1956"&gt; 1956 &lt;/ option&gt; &lt;option value = "1955"&gt; 1955 &lt;/ option&gt; &lt;option value = "1954"&gt; 1954 &lt;/ option&gt; &lt;option value = "1953"&gt; 1953 &lt; / option&gt; &lt;option value = "1952"&gt; 1952 &lt;/ option&gt; &lt;option value = "1951"&gt; 1951 &lt;/ option&gt; &lt;option value = "1950"&gt; 1950 &lt;/ option&gt; &lt;option value = "1949"&gt; 1949 &lt;/ option&gt; &lt;option value = "1948"&gt; 1948 &lt;/ option&gt; &lt;option value = "1947"&gt; 1947 &lt;/ option&gt; &lt;option value = "1946"&gt; 1946 &lt;/ option&gt; &lt;option value = "1945 "&gt; 1945 &lt;/ option&gt; &lt;option value =" 1944 "&gt; 1944 &lt;/ option&gt; &lt;option value =" 1943 "&gt; 1943 &lt;/ option&gt; &lt;option value =" 1942 "&gt; 1942 &lt;/ option&gt; &lt;option value = "1941"&gt; 1941 &lt;/ option&gt; &lt;option value = "1940"&gt; 1940 &lt;/ option&gt; &lt;option value = "1939"&gt; 1939 &lt;/ option&gt; &lt;option value = "1938"&gt; 1938 &lt;/ option&gt; &lt;option value = "1937"&gt; 1937 &lt;/ option&gt; &lt;option value = "1936"&gt; 1936 &lt;/ option&gt; &lt;option value = "1935"&gt; 1935 &lt;/ option&gt; &lt;option value = "1934"&gt; 1934 &lt;/ option&gt; &lt;option value = "1933"&gt; 1933 &lt;/ option&gt; &lt;option value = "1932"&gt; 1932 &lt;/ option&gt; &lt;option value = "1931"&gt; 1931 &lt;/ option&gt; &lt;option value = "1930"&gt; 1930 &lt;/ option&gt; &lt;option value = "1929"&gt; 1929 &lt;/ option&gt; &lt;option value = "1928"&gt; 1928 &lt;/ option&gt; &lt;option value = "1927" &gt; 1927 &lt;/ option&gt; &lt;option value = "1926"&gt; 1926 &lt;/ option&gt; &lt;option value = "1925"&gt; 1925 &lt;/ option&gt; &lt;option value = "1924"&gt; 1924 &lt;/ option&gt; &lt;option value = " 1923 "&gt; 1923 &lt;/ option&gt; &lt;option value =" 1922 "&gt; 1922 &lt;/ option&gt; &lt;option value =" 1921 "&gt; 1921 &lt;/ option&gt; &lt;option value =" 1920 "&gt; 1920 &lt;/ option&gt; &lt;option value = "1919"&gt; 1919 &lt;/ option&gt; &lt;option value = "1918"&gt; 1918 &lt;/ option&gt; &lt;option value = "1917"&gt; 1917 &lt;/ option&gt; &lt;option value = "1916"&gt; 1916 &lt;/ option&gt; &lt; option value = "1915"&gt; 1915 &lt;/ option&gt; &lt;option value = "1914"&gt; 1914 &lt;/ option&gt; &lt;option value = "1913"&gt; 1913 &lt;/ option&gt; &lt;option value = "1912"&gt; 1912 &lt;/ option &gt; &lt;option value = "1911"&gt; 1911 &lt;/ option&gt; &lt;option value = "1910"&gt; 1910 &lt;/ option&gt; &lt;option value = "1909"&gt; 1909 &lt;/ option&gt; &lt;option value = "1908"&gt; 1908 &lt; / option&gt; &lt;option value = "1907"&gt; 1907 &lt;/ option&gt; &lt;option value = "1906"&gt; 1906 &lt;/ option&gt; &lt;option value = "1905"&gt; 1905 &lt;/ option&gt; &lt;option value = "1904"&gt; 1904 &lt;/ option&gt; &lt;option value = "1903"&gt; 1903 &lt;/ option&gt; &lt;option value = "1902"&gt; 1902 &lt;/ option&gt; &lt;option value = "1901"&gt; 1901 &lt;/ option&gt; &lt;option value = "1900"&gt; 1900 &lt;/ option&gt; &lt;/ select&gt; &lt;div tabindex = "- 1" class = "airy-age-gate-submit airy- submit airy-button airy-submit-disabled "&gt; Submit &lt;/ div&gt; &lt;/ div&gt; &lt;/ div&gt; &lt;/ div&gt; &lt;/ div&gt; &lt;/ div&gt; &lt;div tabindex =" - 1 "class =" airy-install -flash-dialog airy-stage airy-vertical-centering-table airy-dialog airy-denied "style =" opacity: 0; visibility: hidden; "&gt; &lt;div tabindex =" - 1 "class =" airy-install-flash -vertical-centering-table-cell airy-vertical-centering-table-cell "&gt; &lt;div tabindex =" - 1 "class =" airy-vertical-centering-wrapper airy-install-flash-elements-wrapper "&gt; &lt;div tabindex = "- 1" class = "airy-install-flash-elements airy-dialog-elements"&gt; &lt;div tabindex = "- 1" class = "airy-install-flash-prompt"&gt; Adobe Flash Player is required to watch . this video &lt;/ div&gt; &lt;div tabindex = "- 1" class = "airy-install-flash-button-wrapper airy-dialog-inner-elements"&gt; &lt;div tabindex = "- 1" cl ass = "airy-install-flash-button airy-button"&gt; Install Flash Player &lt;/ div&gt; &lt;/ div&gt; &lt;/ div&gt; &lt;/ div&gt; &lt;/ div&gt; &lt;/ div&gt; &lt;div tabindex = "- 1" class = "airy-video-unsupported-dialog airy-stage airy-vertical-centering-table airy-dialog airy-denied" style = "opacity: 0; visibility: hidden;"&gt; &lt;div tabindex = "- 1" class = "airy-video-unsupported-vertical-centering-table-cell airy-vertical-centering-table-cell"&gt; &lt;div tabindex = "- 1" class = "airy-vertical-centering-wrapper airy-video-unsupported-elements -wrapper "&gt; &lt;div tabindex =" - 1 "class =" airy-video-unsupported-elements airy-dialog-elements "&gt; &lt;div tabindex =" - 1 "class =" airy-video-unsupported-prompt "&gt; &lt; / div&gt; &lt;/ div&gt; &lt;/ div&gt; &lt;/ div&gt; &lt;/ div&gt; &lt;div tabindex = "- 1" class = "airy-loading-spinner-stage airy-stage"&gt; &lt;div tabindex = "- 1" class = "airy-loading-spinner-vertical-centering-table-cell airy-vertical-centering-table-cell"&gt; &lt;div tabindex = "- 1" class = "airy-loading-spinner-container airy-scalable-hint -container "&gt; &lt;div tabindex =" - 1 "class =" airy-loading-spinner-dummy airy-scalable-dummy "&gt; &lt;/ div&gt; &lt;div tabinde x = "- 1" class = "airy-loading-spinner airy-hint" style = "visibility: hidden;"&gt; &lt;/ div&gt; &lt;/ div&gt; &lt;/ div&gt; &lt;/ div&gt; &lt;div tabindex = "- 1 "class =" airy-ads-screen-size-toggle airy-screen-size-toggle airy-fullscreen "style =" visibility: hidden; "&gt; &lt;/ div&gt; &lt;div tabindex =" - 1 "class =" airy- ad-prompt-container "style =" visibility: hidden; "&gt; &lt;div tabindex =" - 1 "class =" airy-ad-prompt-vertical-centering-table airy-vertical-centering-table "&gt; &lt;div tabindex = "-1" class = "airy-ad-prompt-vertical-centering-table-cell airy-vertical-centering-table-cell"&gt; &lt;div tabindex = "- 1" class = "airy-ad-prompt-label" &gt; &lt;/ div&gt; &lt;/ div&gt; &lt;/ div&gt; &lt;/ div&gt; &lt;div tabindex = "- 1" class = "airy-ads-controls-container" style = "visibility: hidden;"&gt; &lt;div tabindex = " -1 "class =" airy-ads-audio-toggle airy-audio-toggle airy-on "style =" visibility: hidden; "&gt; &lt;/ div&gt; &lt;div tabindex =" - 1 "class =" airy-time- remaining-label-container "&gt; &lt;div tabindex =" - 1 "class =" airy-time-remaining-vertical-centering-table airy-vertical-centering-table "&gt; &lt;div tabindex =" - 1 "class =" airy -time-remaining-vertical-cente ring-table-cell airy-vertical-centering-table-cell "&gt; &lt;div tabindex =" - 1 "class =" airy-vertical-centering-wrapper airy-time-remaining-label-wrapper "&gt; &lt;div tabindex =" -1 "class =" airy-time-remaining-label "style =" visibility: hidden; "&gt; &lt;/ div&gt; &lt;div tabindex =" - 1 "class =" airy-ad-skip "style =" visibility: hidden ; "&gt; &lt;/ div&gt; &lt;div tabindex =" - 1 "class =" airy-ad-end "style =" visibility: hidden; "&gt; &lt;/ div&gt; &lt;/ div&gt; &lt;/ div&gt; &lt;/ div&gt; &lt; / div&gt; &lt;div tabindex = "- 1" class = "airy-learn-more" style = "visibility: hidden;"&gt; &lt;/ div&gt; &lt;/ div&gt; &lt;div tabindex = "- 1" class = "airy- play-toggle-hint-stage airy-stage airy-cursor "&gt; &lt;div tabindex =" - 1 "class =" airy-play-toggle-hint-vertical-centering-table-cell airy-vertical-centering-table-cell airy-cursor "&gt; &lt;div tabindex =" - 1 "class =" airy-play-toggle-hint-container airy-scalable-hint-container "&gt; &lt;div tabindex =" - 1 "class =" airy-play-toggle -hint-dummy airy-scalable-dummy "&gt; &lt;/ div&gt; &lt;div tabindex =" - 1 "class =" airy-play-toggle-hint airy-hint airy-play-hint "style =" opacity: 1; visibility : visible; "&gt; &lt;/ div&gt; &lt;/ div&gt; &lt;/ div&gt; &lt;/ div&gt; &lt;d iv tabindex = "- 1" class = "airy-replay-hint-stage airy-stage" style = "visibility: hidden;"&gt; &lt;div tabindex = "- 1" class = "airy-replay-hint-vertical-centering -table-cell airy-vertical-centering-table-cell airy-cursor "&gt; &lt;div tabindex =" - 1 "class =" airy-replay-hint-container airy-scalable-hint-container "&gt; &lt;div tabindex =" -1 "class =" airy-replay-hint-dummy airy-scalable-dummy "&gt; &lt;/ div&gt; &lt;div tabindex =" - 1 "class =" airy-replay-hint airy-hint "&gt; &lt;/ div&gt; &lt; / div&gt; &lt;/ div&gt; &lt;/ div&gt; &lt;div tabindex = "- 1" class = "airy-autoplay-hint-stage airy-stage" style = "visibility: hidden;"&gt; &lt;div tabindex = "- 1" class = "airy-autoplay-hint-vertical-centering-table-cell airy-vertical-centering-table-cell airy-cursor"&gt; &lt;div tabindex = "- 1" class = "airy-autoplay-hint-container airy- scalable-hint-container "&gt; &lt;div tabindex =" - 1 "class =" airy-autoplay-hint-dummy airy-scalable-dummy "&gt; &lt;/ div&gt; &lt;/ div&gt; &lt;/ div&gt; &lt;/ div&gt; &lt;/ div&gt; &lt;/ div&gt; &lt;input type = "hidden" name = "" value = "https://images-cn.ssl-images-amazon.com/images/I/81W7m7mzzqS.mp4" class = "video-url "&gt; &lt;input type =" hidden "name =" " value = "https://images-cn.ssl-images-amazon.com/images/I/81IcDvWnHOS.png" class = "video-slate-img-url"&gt; &amp; nbsp; such as video, voice shaking when the cup , insulation should be out of the question, annoying, is the pit of money, really served.</v>
      </c>
    </row>
    <row r="644">
      <c r="A644" s="1">
        <v>1.0</v>
      </c>
      <c r="B644" s="1" t="s">
        <v>644</v>
      </c>
      <c r="C644" t="str">
        <f>IFERROR(__xludf.DUMMYFUNCTION("GOOGLETRANSLATE(B644, ""zh"", ""en"")"),"Get our hands found the bottle paint chips! Regret buying, bottle get our hands on the black pieces, thought it was the stain, use a variety of means of cleaning was not washed away, against the light, carefully identify realized that the paint chips! !")</f>
        <v>Get our hands found the bottle paint chips! Regret buying, bottle get our hands on the black pieces, thought it was the stain, use a variety of means of cleaning was not washed away, against the light, carefully identify realized that the paint chips! !</v>
      </c>
    </row>
    <row r="645">
      <c r="A645" s="1">
        <v>4.0</v>
      </c>
      <c r="B645" s="1" t="s">
        <v>645</v>
      </c>
      <c r="C645" t="str">
        <f>IFERROR(__xludf.DUMMYFUNCTION("GOOGLETRANSLATE(B645, ""zh"", ""en"")"),"Dial larger dial really great for people who wear thick wrists.")</f>
        <v>Dial larger dial really great for people who wear thick wrists.</v>
      </c>
    </row>
    <row r="646">
      <c r="A646" s="1">
        <v>4.0</v>
      </c>
      <c r="B646" s="1" t="s">
        <v>646</v>
      </c>
      <c r="C646" t="str">
        <f>IFERROR(__xludf.DUMMYFUNCTION("GOOGLETRANSLATE(B646, ""zh"", ""en"")"),"Size small little, the other bad. Fabrics more comfortable, a little small ruler that, in general, good")</f>
        <v>Size small little, the other bad. Fabrics more comfortable, a little small ruler that, in general, good</v>
      </c>
    </row>
    <row r="647">
      <c r="A647" s="1">
        <v>4.0</v>
      </c>
      <c r="B647" s="1" t="s">
        <v>647</v>
      </c>
      <c r="C647" t="str">
        <f>IFERROR(__xludf.DUMMYFUNCTION("GOOGLETRANSLATE(B647, ""zh"", ""en"")"),"Not bad like to buy a cup, is pure love, to no avail, buying of space at home.")</f>
        <v>Not bad like to buy a cup, is pure love, to no avail, buying of space at home.</v>
      </c>
    </row>
    <row r="648">
      <c r="A648" s="1">
        <v>4.0</v>
      </c>
      <c r="B648" s="1" t="s">
        <v>648</v>
      </c>
      <c r="C648" t="str">
        <f>IFERROR(__xludf.DUMMYFUNCTION("GOOGLETRANSLATE(B648, ""zh"", ""en"")"),"Very good was thin dense whole foot is not very thick, but with a layer of domesticated hen cold to 10 ℃ worn alone have no problem")</f>
        <v>Very good was thin dense whole foot is not very thick, but with a layer of domesticated hen cold to 10 ℃ worn alone have no problem</v>
      </c>
    </row>
    <row r="649">
      <c r="A649" s="1">
        <v>4.0</v>
      </c>
      <c r="B649" s="1" t="s">
        <v>649</v>
      </c>
      <c r="C649" t="str">
        <f>IFERROR(__xludf.DUMMYFUNCTION("GOOGLETRANSLATE(B649, ""zh"", ""en"")"),"Too big for the big fat man wearing a pure white color plus velvet inside, not thick, feel good, the version is too big, I 183cm, 220 pounds of body weight, put on a giant fertilizer, while L, wearing just buy.")</f>
        <v>Too big for the big fat man wearing a pure white color plus velvet inside, not thick, feel good, the version is too big, I 183cm, 220 pounds of body weight, put on a giant fertilizer, while L, wearing just buy.</v>
      </c>
    </row>
    <row r="650">
      <c r="A650" s="1">
        <v>5.0</v>
      </c>
      <c r="B650" s="1" t="s">
        <v>650</v>
      </c>
      <c r="C650" t="str">
        <f>IFERROR(__xludf.DUMMYFUNCTION("GOOGLETRANSLATE(B650, ""zh"", ""en"")"),"Handsome, suitable! ! ! Some do not know why a lot of great comments? ? ? I wear sneakers 40 yards 7 2E slightly relaxed a little bit, quite right, not a lot of big ah. AIU also buy Clarks seven yards just right.")</f>
        <v>Handsome, suitable! ! ! Some do not know why a lot of great comments? ? ? I wear sneakers 40 yards 7 2E slightly relaxed a little bit, quite right, not a lot of big ah. AIU also buy Clarks seven yards just right.</v>
      </c>
    </row>
    <row r="651">
      <c r="A651" s="1">
        <v>5.0</v>
      </c>
      <c r="B651" s="1" t="s">
        <v>651</v>
      </c>
      <c r="C651" t="str">
        <f>IFERROR(__xludf.DUMMYFUNCTION("GOOGLETRANSLATE(B651, ""zh"", ""en"")"),"Very comfortable to wear very comfortable, very soft bottom")</f>
        <v>Very comfortable to wear very comfortable, very soft bottom</v>
      </c>
    </row>
    <row r="652">
      <c r="A652" s="1">
        <v>5.0</v>
      </c>
      <c r="B652" s="1" t="s">
        <v>652</v>
      </c>
      <c r="C652" t="str">
        <f>IFERROR(__xludf.DUMMYFUNCTION("GOOGLETRANSLATE(B652, ""zh"", ""en"")"),"Overall good legs this Slim models than the average of a little slim, but also fit, very good upper body. 176cm, 80kg, choose a longer length of 32/32, Recommendation 30 on long enough, the overall is still very good. Express a little slow.")</f>
        <v>Overall good legs this Slim models than the average of a little slim, but also fit, very good upper body. 176cm, 80kg, choose a longer length of 32/32, Recommendation 30 on long enough, the overall is still very good. Express a little slow.</v>
      </c>
    </row>
    <row r="653">
      <c r="A653" s="1">
        <v>5.0</v>
      </c>
      <c r="B653" s="1" t="s">
        <v>653</v>
      </c>
      <c r="C653" t="str">
        <f>IFERROR(__xludf.DUMMYFUNCTION("GOOGLETRANSLATE(B653, ""zh"", ""en"")"),"Amazon shopping as the first title for the first time shopping at Amazon, the overall feeling good, is the express slower, the other good buy is the Amazon recommended Schneider Base black nib F + Schneider BK402 black + Schneider 6601 five boxes of suits"&amp;", total 154RMB. Base sent two ink sac, one blue and one black, the ink being used on their own to buy ostrich 313 blue-black ink, do not feel BK402 smooth, a little water is not smooth, do not know the reasons for not ink, intended to put the ink runs out"&amp;" of ink, the ink bag chance to send test results.")</f>
        <v>Amazon shopping as the first title for the first time shopping at Amazon, the overall feeling good, is the express slower, the other good buy is the Amazon recommended Schneider Base black nib F + Schneider BK402 black + Schneider 6601 five boxes of suits, total 154RMB. Base sent two ink sac, one blue and one black, the ink being used on their own to buy ostrich 313 blue-black ink, do not feel BK402 smooth, a little water is not smooth, do not know the reasons for not ink, intended to put the ink runs out of ink, the ink bag chance to send test results.</v>
      </c>
    </row>
    <row r="654">
      <c r="A654" s="1">
        <v>5.0</v>
      </c>
      <c r="B654" s="1" t="s">
        <v>654</v>
      </c>
      <c r="C654" t="str">
        <f>IFERROR(__xludf.DUMMYFUNCTION("GOOGLETRANSLATE(B654, ""zh"", ""en"")"),"Like super like ~ suitable for winter. good quality")</f>
        <v>Like super like ~ suitable for winter. good quality</v>
      </c>
    </row>
    <row r="655">
      <c r="A655" s="1">
        <v>5.0</v>
      </c>
      <c r="B655" s="1" t="s">
        <v>655</v>
      </c>
      <c r="C655" t="str">
        <f>IFERROR(__xludf.DUMMYFUNCTION("GOOGLETRANSLATE(B655, ""zh"", ""en"")"),"Cute style to the baby store goods, yet I do not know whether the baby with love, but it was lovely.")</f>
        <v>Cute style to the baby store goods, yet I do not know whether the baby with love, but it was lovely.</v>
      </c>
    </row>
    <row r="656">
      <c r="A656" s="1">
        <v>5.0</v>
      </c>
      <c r="B656" s="1" t="s">
        <v>656</v>
      </c>
      <c r="C656" t="str">
        <f>IFERROR(__xludf.DUMMYFUNCTION("GOOGLETRANSLATE(B656, ""zh"", ""en"")"),"Watches should still be worth the price, expectations can not be too high. Watches should still be worth the price, expectations can not be too high.")</f>
        <v>Watches should still be worth the price, expectations can not be too high. Watches should still be worth the price, expectations can not be too high.</v>
      </c>
    </row>
    <row r="657">
      <c r="A657" s="1">
        <v>5.0</v>
      </c>
      <c r="B657" s="1" t="s">
        <v>657</v>
      </c>
      <c r="C657" t="str">
        <f>IFERROR(__xludf.DUMMYFUNCTION("GOOGLETRANSLATE(B657, ""zh"", ""en"")"),"Fortunately, after the buyers to mind you, now get a new package, and is a villain in the running of the kind of packaging.")</f>
        <v>Fortunately, after the buyers to mind you, now get a new package, and is a villain in the running of the kind of packaging.</v>
      </c>
    </row>
    <row r="658">
      <c r="A658" s="1">
        <v>5.0</v>
      </c>
      <c r="B658" s="1" t="s">
        <v>658</v>
      </c>
      <c r="C658" t="str">
        <f>IFERROR(__xludf.DUMMYFUNCTION("GOOGLETRANSLATE(B658, ""zh"", ""en"")"),"Good good quality small son more than two weeks with a left to the younger son of this small bar with good good quality small son more than two weeks with a left to this small little son with it")</f>
        <v>Good good quality small son more than two weeks with a left to the younger son of this small bar with good good quality small son more than two weeks with a left to this small little son with it</v>
      </c>
    </row>
    <row r="659">
      <c r="A659" s="1">
        <v>5.0</v>
      </c>
      <c r="B659" s="1" t="s">
        <v>659</v>
      </c>
      <c r="C659" t="str">
        <f>IFERROR(__xludf.DUMMYFUNCTION("GOOGLETRANSLATE(B659, ""zh"", ""en"")"),"Pertinent personal feeling something good, very good bass headphones, turn up the volume if some of the harsh or feel some hope burn in a period of time will be better. But the logistics efficiency is really not high, a single number in the January 11 yea"&amp;"rs ago, No. January 26 received the goods, you can already see where to place nearby and then went farther then forwards the courier, this logistics it should be considered thankless operate it.")</f>
        <v>Pertinent personal feeling something good, very good bass headphones, turn up the volume if some of the harsh or feel some hope burn in a period of time will be better. But the logistics efficiency is really not high, a single number in the January 11 years ago, No. January 26 received the goods, you can already see where to place nearby and then went farther then forwards the courier, this logistics it should be considered thankless operate it.</v>
      </c>
    </row>
    <row r="660">
      <c r="A660" s="1">
        <v>5.0</v>
      </c>
      <c r="B660" s="1" t="s">
        <v>660</v>
      </c>
      <c r="C660" t="str">
        <f>IFERROR(__xludf.DUMMYFUNCTION("GOOGLETRANSLATE(B660, ""zh"", ""en"")"),"Feel good, quality just fine but want to wait 6.18 fear out of stock, after all, much cheaper than domestic, bought in combination with the north face, came good quality clothes, feel good.")</f>
        <v>Feel good, quality just fine but want to wait 6.18 fear out of stock, after all, much cheaper than domestic, bought in combination with the north face, came good quality clothes, feel good.</v>
      </c>
    </row>
    <row r="661">
      <c r="A661" s="1">
        <v>5.0</v>
      </c>
      <c r="B661" s="1" t="s">
        <v>661</v>
      </c>
      <c r="C661" t="str">
        <f>IFERROR(__xludf.DUMMYFUNCTION("GOOGLETRANSLATE(B661, ""zh"", ""en"")"),"Let me talk about a very good shopping experience good material, thick, enough material. I bought this number is S, this model and I now wear the same shirt fit. My height is 170 (measured without shoes), weight 75KG, reminded, I do not like to wear self-"&amp;"cultivation.")</f>
        <v>Let me talk about a very good shopping experience good material, thick, enough material. I bought this number is S, this model and I now wear the same shirt fit. My height is 170 (measured without shoes), weight 75KG, reminded, I do not like to wear self-cultivation.</v>
      </c>
    </row>
    <row r="662">
      <c r="A662" s="1">
        <v>5.0</v>
      </c>
      <c r="B662" s="1" t="s">
        <v>662</v>
      </c>
      <c r="C662" t="str">
        <f>IFERROR(__xludf.DUMMYFUNCTION("GOOGLETRANSLATE(B662, ""zh"", ""en"")"),"273 feet long, 9.5M election just a bit hard shoes, feet need to adapt, there toe support, can play a simple anti-drop function")</f>
        <v>273 feet long, 9.5M election just a bit hard shoes, feet need to adapt, there toe support, can play a simple anti-drop function</v>
      </c>
    </row>
    <row r="663">
      <c r="A663" s="1">
        <v>5.0</v>
      </c>
      <c r="B663" s="1" t="s">
        <v>663</v>
      </c>
      <c r="C663" t="str">
        <f>IFERROR(__xludf.DUMMYFUNCTION("GOOGLETRANSLATE(B663, ""zh"", ""en"")"),"It is estimated that long to American and European designer clothes, wear long Asia. I bought a tailor shop to get some change short, well dressed.")</f>
        <v>It is estimated that long to American and European designer clothes, wear long Asia. I bought a tailor shop to get some change short, well dressed.</v>
      </c>
    </row>
    <row r="664">
      <c r="A664" s="1">
        <v>5.0</v>
      </c>
      <c r="B664" s="1" t="s">
        <v>664</v>
      </c>
      <c r="C664" t="str">
        <f>IFERROR(__xludf.DUMMYFUNCTION("GOOGLETRANSLATE(B664, ""zh"", ""en"")"),"Cost-effective, essential home only recently discovered the Amazon have purchased overseas Value Pack of the brush, electric toothbrush head use every day, there is such a good wholesale price is really good! Amazon shipped overseas purchase in addition t"&amp;"o a little bit slower than almost no shortcomings -")</f>
        <v>Cost-effective, essential home only recently discovered the Amazon have purchased overseas Value Pack of the brush, electric toothbrush head use every day, there is such a good wholesale price is really good! Amazon shipped overseas purchase in addition to a little bit slower than almost no shortcomings -</v>
      </c>
    </row>
    <row r="665">
      <c r="A665" s="1">
        <v>5.0</v>
      </c>
      <c r="B665" s="1" t="s">
        <v>665</v>
      </c>
      <c r="C665" t="str">
        <f>IFERROR(__xludf.DUMMYFUNCTION("GOOGLETRANSLATE(B665, ""zh"", ""en"")"),"Pants are very good quality is really good, fabric is very thick, solid work, outdoor recreation can be more suitable for winter wear. I usually wear jeans size is L34, W34. Buy these pants is in accordance with the size to buy, but the pants a little han"&amp;"d will find some of the fat. In fact, L34, W32 should be fine. We hope to others as a reference.")</f>
        <v>Pants are very good quality is really good, fabric is very thick, solid work, outdoor recreation can be more suitable for winter wear. I usually wear jeans size is L34, W34. Buy these pants is in accordance with the size to buy, but the pants a little hand will find some of the fat. In fact, L34, W32 should be fine. We hope to others as a reference.</v>
      </c>
    </row>
    <row r="666">
      <c r="A666" s="1">
        <v>5.0</v>
      </c>
      <c r="B666" s="1" t="s">
        <v>666</v>
      </c>
      <c r="C666" t="str">
        <f>IFERROR(__xludf.DUMMYFUNCTION("GOOGLETRANSLATE(B666, ""zh"", ""en"")"),"Well trusted by Amazon, the children liked")</f>
        <v>Well trusted by Amazon, the children liked</v>
      </c>
    </row>
    <row r="667">
      <c r="A667" s="1">
        <v>5.0</v>
      </c>
      <c r="B667" s="1" t="s">
        <v>667</v>
      </c>
      <c r="C667" t="str">
        <f>IFERROR(__xludf.DUMMYFUNCTION("GOOGLETRANSLATE(B667, ""zh"", ""en"")"),"Heavy heavy heavy iron genuine girls Shenru")</f>
        <v>Heavy heavy heavy iron genuine girls Shenru</v>
      </c>
    </row>
    <row r="668">
      <c r="A668" s="1">
        <v>5.0</v>
      </c>
      <c r="B668" s="1" t="s">
        <v>668</v>
      </c>
      <c r="C668" t="str">
        <f>IFERROR(__xludf.DUMMYFUNCTION("GOOGLETRANSLATE(B668, ""zh"", ""en"")"),"Comfortable clarks ...... color, style, quality workmanship, satisfied with the choice ......")</f>
        <v>Comfortable clarks ...... color, style, quality workmanship, satisfied with the choice ......</v>
      </c>
    </row>
    <row r="669">
      <c r="A669" s="1">
        <v>5.0</v>
      </c>
      <c r="B669" s="1" t="s">
        <v>669</v>
      </c>
      <c r="C669" t="str">
        <f>IFERROR(__xludf.DUMMYFUNCTION("GOOGLETRANSLATE(B669, ""zh"", ""en"")"),"Good soft and comfortable.")</f>
        <v>Good soft and comfortable.</v>
      </c>
    </row>
    <row r="670">
      <c r="A670" s="1">
        <v>5.0</v>
      </c>
      <c r="B670" s="1" t="s">
        <v>670</v>
      </c>
      <c r="C670" t="str">
        <f>IFERROR(__xludf.DUMMYFUNCTION("GOOGLETRANSLATE(B670, ""zh"", ""en"")"),"Comfortable to wear tights, I do not know is not because I am more fat, the waist should be turned down.")</f>
        <v>Comfortable to wear tights, I do not know is not because I am more fat, the waist should be turned down.</v>
      </c>
    </row>
    <row r="671">
      <c r="A671" s="1">
        <v>2.0</v>
      </c>
      <c r="B671" s="1" t="s">
        <v>671</v>
      </c>
      <c r="C671" t="str">
        <f>IFERROR(__xludf.DUMMYFUNCTION("GOOGLETRANSLATE(B671, ""zh"", ""en"")"),"Leakage past two days found the machine a little leakage, there are security risks, threw packaging, can not return")</f>
        <v>Leakage past two days found the machine a little leakage, there are security risks, threw packaging, can not return</v>
      </c>
    </row>
    <row r="672">
      <c r="A672" s="1">
        <v>3.0</v>
      </c>
      <c r="B672" s="1" t="s">
        <v>672</v>
      </c>
      <c r="C672" t="str">
        <f>IFERROR(__xludf.DUMMYFUNCTION("GOOGLETRANSLATE(B672, ""zh"", ""en"")"),"Sucker very easy to use but later on moldy. . . . . Suction cup base but also the base did not take long moldy. . . . .")</f>
        <v>Sucker very easy to use but later on moldy. . . . . Suction cup base but also the base did not take long moldy. . . . .</v>
      </c>
    </row>
    <row r="673">
      <c r="A673" s="1">
        <v>3.0</v>
      </c>
      <c r="B673" s="1" t="s">
        <v>673</v>
      </c>
      <c r="C673" t="str">
        <f>IFERROR(__xludf.DUMMYFUNCTION("GOOGLETRANSLATE(B673, ""zh"", ""en"")"),"Generally dressed in a new turn to add my micro letter srs-song")</f>
        <v>Generally dressed in a new turn to add my micro letter srs-song</v>
      </c>
    </row>
    <row r="674">
      <c r="A674" s="1">
        <v>1.0</v>
      </c>
      <c r="B674" s="1" t="s">
        <v>674</v>
      </c>
      <c r="C674" t="str">
        <f>IFERROR(__xludf.DUMMYFUNCTION("GOOGLETRANSLATE(B674, ""zh"", ""en"")"),"After a month because the smell would have the effect of thermal insulation capacity in a small cup is quite good, but after a month with the start of drug discovery will have a taste into them a glass of water after each did not finish thirty-four hours "&amp;"how to brush useless why? Can not reflect what actually follow manufacturers also bought two each child a")</f>
        <v>After a month because the smell would have the effect of thermal insulation capacity in a small cup is quite good, but after a month with the start of drug discovery will have a taste into them a glass of water after each did not finish thirty-four hours how to brush useless why? Can not reflect what actually follow manufacturers also bought two each child a</v>
      </c>
    </row>
    <row r="675">
      <c r="A675" s="1">
        <v>1.0</v>
      </c>
      <c r="B675" s="1" t="s">
        <v>675</v>
      </c>
      <c r="C675" t="str">
        <f>IFERROR(__xludf.DUMMYFUNCTION("GOOGLETRANSLATE(B675, ""zh"", ""en"")"),"Poor quality paint was still wet, heavy smell of formaldehyde. There indentation on the belt. I can not use.")</f>
        <v>Poor quality paint was still wet, heavy smell of formaldehyde. There indentation on the belt. I can not use.</v>
      </c>
    </row>
    <row r="676">
      <c r="A676" s="1">
        <v>4.0</v>
      </c>
      <c r="B676" s="1" t="s">
        <v>676</v>
      </c>
      <c r="C676" t="str">
        <f>IFERROR(__xludf.DUMMYFUNCTION("GOOGLETRANSLATE(B676, ""zh"", ""en"")"),"Rather long and rather long paragraph, to drop just bought a 50. .")</f>
        <v>Rather long and rather long paragraph, to drop just bought a 50. .</v>
      </c>
    </row>
    <row r="677">
      <c r="A677" s="1">
        <v>4.0</v>
      </c>
      <c r="B677" s="1" t="s">
        <v>677</v>
      </c>
      <c r="C677" t="str">
        <f>IFERROR(__xludf.DUMMYFUNCTION("GOOGLETRANSLATE(B677, ""zh"", ""en"")"),"Very cost-effective, cheaper than a certain treasure East is not a little. But the feeling is not original or replacement equipment easy to use")</f>
        <v>Very cost-effective, cheaper than a certain treasure East is not a little. But the feeling is not original or replacement equipment easy to use</v>
      </c>
    </row>
    <row r="678">
      <c r="A678" s="1">
        <v>4.0</v>
      </c>
      <c r="B678" s="1" t="s">
        <v>678</v>
      </c>
      <c r="C678" t="str">
        <f>IFERROR(__xludf.DUMMYFUNCTION("GOOGLETRANSLATE(B678, ""zh"", ""en"")"),"Quite satisfied, affordable also is speed seems somewhat incompatible.")</f>
        <v>Quite satisfied, affordable also is speed seems somewhat incompatible.</v>
      </c>
    </row>
    <row r="679">
      <c r="A679" s="1">
        <v>4.0</v>
      </c>
      <c r="B679" s="1" t="s">
        <v>679</v>
      </c>
      <c r="C679" t="str">
        <f>IFERROR(__xludf.DUMMYFUNCTION("GOOGLETRANSLATE(B679, ""zh"", ""en"")"),"Okay good price. Quality is also OK. 2015. Pants too long")</f>
        <v>Okay good price. Quality is also OK. 2015. Pants too long</v>
      </c>
    </row>
    <row r="680">
      <c r="A680" s="1">
        <v>4.0</v>
      </c>
      <c r="B680" s="1" t="s">
        <v>680</v>
      </c>
      <c r="C680" t="str">
        <f>IFERROR(__xludf.DUMMYFUNCTION("GOOGLETRANSLATE(B680, ""zh"", ""en"")"),"Can also be okay, that is quite wide shoe uppers. I knew to buy a small one yard.")</f>
        <v>Can also be okay, that is quite wide shoe uppers. I knew to buy a small one yard.</v>
      </c>
    </row>
    <row r="681">
      <c r="A681" s="1">
        <v>5.0</v>
      </c>
      <c r="B681" s="1" t="s">
        <v>681</v>
      </c>
      <c r="C681" t="str">
        <f>IFERROR(__xludf.DUMMYFUNCTION("GOOGLETRANSLATE(B681, ""zh"", ""en"")"),"Champion Men's T-shirts at once popular champion this brand, I do not escape bought two, did not buy the public money, and I've always liked the blue color, the right size, fabric comfortable, very thin, suitable for casual wear, good.")</f>
        <v>Champion Men's T-shirts at once popular champion this brand, I do not escape bought two, did not buy the public money, and I've always liked the blue color, the right size, fabric comfortable, very thin, suitable for casual wear, good.</v>
      </c>
    </row>
    <row r="682">
      <c r="A682" s="1">
        <v>5.0</v>
      </c>
      <c r="B682" s="1" t="s">
        <v>682</v>
      </c>
      <c r="C682" t="str">
        <f>IFERROR(__xludf.DUMMYFUNCTION("GOOGLETRANSLATE(B682, ""zh"", ""en"")"),"Stockpile stockpile in. Long grass for a long time, really put it down after buy home, real mother said it was expected soon not wear, baby can expect to put on Mei Mei. This packaging is somewhat simple, direct a plastic bag and courier box has been open"&amp;"ed, and no secondary sealing closure good sign. Express wandering outside to half a month's time, you should be sent over from Japan, right? ! Their own comfort friends - this is the real thing")</f>
        <v>Stockpile stockpile in. Long grass for a long time, really put it down after buy home, real mother said it was expected soon not wear, baby can expect to put on Mei Mei. This packaging is somewhat simple, direct a plastic bag and courier box has been opened, and no secondary sealing closure good sign. Express wandering outside to half a month's time, you should be sent over from Japan, right? ! Their own comfort friends - this is the real thing</v>
      </c>
    </row>
    <row r="683">
      <c r="A683" s="1">
        <v>5.0</v>
      </c>
      <c r="B683" s="1" t="s">
        <v>683</v>
      </c>
      <c r="C683" t="str">
        <f>IFERROR(__xludf.DUMMYFUNCTION("GOOGLETRANSLATE(B683, ""zh"", ""en"")"),"Color is 84cm waist, around the house loose, long pants 102cm")</f>
        <v>Color is 84cm waist, around the house loose, long pants 102cm</v>
      </c>
    </row>
    <row r="684">
      <c r="A684" s="1">
        <v>5.0</v>
      </c>
      <c r="B684" s="1" t="s">
        <v>684</v>
      </c>
      <c r="C684" t="str">
        <f>IFERROR(__xludf.DUMMYFUNCTION("GOOGLETRANSLATE(B684, ""zh"", ""en"")"),"Usually it is maintained thin fabric")</f>
        <v>Usually it is maintained thin fabric</v>
      </c>
    </row>
    <row r="685">
      <c r="A685" s="1">
        <v>5.0</v>
      </c>
      <c r="B685" s="1" t="s">
        <v>685</v>
      </c>
      <c r="C685" t="str">
        <f>IFERROR(__xludf.DUMMYFUNCTION("GOOGLETRANSLATE(B685, ""zh"", ""en"")"),"Slightly smaller point. Usually the anti-Kee Di 42 7.5, 7.5 to buy this a little bit small. He did not say so much. FIG shoe size homes.")</f>
        <v>Slightly smaller point. Usually the anti-Kee Di 42 7.5, 7.5 to buy this a little bit small. He did not say so much. FIG shoe size homes.</v>
      </c>
    </row>
    <row r="686">
      <c r="A686" s="1">
        <v>5.0</v>
      </c>
      <c r="B686" s="1" t="s">
        <v>686</v>
      </c>
      <c r="C686" t="str">
        <f>IFERROR(__xludf.DUMMYFUNCTION("GOOGLETRANSLATE(B686, ""zh"", ""en"")"),"My waistline 92,93cm, buy 36, the penultimate hole, a total of five empty, perfect my waist 92,93cm, buy 36, the penultimate hole, a total of five space, perfect")</f>
        <v>My waistline 92,93cm, buy 36, the penultimate hole, a total of five empty, perfect my waist 92,93cm, buy 36, the penultimate hole, a total of five space, perfect</v>
      </c>
    </row>
    <row r="687">
      <c r="A687" s="1">
        <v>5.0</v>
      </c>
      <c r="B687" s="1" t="s">
        <v>687</v>
      </c>
      <c r="C687" t="str">
        <f>IFERROR(__xludf.DUMMYFUNCTION("GOOGLETRANSLATE(B687, ""zh"", ""en"")"),"CK &lt;a data-hook = ""product-link-linked"" class = ""a-link-normal"" href = ""/ Calvin-Klein- Calvin Klein - Men's -4- Pack - classic low-waist cotton blue underwear -? L / dp / B00JQQTCYE / ref = cm_cr_getr_d_rvw_txt ie = UTF8 ""&gt; Calvin Klein Calvin Klei"&amp;"n men's four classic fitted cotton underwear low waist large blue &lt;/a&gt; very good, very fit, the price is gentle.")</f>
        <v>CK &lt;a data-hook = "product-link-linked" class = "a-link-normal" href = "/ Calvin-Klein- Calvin Klein - Men's -4- Pack - classic low-waist cotton blue underwear -? L / dp / B00JQQTCYE / ref = cm_cr_getr_d_rvw_txt ie = UTF8 "&gt; Calvin Klein Calvin Klein men's four classic fitted cotton underwear low waist large blue &lt;/a&gt; very good, very fit, the price is gentle.</v>
      </c>
    </row>
    <row r="688">
      <c r="A688" s="1">
        <v>5.0</v>
      </c>
      <c r="B688" s="1" t="s">
        <v>688</v>
      </c>
      <c r="C688" t="str">
        <f>IFERROR(__xludf.DUMMYFUNCTION("GOOGLETRANSLATE(B688, ""zh"", ""en"")"),"Whine very good winter wear is appropriate.")</f>
        <v>Whine very good winter wear is appropriate.</v>
      </c>
    </row>
    <row r="689">
      <c r="A689" s="1">
        <v>5.0</v>
      </c>
      <c r="B689" s="1" t="s">
        <v>689</v>
      </c>
      <c r="C689" t="str">
        <f>IFERROR(__xludf.DUMMYFUNCTION("GOOGLETRANSLATE(B689, ""zh"", ""en"")"),"Very much, we have a role abdomen. Not Le, but also more comfortable to wear. Than the general function of good wear underwear. Of course not, and daily goods ratio. Very much, we have a role abdomen. Not Le, but also more comfortable to wear. Than the ge"&amp;"neral function of good wear underwear. Of course not, and daily goods ratio.")</f>
        <v>Very much, we have a role abdomen. Not Le, but also more comfortable to wear. Than the general function of good wear underwear. Of course not, and daily goods ratio. Very much, we have a role abdomen. Not Le, but also more comfortable to wear. Than the general function of good wear underwear. Of course not, and daily goods ratio.</v>
      </c>
    </row>
    <row r="690">
      <c r="A690" s="1">
        <v>5.0</v>
      </c>
      <c r="B690" s="1" t="s">
        <v>690</v>
      </c>
      <c r="C690" t="str">
        <f>IFERROR(__xludf.DUMMYFUNCTION("GOOGLETRANSLATE(B690, ""zh"", ""en"")"),"Excellent quality of imported, high quality! Very convenient to travel home!")</f>
        <v>Excellent quality of imported, high quality! Very convenient to travel home!</v>
      </c>
    </row>
    <row r="691">
      <c r="A691" s="1">
        <v>5.0</v>
      </c>
      <c r="B691" s="1" t="s">
        <v>691</v>
      </c>
      <c r="C691" t="str">
        <f>IFERROR(__xludf.DUMMYFUNCTION("GOOGLETRANSLATE(B691, ""zh"", ""en"")"),"Soft and thin origin Cambodia, height 165 55, XS wear just inside, relatively thin soft, very suitable for winter early spring, because the fabric is polartec, no static electricity! In fact, what with thickness Decathlon I think almost, but not static th"&amp;"is is too important.")</f>
        <v>Soft and thin origin Cambodia, height 165 55, XS wear just inside, relatively thin soft, very suitable for winter early spring, because the fabric is polartec, no static electricity! In fact, what with thickness Decathlon I think almost, but not static this is too important.</v>
      </c>
    </row>
    <row r="692">
      <c r="A692" s="1">
        <v>5.0</v>
      </c>
      <c r="B692" s="1" t="s">
        <v>692</v>
      </c>
      <c r="C692" t="str">
        <f>IFERROR(__xludf.DUMMYFUNCTION("GOOGLETRANSLATE(B692, ""zh"", ""en"")"),"Well I have bought a lot of times, is genuine")</f>
        <v>Well I have bought a lot of times, is genuine</v>
      </c>
    </row>
    <row r="693">
      <c r="A693" s="1">
        <v>5.0</v>
      </c>
      <c r="B693" s="1" t="s">
        <v>693</v>
      </c>
      <c r="C693" t="str">
        <f>IFERROR(__xludf.DUMMYFUNCTION("GOOGLETRANSLATE(B693, ""zh"", ""en"")"),"Xiaopen friends like my daughter very favorite, it appears that taste good")</f>
        <v>Xiaopen friends like my daughter very favorite, it appears that taste good</v>
      </c>
    </row>
    <row r="694">
      <c r="A694" s="1">
        <v>5.0</v>
      </c>
      <c r="B694" s="1" t="s">
        <v>694</v>
      </c>
      <c r="C694" t="str">
        <f>IFERROR(__xludf.DUMMYFUNCTION("GOOGLETRANSLATE(B694, ""zh"", ""en"")"),"Very good quality logistics six days")</f>
        <v>Very good quality logistics six days</v>
      </c>
    </row>
    <row r="695">
      <c r="A695" s="1">
        <v>5.0</v>
      </c>
      <c r="B695" s="1" t="s">
        <v>695</v>
      </c>
      <c r="C695" t="str">
        <f>IFERROR(__xludf.DUMMYFUNCTION("GOOGLETRANSLATE(B695, ""zh"", ""en"")"),"Manufacturing overseas to buy a pirate ship U disk Taiwan, drop packing, domestic dared to buy, to a sea Amoy, hope the quality is better than homemade.")</f>
        <v>Manufacturing overseas to buy a pirate ship U disk Taiwan, drop packing, domestic dared to buy, to a sea Amoy, hope the quality is better than homemade.</v>
      </c>
    </row>
    <row r="696">
      <c r="A696" s="1">
        <v>5.0</v>
      </c>
      <c r="B696" s="1" t="s">
        <v>696</v>
      </c>
      <c r="C696" t="str">
        <f>IFERROR(__xludf.DUMMYFUNCTION("GOOGLETRANSLATE(B696, ""zh"", ""en"")"),"A little expensive, but still like a little expensive, the quality can be, very much")</f>
        <v>A little expensive, but still like a little expensive, the quality can be, very much</v>
      </c>
    </row>
    <row r="697">
      <c r="A697" s="1">
        <v>5.0</v>
      </c>
      <c r="B697" s="1" t="s">
        <v>697</v>
      </c>
      <c r="C697" t="str">
        <f>IFERROR(__xludf.DUMMYFUNCTION("GOOGLETRANSLATE(B697, ""zh"", ""en"")"),"Comfortable shoes and expect consistent, standard size, comfortable to wear")</f>
        <v>Comfortable shoes and expect consistent, standard size, comfortable to wear</v>
      </c>
    </row>
    <row r="698">
      <c r="A698" s="1">
        <v>5.0</v>
      </c>
      <c r="B698" s="1" t="s">
        <v>698</v>
      </c>
      <c r="C698" t="str">
        <f>IFERROR(__xludf.DUMMYFUNCTION("GOOGLETRANSLATE(B698, ""zh"", ""en"")"),"Cost-effective price too appropriate with several scratches can accept mainly the price and size is very good")</f>
        <v>Cost-effective price too appropriate with several scratches can accept mainly the price and size is very good</v>
      </c>
    </row>
    <row r="699">
      <c r="A699" s="1">
        <v>5.0</v>
      </c>
      <c r="B699" s="1" t="s">
        <v>699</v>
      </c>
      <c r="C699" t="str">
        <f>IFERROR(__xludf.DUMMYFUNCTION("GOOGLETRANSLATE(B699, ""zh"", ""en"")"),"Cheap big bottle of Centrum! Now a bottle of Centrum tablets per day, to supplement the body of vitamins and trace elements! Than the drugstore to buy a lot cheaper! After eating will continue to buy! I want to be healthy! Happy every day!")</f>
        <v>Cheap big bottle of Centrum! Now a bottle of Centrum tablets per day, to supplement the body of vitamins and trace elements! Than the drugstore to buy a lot cheaper! After eating will continue to buy! I want to be healthy! Happy every day!</v>
      </c>
    </row>
    <row r="700">
      <c r="A700" s="1">
        <v>5.0</v>
      </c>
      <c r="B700" s="1" t="s">
        <v>700</v>
      </c>
      <c r="C700" t="str">
        <f>IFERROR(__xludf.DUMMYFUNCTION("GOOGLETRANSLATE(B700, ""zh"", ""en"")"),"Very fit selected small a yard in addition to the five centimeters long pants all other appropriate")</f>
        <v>Very fit selected small a yard in addition to the five centimeters long pants all other appropriate</v>
      </c>
    </row>
    <row r="701">
      <c r="A701" s="1">
        <v>5.0</v>
      </c>
      <c r="B701" s="1" t="s">
        <v>701</v>
      </c>
      <c r="C701" t="str">
        <f>IFERROR(__xludf.DUMMYFUNCTION("GOOGLETRANSLATE(B701, ""zh"", ""en"")"),"Bang Bang da logistics quickly, the right size!")</f>
        <v>Bang Bang da logistics quickly, the right size!</v>
      </c>
    </row>
    <row r="702">
      <c r="A702" s="1">
        <v>5.0</v>
      </c>
      <c r="B702" s="1" t="s">
        <v>702</v>
      </c>
      <c r="C702" t="str">
        <f>IFERROR(__xludf.DUMMYFUNCTION("GOOGLETRANSLATE(B702, ""zh"", ""en"")"),"Good version very good, material is also good, I bought a long legs up. 176cm.80kg buy 33W.32L. In fact, buy 33W.30L enough 😂 short legs for me, no way ~")</f>
        <v>Good version very good, material is also good, I bought a long legs up. 176cm.80kg buy 33W.32L. In fact, buy 33W.30L enough 😂 short legs for me, no way ~</v>
      </c>
    </row>
    <row r="703">
      <c r="A703" s="1">
        <v>2.0</v>
      </c>
      <c r="B703" s="1" t="s">
        <v>703</v>
      </c>
      <c r="C703" t="str">
        <f>IFERROR(__xludf.DUMMYFUNCTION("GOOGLETRANSLATE(B703, ""zh"", ""en"")"),"Away from the bed and not go underground quality in general, from the bed and not go out of the ground, and later opened his own re-install the battery and look at it, I think for this brand, the product is too fragile.")</f>
        <v>Away from the bed and not go underground quality in general, from the bed and not go out of the ground, and later opened his own re-install the battery and look at it, I think for this brand, the product is too fragile.</v>
      </c>
    </row>
    <row r="704">
      <c r="A704" s="1">
        <v>3.0</v>
      </c>
      <c r="B704" s="1" t="s">
        <v>704</v>
      </c>
      <c r="C704" t="str">
        <f>IFERROR(__xludf.DUMMYFUNCTION("GOOGLETRANSLATE(B704, ""zh"", ""en"")"),"43 wearing big shoes? Size also, but shoe slim, a little hard.")</f>
        <v>43 wearing big shoes? Size also, but shoe slim, a little hard.</v>
      </c>
    </row>
    <row r="705">
      <c r="A705" s="1">
        <v>3.0</v>
      </c>
      <c r="B705" s="1" t="s">
        <v>705</v>
      </c>
      <c r="C705" t="str">
        <f>IFERROR(__xludf.DUMMYFUNCTION("GOOGLETRANSLATE(B705, ""zh"", ""en"")"),"To the capsule did not drink, not very happy the packaging was okay, did not send a capsule, and how I am buying on price, what do ah")</f>
        <v>To the capsule did not drink, not very happy the packaging was okay, did not send a capsule, and how I am buying on price, what do ah</v>
      </c>
    </row>
    <row r="706">
      <c r="A706" s="1">
        <v>1.0</v>
      </c>
      <c r="B706" s="1" t="s">
        <v>706</v>
      </c>
      <c r="C706" t="str">
        <f>IFERROR(__xludf.DUMMYFUNCTION("GOOGLETRANSLATE(B706, ""zh"", ""en"")"),"I do not fly when I remember to buy a set, and why is one. And the price is so much lower. Too shy.")</f>
        <v>I do not fly when I remember to buy a set, and why is one. And the price is so much lower. Too shy.</v>
      </c>
    </row>
    <row r="707">
      <c r="A707" s="1">
        <v>1.0</v>
      </c>
      <c r="B707" s="1" t="s">
        <v>707</v>
      </c>
      <c r="C707" t="str">
        <f>IFERROR(__xludf.DUMMYFUNCTION("GOOGLETRANSLATE(B707, ""zh"", ""en"")"),"Why outer box is open? Get the packaging is open, no additional sealing plastic bags, just anybody can exchange the items inside, printed on the brush head box also with an online display different, so doubt whether the transferred packet?")</f>
        <v>Why outer box is open? Get the packaging is open, no additional sealing plastic bags, just anybody can exchange the items inside, printed on the brush head box also with an online display different, so doubt whether the transferred packet?</v>
      </c>
    </row>
    <row r="708">
      <c r="A708" s="1">
        <v>1.0</v>
      </c>
      <c r="B708" s="1" t="s">
        <v>708</v>
      </c>
      <c r="C708" t="str">
        <f>IFERROR(__xludf.DUMMYFUNCTION("GOOGLETRANSLATE(B708, ""zh"", ""en"")"),"Soles hard, uncomfortable, who bought who regret it! Very hard soles, walking very uncomfortable, disappointed, do not buy!")</f>
        <v>Soles hard, uncomfortable, who bought who regret it! Very hard soles, walking very uncomfortable, disappointed, do not buy!</v>
      </c>
    </row>
    <row r="709">
      <c r="A709" s="1">
        <v>4.0</v>
      </c>
      <c r="B709" s="1" t="s">
        <v>709</v>
      </c>
      <c r="C709" t="str">
        <f>IFERROR(__xludf.DUMMYFUNCTION("GOOGLETRANSLATE(B709, ""zh"", ""en"")"),"Good clothes, styles, the standard size, color is a big point. . . Like actual bluish color photographs and names partial gray but good clothes, style, mass, size standard.")</f>
        <v>Good clothes, styles, the standard size, color is a big point. . . Like actual bluish color photographs and names partial gray but good clothes, style, mass, size standard.</v>
      </c>
    </row>
    <row r="710">
      <c r="A710" s="1">
        <v>4.0</v>
      </c>
      <c r="B710" s="1" t="s">
        <v>710</v>
      </c>
      <c r="C710" t="str">
        <f>IFERROR(__xludf.DUMMYFUNCTION("GOOGLETRANSLATE(B710, ""zh"", ""en"")"),"Nice pants good logistics sucks the material have a sense of weight compared to a lot of logistics is not very good domestic logistics rotten a better product on the domestic denim.")</f>
        <v>Nice pants good logistics sucks the material have a sense of weight compared to a lot of logistics is not very good domestic logistics rotten a better product on the domestic denim.</v>
      </c>
    </row>
    <row r="711">
      <c r="A711" s="1">
        <v>4.0</v>
      </c>
      <c r="B711" s="1" t="s">
        <v>711</v>
      </c>
      <c r="C711" t="str">
        <f>IFERROR(__xludf.DUMMYFUNCTION("GOOGLETRANSLATE(B711, ""zh"", ""en"")"),"My wife is not realistic under actual use may be affected by the influence of traditional large, this brought his wife say comfortable, but estimates vary, the traditional women like to wear a steel ring does not recommend purchase")</f>
        <v>My wife is not realistic under actual use may be affected by the influence of traditional large, this brought his wife say comfortable, but estimates vary, the traditional women like to wear a steel ring does not recommend purchase</v>
      </c>
    </row>
    <row r="712">
      <c r="A712" s="1">
        <v>4.0</v>
      </c>
      <c r="B712" s="1" t="s">
        <v>712</v>
      </c>
      <c r="C712" t="str">
        <f>IFERROR(__xludf.DUMMYFUNCTION("GOOGLETRANSLATE(B712, ""zh"", ""en"")"),"Number of small, very comfortable to wear 176.62 m code some small, worn on the body is really heating")</f>
        <v>Number of small, very comfortable to wear 176.62 m code some small, worn on the body is really heating</v>
      </c>
    </row>
    <row r="713">
      <c r="A713" s="1">
        <v>4.0</v>
      </c>
      <c r="B713" s="1" t="s">
        <v>713</v>
      </c>
      <c r="C713" t="str">
        <f>IFERROR(__xludf.DUMMYFUNCTION("GOOGLETRANSLATE(B713, ""zh"", ""en"")"),"Vitamin well, not from the previous evaluation, I do not know how many wasted points, points can change money now know, they should look carefully evaluated, then I put these words to copy to go, both to earn points, but also the easy way to go where copy"&amp;" where, most importantly, do not seriously review, do not think how much worse word, sent directly to it, recommend it to everyone! !")</f>
        <v>Vitamin well, not from the previous evaluation,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sent directly to it, recommend it to everyone! !</v>
      </c>
    </row>
    <row r="714">
      <c r="A714" s="1">
        <v>5.0</v>
      </c>
      <c r="B714" s="1" t="s">
        <v>714</v>
      </c>
      <c r="C714" t="str">
        <f>IFERROR(__xludf.DUMMYFUNCTION("GOOGLETRANSLATE(B714, ""zh"", ""en"")"),"Milk does not leak, sealing well also do not know what some people commented that leak milk, I spent half a pack, never encountered before. Is not the use of wrong, can not hold too full")</f>
        <v>Milk does not leak, sealing well also do not know what some people commented that leak milk, I spent half a pack, never encountered before. Is not the use of wrong, can not hold too full</v>
      </c>
    </row>
    <row r="715">
      <c r="A715" s="1">
        <v>5.0</v>
      </c>
      <c r="B715" s="1" t="s">
        <v>715</v>
      </c>
      <c r="C715" t="str">
        <f>IFERROR(__xludf.DUMMYFUNCTION("GOOGLETRANSLATE(B715, ""zh"", ""en"")"),"This price is really too satisfied too fond of, this feeling Leverage")</f>
        <v>This price is really too satisfied too fond of, this feeling Leverage</v>
      </c>
    </row>
    <row r="716">
      <c r="A716" s="1">
        <v>5.0</v>
      </c>
      <c r="B716" s="1" t="s">
        <v>716</v>
      </c>
      <c r="C716" t="str">
        <f>IFERROR(__xludf.DUMMYFUNCTION("GOOGLETRANSLATE(B716, ""zh"", ""en"")"),"Stockpile to the baby everything depends on the value of Yen buying ah. I hope easy to use.")</f>
        <v>Stockpile to the baby everything depends on the value of Yen buying ah. I hope easy to use.</v>
      </c>
    </row>
    <row r="717">
      <c r="A717" s="1">
        <v>5.0</v>
      </c>
      <c r="B717" s="1" t="s">
        <v>717</v>
      </c>
      <c r="C717" t="str">
        <f>IFERROR(__xludf.DUMMYFUNCTION("GOOGLETRANSLATE(B717, ""zh"", ""en"")"),"Very satisfied very satisfied, the cup is very beautiful, very good workmanship.")</f>
        <v>Very satisfied very satisfied, the cup is very beautiful, very good workmanship.</v>
      </c>
    </row>
    <row r="718">
      <c r="A718" s="1">
        <v>5.0</v>
      </c>
      <c r="B718" s="1" t="s">
        <v>718</v>
      </c>
      <c r="C718" t="str">
        <f>IFERROR(__xludf.DUMMYFUNCTION("GOOGLETRANSLATE(B718, ""zh"", ""en"")"),"Well good. Great, perfect.")</f>
        <v>Well good. Great, perfect.</v>
      </c>
    </row>
    <row r="719">
      <c r="A719" s="1">
        <v>5.0</v>
      </c>
      <c r="B719" s="1" t="s">
        <v>719</v>
      </c>
      <c r="C719" t="str">
        <f>IFERROR(__xludf.DUMMYFUNCTION("GOOGLETRANSLATE(B719, ""zh"", ""en"")"),"Yes previously used, others in France brought back, this time in here to buy, you can Oh")</f>
        <v>Yes previously used, others in France brought back, this time in here to buy, you can Oh</v>
      </c>
    </row>
    <row r="720">
      <c r="A720" s="1">
        <v>5.0</v>
      </c>
      <c r="B720" s="1" t="s">
        <v>720</v>
      </c>
      <c r="C720" t="str">
        <f>IFERROR(__xludf.DUMMYFUNCTION("GOOGLETRANSLATE(B720, ""zh"", ""en"")"),"The higher cost of the higher cost of leggings leggings, personal feeling for winter, or just walking in the north heated indoor environment, especially in the height of 165 to remind friends, do not buy a bag of M, foot section, buy a bigger size. Withou"&amp;"t the package you press the foot height to no problem. Compare package leg wear comfort is good, not Le, relatively dense impervious meat. Put on the surface is not shiny matte feeling, something that I like.")</f>
        <v>The higher cost of the higher cost of leggings leggings, personal feeling for winter, or just walking in the north heated indoor environment, especially in the height of 165 to remind friends, do not buy a bag of M, foot section, buy a bigger size. Without the package you press the foot height to no problem. Compare package leg wear comfort is good, not Le, relatively dense impervious meat. Put on the surface is not shiny matte feeling, something that I like.</v>
      </c>
    </row>
    <row r="721">
      <c r="A721" s="1">
        <v>5.0</v>
      </c>
      <c r="B721" s="1" t="s">
        <v>721</v>
      </c>
      <c r="C721" t="str">
        <f>IFERROR(__xludf.DUMMYFUNCTION("GOOGLETRANSLATE(B721, ""zh"", ""en"")"),"CK good yardage is indeed too large one yard. Good quality!")</f>
        <v>CK good yardage is indeed too large one yard. Good quality!</v>
      </c>
    </row>
    <row r="722">
      <c r="A722" s="1">
        <v>5.0</v>
      </c>
      <c r="B722" s="1" t="s">
        <v>722</v>
      </c>
      <c r="C722" t="str">
        <f>IFERROR(__xludf.DUMMYFUNCTION("GOOGLETRANSLATE(B722, ""zh"", ""en"")"),"Smooth and very appropriate, spike domestic brand, can not afford to file, not drawing")</f>
        <v>Smooth and very appropriate, spike domestic brand, can not afford to file, not drawing</v>
      </c>
    </row>
    <row r="723">
      <c r="A723" s="1">
        <v>5.0</v>
      </c>
      <c r="B723" s="1" t="s">
        <v>723</v>
      </c>
      <c r="C723" t="str">
        <f>IFERROR(__xludf.DUMMYFUNCTION("GOOGLETRANSLATE(B723, ""zh"", ""en"")"),"Although the random pattern a random pattern is known, but bought two boxes for the Princess 2 is drunk. . .")</f>
        <v>Although the random pattern a random pattern is known, but bought two boxes for the Princess 2 is drunk. . .</v>
      </c>
    </row>
    <row r="724">
      <c r="A724" s="1">
        <v>5.0</v>
      </c>
      <c r="B724" s="1" t="s">
        <v>724</v>
      </c>
      <c r="C724" t="str">
        <f>IFERROR(__xludf.DUMMYFUNCTION("GOOGLETRANSLATE(B724, ""zh"", ""en"")"),"Thin fabric, but cotton material, comfortable to wear thin fabric, but cotton material, comfortable to wear")</f>
        <v>Thin fabric, but cotton material, comfortable to wear thin fabric, but cotton material, comfortable to wear</v>
      </c>
    </row>
    <row r="725">
      <c r="A725" s="1">
        <v>5.0</v>
      </c>
      <c r="B725" s="1" t="s">
        <v>725</v>
      </c>
      <c r="C725" t="str">
        <f>IFERROR(__xludf.DUMMYFUNCTION("GOOGLETRANSLATE(B725, ""zh"", ""en"")"),"Classic spreadsheet to buy your child a high school. Small but full-featured, time, alarm clock, basically everything is complete classic electronic form, in addition to anti-rugged build. The main connotation is consistent with a low-key personality. Is "&amp;"the price the people of the heavenly high point.")</f>
        <v>Classic spreadsheet to buy your child a high school. Small but full-featured, time, alarm clock, basically everything is complete classic electronic form, in addition to anti-rugged build. The main connotation is consistent with a low-key personality. Is the price the people of the heavenly high point.</v>
      </c>
    </row>
    <row r="726">
      <c r="A726" s="1">
        <v>5.0</v>
      </c>
      <c r="B726" s="1" t="s">
        <v>726</v>
      </c>
      <c r="C726" t="str">
        <f>IFERROR(__xludf.DUMMYFUNCTION("GOOGLETRANSLATE(B726, ""zh"", ""en"")"),"Something good, something relatively easy to use is also good. Relatively easy to use.")</f>
        <v>Something good, something relatively easy to use is also good. Relatively easy to use.</v>
      </c>
    </row>
    <row r="727">
      <c r="A727" s="1">
        <v>5.0</v>
      </c>
      <c r="B727" s="1" t="s">
        <v>727</v>
      </c>
      <c r="C727" t="str">
        <f>IFERROR(__xludf.DUMMYFUNCTION("GOOGLETRANSLATE(B727, ""zh"", ""en"")"),"Usually wide enough to buy 44 yards of shoes, Amazon is really suitable for large feet customers, suitable love")</f>
        <v>Usually wide enough to buy 44 yards of shoes, Amazon is really suitable for large feet customers, suitable love</v>
      </c>
    </row>
    <row r="728">
      <c r="A728" s="1">
        <v>5.0</v>
      </c>
      <c r="B728" s="1" t="s">
        <v>728</v>
      </c>
      <c r="C728" t="str">
        <f>IFERROR(__xludf.DUMMYFUNCTION("GOOGLETRANSLATE(B728, ""zh"", ""en"")"),"Yes very cool, a little hard, very pretty, stylish, thin, thick socks running three days ok. Slightly thinner cortex folds small fine lines, not a big thick fold")</f>
        <v>Yes very cool, a little hard, very pretty, stylish, thin, thick socks running three days ok. Slightly thinner cortex folds small fine lines, not a big thick fold</v>
      </c>
    </row>
    <row r="729">
      <c r="A729" s="1">
        <v>5.0</v>
      </c>
      <c r="B729" s="1" t="s">
        <v>729</v>
      </c>
      <c r="C729" t="str">
        <f>IFERROR(__xludf.DUMMYFUNCTION("GOOGLETRANSLATE(B729, ""zh"", ""en"")"),"Finally bought a special love classic black Dr Martens, 14 in the winter for the first time in 1460 on Amazon to buy a pair of brown, long ago wore out, aimed at the opportunity immediately bought a pair of classic black, finally come true! Discount off ➕"&amp;" tax was more than seven hundred! nike through 43, Dr Martens through 42, 8 yards, United States Code 9! Your reference!")</f>
        <v>Finally bought a special love classic black Dr Martens, 14 in the winter for the first time in 1460 on Amazon to buy a pair of brown, long ago wore out, aimed at the opportunity immediately bought a pair of classic black, finally come true! Discount off ➕ tax was more than seven hundred! nike through 43, Dr Martens through 42, 8 yards, United States Code 9! Your reference!</v>
      </c>
    </row>
    <row r="730">
      <c r="A730" s="1">
        <v>5.0</v>
      </c>
      <c r="B730" s="1" t="s">
        <v>730</v>
      </c>
      <c r="C730" t="str">
        <f>IFERROR(__xludf.DUMMYFUNCTION("GOOGLETRANSLATE(B730, ""zh"", ""en"")"),"Commodity good, cost-effective, consistent and imagination. Commodity good, cost-effective, consistent and imagination.")</f>
        <v>Commodity good, cost-effective, consistent and imagination. Commodity good, cost-effective, consistent and imagination.</v>
      </c>
    </row>
    <row r="731">
      <c r="A731" s="1">
        <v>5.0</v>
      </c>
      <c r="B731" s="1" t="s">
        <v>731</v>
      </c>
      <c r="C731" t="str">
        <f>IFERROR(__xludf.DUMMYFUNCTION("GOOGLETRANSLATE(B731, ""zh"", ""en"")"),"Appropriate satisfaction usually wear shoes 43, this size is just right, very fit, black and white, good-looking classic style")</f>
        <v>Appropriate satisfaction usually wear shoes 43, this size is just right, very fit, black and white, good-looking classic style</v>
      </c>
    </row>
    <row r="732">
      <c r="A732" s="1">
        <v>5.0</v>
      </c>
      <c r="B732" s="1" t="s">
        <v>732</v>
      </c>
      <c r="C732" t="str">
        <f>IFERROR(__xludf.DUMMYFUNCTION("GOOGLETRANSLATE(B732, ""zh"", ""en"")"),"Standard shoe size 42, shoe size is very appropriate, very comfortable to wear, very much.")</f>
        <v>Standard shoe size 42, shoe size is very appropriate, very comfortable to wear, very much.</v>
      </c>
    </row>
    <row r="733">
      <c r="A733" s="1">
        <v>5.0</v>
      </c>
      <c r="B733" s="1" t="s">
        <v>733</v>
      </c>
      <c r="C733" t="str">
        <f>IFERROR(__xludf.DUMMYFUNCTION("GOOGLETRANSLATE(B733, ""zh"", ""en"")"),"Worth trying, you'll love it. But I strongly advise you not to buy comparable to the first use of an electric toothbrush experience. March 2019 additional comments. This section is not recommended for very scouring the sea. No domestic warranty. Private s"&amp;"hops can not repair. Because the unibody. Apart is destroyed. If the state line is broken directly replaced. If the overseas version will throw away ......")</f>
        <v>Worth trying, you'll love it. But I strongly advise you not to buy comparable to the first use of an electric toothbrush experience. March 2019 additional comments. This section is not recommended for very scouring the sea. No domestic warranty. Private shops can not repair. Because the unibody. Apart is destroyed. If the state line is broken directly replaced. If the overseas version will throw away ......</v>
      </c>
    </row>
    <row r="734">
      <c r="A734" s="1">
        <v>5.0</v>
      </c>
      <c r="B734" s="1" t="s">
        <v>734</v>
      </c>
      <c r="C734" t="str">
        <f>IFERROR(__xludf.DUMMYFUNCTION("GOOGLETRANSLATE(B734, ""zh"", ""en"")"),"Like the color is very fresh, very good sound quality, with a comfortable, easy wireless")</f>
        <v>Like the color is very fresh, very good sound quality, with a comfortable, easy wireless</v>
      </c>
    </row>
    <row r="735">
      <c r="A735" s="1">
        <v>5.0</v>
      </c>
      <c r="B735" s="1" t="s">
        <v>735</v>
      </c>
      <c r="C735" t="str">
        <f>IFERROR(__xludf.DUMMYFUNCTION("GOOGLETRANSLATE(B735, ""zh"", ""en"")"),"Good times and good table Timex. very good. really good.")</f>
        <v>Good times and good table Timex. very good. really good.</v>
      </c>
    </row>
    <row r="736">
      <c r="A736" s="1">
        <v>2.0</v>
      </c>
      <c r="B736" s="1" t="s">
        <v>736</v>
      </c>
      <c r="C736" t="str">
        <f>IFERROR(__xludf.DUMMYFUNCTION("GOOGLETRANSLATE(B736, ""zh"", ""en"")"),"Why battery is dead? When the hand is not turn, take it for a battery, no change is opened to change the battery! ! ! Why is no electricity? It is put for a long time horse?")</f>
        <v>Why battery is dead? When the hand is not turn, take it for a battery, no change is opened to change the battery! ! ! Why is no electricity? It is put for a long time horse?</v>
      </c>
    </row>
    <row r="737">
      <c r="A737" s="1">
        <v>3.0</v>
      </c>
      <c r="B737" s="1" t="s">
        <v>737</v>
      </c>
      <c r="C737" t="str">
        <f>IFERROR(__xludf.DUMMYFUNCTION("GOOGLETRANSLATE(B737, ""zh"", ""en"")"),"Three with a tight body of some liberal bias? Three sizes down all the right equipment but some liberal bias some tight body")</f>
        <v>Three with a tight body of some liberal bias? Three sizes down all the right equipment but some liberal bias some tight body</v>
      </c>
    </row>
    <row r="738">
      <c r="A738" s="1">
        <v>3.0</v>
      </c>
      <c r="B738" s="1" t="s">
        <v>738</v>
      </c>
      <c r="C738" t="str">
        <f>IFERROR(__xludf.DUMMYFUNCTION("GOOGLETRANSLATE(B738, ""zh"", ""en"")"),"Not recommended for summer wear thick, skin feel uncomfortable, not recommended")</f>
        <v>Not recommended for summer wear thick, skin feel uncomfortable, not recommended</v>
      </c>
    </row>
    <row r="739">
      <c r="A739" s="1">
        <v>3.0</v>
      </c>
      <c r="B739" s="1" t="s">
        <v>739</v>
      </c>
      <c r="C739" t="str">
        <f>IFERROR(__xludf.DUMMYFUNCTION("GOOGLETRANSLATE(B739, ""zh"", ""en"")"),"There are plastic taste, issued to Hong Kong's cargo hold. There are plastic taste, do not recommend buying. Amazon also has a self-pit.")</f>
        <v>There are plastic taste, issued to Hong Kong's cargo hold. There are plastic taste, do not recommend buying. Amazon also has a self-pit.</v>
      </c>
    </row>
    <row r="740">
      <c r="A740" s="1">
        <v>1.0</v>
      </c>
      <c r="B740" s="1" t="s">
        <v>740</v>
      </c>
      <c r="C740" t="str">
        <f>IFERROR(__xludf.DUMMYFUNCTION("GOOGLETRANSLATE(B740, ""zh"", ""en"")"),"...... suit jacket is not too pit, and did not look at comments, I thought it was a suite, with many others were pit")</f>
        <v>...... suit jacket is not too pit, and did not look at comments, I thought it was a suite, with many others were pit</v>
      </c>
    </row>
    <row r="741">
      <c r="A741" s="1">
        <v>1.0</v>
      </c>
      <c r="B741" s="1" t="s">
        <v>741</v>
      </c>
      <c r="C741" t="str">
        <f>IFERROR(__xludf.DUMMYFUNCTION("GOOGLETRANSLATE(B741, ""zh"", ""en"")"),"Smell to wear a few times began to smell a bit like sweat, a bit like the taste of chemicals, tried several methods have not washed off.")</f>
        <v>Smell to wear a few times began to smell a bit like sweat, a bit like the taste of chemicals, tried several methods have not washed off.</v>
      </c>
    </row>
    <row r="742">
      <c r="A742" s="1">
        <v>1.0</v>
      </c>
      <c r="B742" s="1" t="s">
        <v>742</v>
      </c>
      <c r="C742" t="str">
        <f>IFERROR(__xludf.DUMMYFUNCTION("GOOGLETRANSLATE(B742, ""zh"", ""en"")"),"Poor quality, the file is missing, noisy, buzzing. I used a few times, 2t music file collection of classic and high-definition movies all gone, hate. Garbage wd.")</f>
        <v>Poor quality, the file is missing, noisy, buzzing. I used a few times, 2t music file collection of classic and high-definition movies all gone, hate. Garbage wd.</v>
      </c>
    </row>
    <row r="743">
      <c r="A743" s="1">
        <v>4.0</v>
      </c>
      <c r="B743" s="1" t="s">
        <v>743</v>
      </c>
      <c r="C743" t="str">
        <f>IFERROR(__xludf.DUMMYFUNCTION("GOOGLETRANSLATE(B743, ""zh"", ""en"")"),"Small number of self-cultivation, it is appropriate to wear than normal freshman code")</f>
        <v>Small number of self-cultivation, it is appropriate to wear than normal freshman code</v>
      </c>
    </row>
    <row r="744">
      <c r="A744" s="1">
        <v>4.0</v>
      </c>
      <c r="B744" s="1" t="s">
        <v>744</v>
      </c>
      <c r="C744" t="str">
        <f>IFERROR(__xludf.DUMMYFUNCTION("GOOGLETRANSLATE(B744, ""zh"", ""en"")"),"This little strong for people who wear pretty good, is more thread.")</f>
        <v>This little strong for people who wear pretty good, is more thread.</v>
      </c>
    </row>
    <row r="745">
      <c r="A745" s="1">
        <v>4.0</v>
      </c>
      <c r="B745" s="1" t="s">
        <v>745</v>
      </c>
      <c r="C745" t="str">
        <f>IFERROR(__xludf.DUMMYFUNCTION("GOOGLETRANSLATE(B745, ""zh"", ""en"")"),"Some hard soles a sub-price goods, very satisfied, will continue to support")</f>
        <v>Some hard soles a sub-price goods, very satisfied, will continue to support</v>
      </c>
    </row>
    <row r="746">
      <c r="A746" s="1">
        <v>4.0</v>
      </c>
      <c r="B746" s="1" t="s">
        <v>746</v>
      </c>
      <c r="C746" t="str">
        <f>IFERROR(__xludf.DUMMYFUNCTION("GOOGLETRANSLATE(B746, ""zh"", ""en"")"),"I could not enough strength mud is not good. . Then I stick Nabo Lang cooking up. .")</f>
        <v>I could not enough strength mud is not good. . Then I stick Nabo Lang cooking up. .</v>
      </c>
    </row>
    <row r="747">
      <c r="A747" s="1">
        <v>5.0</v>
      </c>
      <c r="B747" s="1" t="s">
        <v>747</v>
      </c>
      <c r="C747" t="str">
        <f>IFERROR(__xludf.DUMMYFUNCTION("GOOGLETRANSLATE(B747, ""zh"", ""en"")"),"Very good very good thing since the value")</f>
        <v>Very good very good thing since the value</v>
      </c>
    </row>
    <row r="748">
      <c r="A748" s="1">
        <v>5.0</v>
      </c>
      <c r="B748" s="1" t="s">
        <v>748</v>
      </c>
      <c r="C748" t="str">
        <f>IFERROR(__xludf.DUMMYFUNCTION("GOOGLETRANSLATE(B748, ""zh"", ""en"")"),"Law-abiding, no surprises, no disappointment, sound quite satisfactory, probably got used to the bookshelf box, now I am not very accustomed to the style of headphones.")</f>
        <v>Law-abiding, no surprises, no disappointment, sound quite satisfactory, probably got used to the bookshelf box, now I am not very accustomed to the style of headphones.</v>
      </c>
    </row>
    <row r="749">
      <c r="A749" s="1">
        <v>5.0</v>
      </c>
      <c r="B749" s="1" t="s">
        <v>749</v>
      </c>
      <c r="C749" t="str">
        <f>IFERROR(__xludf.DUMMYFUNCTION("GOOGLETRANSLATE(B749, ""zh"", ""en"")"),"Absolute value for money is useful, easy to use, host light, good")</f>
        <v>Absolute value for money is useful, easy to use, host light, good</v>
      </c>
    </row>
    <row r="750">
      <c r="A750" s="1">
        <v>5.0</v>
      </c>
      <c r="B750" s="1" t="s">
        <v>750</v>
      </c>
      <c r="C750" t="str">
        <f>IFERROR(__xludf.DUMMYFUNCTION("GOOGLETRANSLATE(B750, ""zh"", ""en"")"),"It can also can feel, not how long remains to be seen")</f>
        <v>It can also can feel, not how long remains to be seen</v>
      </c>
    </row>
    <row r="751">
      <c r="A751" s="1">
        <v>5.0</v>
      </c>
      <c r="B751" s="1" t="s">
        <v>751</v>
      </c>
      <c r="C751" t="str">
        <f>IFERROR(__xludf.DUMMYFUNCTION("GOOGLETRANSLATE(B751, ""zh"", ""en"")"),"Reference code number is very good, usually wear sneakers 36, read a long review, four yards just right, wear thin socks are not too loose, not too tight to wear thick socks. If you need to add thick socks and insoles recommendations to buy most of the co"&amp;"de")</f>
        <v>Reference code number is very good, usually wear sneakers 36, read a long review, four yards just right, wear thin socks are not too loose, not too tight to wear thick socks. If you need to add thick socks and insoles recommendations to buy most of the code</v>
      </c>
    </row>
    <row r="752">
      <c r="A752" s="1">
        <v>5.0</v>
      </c>
      <c r="B752" s="1" t="s">
        <v>752</v>
      </c>
      <c r="C752" t="str">
        <f>IFERROR(__xludf.DUMMYFUNCTION("GOOGLETRANSLATE(B752, ""zh"", ""en"")"),"Pretty good though a bit thin. But Beijing than in Japan cold a lot of it.")</f>
        <v>Pretty good though a bit thin. But Beijing than in Japan cold a lot of it.</v>
      </c>
    </row>
    <row r="753">
      <c r="A753" s="1">
        <v>5.0</v>
      </c>
      <c r="B753" s="1" t="s">
        <v>753</v>
      </c>
      <c r="C753" t="str">
        <f>IFERROR(__xludf.DUMMYFUNCTION("GOOGLETRANSLATE(B753, ""zh"", ""en"")"),"Like always, very good shoes, size standard, Ref 754,")</f>
        <v>Like always, very good shoes, size standard, Ref 754,</v>
      </c>
    </row>
    <row r="754">
      <c r="A754" s="1">
        <v>5.0</v>
      </c>
      <c r="B754" s="1" t="s">
        <v>754</v>
      </c>
      <c r="C754" t="str">
        <f>IFERROR(__xludf.DUMMYFUNCTION("GOOGLETRANSLATE(B754, ""zh"", ""en"")"),"Petite carefully shot clothes, colors and styles but I really liked the 173cm67kg buy is s number ah long sleeves or a lot")</f>
        <v>Petite carefully shot clothes, colors and styles but I really liked the 173cm67kg buy is s number ah long sleeves or a lot</v>
      </c>
    </row>
    <row r="755">
      <c r="A755" s="1">
        <v>5.0</v>
      </c>
      <c r="B755" s="1" t="s">
        <v>755</v>
      </c>
      <c r="C755" t="str">
        <f>IFERROR(__xludf.DUMMYFUNCTION("GOOGLETRANSLATE(B755, ""zh"", ""en"")"),"Worth buying good quality and appearance are also ideal as")</f>
        <v>Worth buying good quality and appearance are also ideal as</v>
      </c>
    </row>
    <row r="756">
      <c r="A756" s="1">
        <v>5.0</v>
      </c>
      <c r="B756" s="1" t="s">
        <v>756</v>
      </c>
      <c r="C756" t="str">
        <f>IFERROR(__xludf.DUMMYFUNCTION("GOOGLETRANSLATE(B756, ""zh"", ""en"")"),"⚾️ great baseball cap baby I love you for a long time to find it on Amazon 😃 happy thumbs up 👍")</f>
        <v>⚾️ great baseball cap baby I love you for a long time to find it on Amazon 😃 happy thumbs up 👍</v>
      </c>
    </row>
    <row r="757">
      <c r="A757" s="1">
        <v>5.0</v>
      </c>
      <c r="B757" s="1" t="s">
        <v>757</v>
      </c>
      <c r="C757" t="str">
        <f>IFERROR(__xludf.DUMMYFUNCTION("GOOGLETRANSLATE(B757, ""zh"", ""en"")"),"Dog printed plastic waist very good, very satisfied, is genuine, the effect of additional follow-up")</f>
        <v>Dog printed plastic waist very good, very satisfied, is genuine, the effect of additional follow-up</v>
      </c>
    </row>
    <row r="758">
      <c r="A758" s="1">
        <v>5.0</v>
      </c>
      <c r="B758" s="1" t="s">
        <v>758</v>
      </c>
      <c r="C758" t="str">
        <f>IFERROR(__xludf.DUMMYFUNCTION("GOOGLETRANSLATE(B758, ""zh"", ""en"")"),"High quality green bean paste color is very special, exquisite workmanship, impeccable.")</f>
        <v>High quality green bean paste color is very special, exquisite workmanship, impeccable.</v>
      </c>
    </row>
    <row r="759">
      <c r="A759" s="1">
        <v>5.0</v>
      </c>
      <c r="B759" s="1" t="s">
        <v>759</v>
      </c>
      <c r="C759" t="str">
        <f>IFERROR(__xludf.DUMMYFUNCTION("GOOGLETRANSLATE(B759, ""zh"", ""en"")"),"Eat good long-term brand Centrum, each bottle of old and young, trustworthy")</f>
        <v>Eat good long-term brand Centrum, each bottle of old and young, trustworthy</v>
      </c>
    </row>
    <row r="760">
      <c r="A760" s="1">
        <v>5.0</v>
      </c>
      <c r="B760" s="1" t="s">
        <v>760</v>
      </c>
      <c r="C760" t="str">
        <f>IFERROR(__xludf.DUMMYFUNCTION("GOOGLETRANSLATE(B760, ""zh"", ""en"")"),"This price drop though there are many colors, but it feels a child does not need such a complex, many of the colors are similar, but there was a heavy smell")</f>
        <v>This price drop though there are many colors, but it feels a child does not need such a complex, many of the colors are similar, but there was a heavy smell</v>
      </c>
    </row>
    <row r="761">
      <c r="A761" s="1">
        <v>5.0</v>
      </c>
      <c r="B761" s="1" t="s">
        <v>761</v>
      </c>
      <c r="C761" t="str">
        <f>IFERROR(__xludf.DUMMYFUNCTION("GOOGLETRANSLATE(B761, ""zh"", ""en"")"),"The high cost of good quality, very much")</f>
        <v>The high cost of good quality, very much</v>
      </c>
    </row>
    <row r="762">
      <c r="A762" s="1">
        <v>5.0</v>
      </c>
      <c r="B762" s="1" t="s">
        <v>762</v>
      </c>
      <c r="C762" t="str">
        <f>IFERROR(__xludf.DUMMYFUNCTION("GOOGLETRANSLATE(B762, ""zh"", ""en"")"),"S should buy a good number of very comfortable material is too large")</f>
        <v>S should buy a good number of very comfortable material is too large</v>
      </c>
    </row>
    <row r="763">
      <c r="A763" s="1">
        <v>5.0</v>
      </c>
      <c r="B763" s="1" t="s">
        <v>763</v>
      </c>
      <c r="C763" t="str">
        <f>IFERROR(__xludf.DUMMYFUNCTION("GOOGLETRANSLATE(B763, ""zh"", ""en"")"),"I bought two bottles, very cost-effective. Surprised to see such a big box, two large bottles of really big, eat a long time.")</f>
        <v>I bought two bottles, very cost-effective. Surprised to see such a big box, two large bottles of really big, eat a long time.</v>
      </c>
    </row>
    <row r="764">
      <c r="A764" s="1">
        <v>5.0</v>
      </c>
      <c r="B764" s="1" t="s">
        <v>764</v>
      </c>
      <c r="C764" t="str">
        <f>IFERROR(__xludf.DUMMYFUNCTION("GOOGLETRANSLATE(B764, ""zh"", ""en"")"),"With the one, with no difference with the original one, with no distinction between genuine, really is a good replacement, original brush head is broken, we put a new brush head replacement equipment, very good.")</f>
        <v>With the one, with no difference with the original one, with no distinction between genuine, really is a good replacement, original brush head is broken, we put a new brush head replacement equipment, very good.</v>
      </c>
    </row>
    <row r="765">
      <c r="A765" s="1">
        <v>5.0</v>
      </c>
      <c r="B765" s="1" t="s">
        <v>765</v>
      </c>
      <c r="C765" t="str">
        <f>IFERROR(__xludf.DUMMYFUNCTION("GOOGLETRANSLATE(B765, ""zh"", ""en"")"),"Perfect Nice")</f>
        <v>Perfect Nice</v>
      </c>
    </row>
    <row r="766">
      <c r="A766" s="1">
        <v>5.0</v>
      </c>
      <c r="B766" s="1" t="s">
        <v>766</v>
      </c>
      <c r="C766" t="str">
        <f>IFERROR(__xludf.DUMMYFUNCTION("GOOGLETRANSLATE(B766, ""zh"", ""en"")"),"Is good, it is worth into. Over one hundred good friends or a belt, leather or not do not understand, somewhat faded, with dark slacks or jeans very good. I 174,138, the Department of positive numbers from the tip of the second belt suitable hole, slightl"&amp;"y short, so the next plan to try 36.")</f>
        <v>Is good, it is worth into. Over one hundred good friends or a belt, leather or not do not understand, somewhat faded, with dark slacks or jeans very good. I 174,138, the Department of positive numbers from the tip of the second belt suitable hole, slightly short, so the next plan to try 36.</v>
      </c>
    </row>
    <row r="767">
      <c r="A767" s="1">
        <v>5.0</v>
      </c>
      <c r="B767" s="1" t="s">
        <v>767</v>
      </c>
      <c r="C767" t="str">
        <f>IFERROR(__xludf.DUMMYFUNCTION("GOOGLETRANSLATE(B767, ""zh"", ""en"")"),"Very good good table, two weeks of arrival, all in good condition, packing a little shabby, a thick manual full of all kinds of foreign language plus English, Chinese once again been ignored. Adjust the date and time according to previous buyers comments,"&amp;" etc., no problem, very good. Amazon's delivery speed must be like this one, six days earlier than expected.")</f>
        <v>Very good good table, two weeks of arrival, all in good condition, packing a little shabby, a thick manual full of all kinds of foreign language plus English, Chinese once again been ignored. Adjust the date and time according to previous buyers comments, etc., no problem, very good. Amazon's delivery speed must be like this one, six days earlier than expected.</v>
      </c>
    </row>
    <row r="768">
      <c r="A768" s="1">
        <v>5.0</v>
      </c>
      <c r="B768" s="1" t="s">
        <v>768</v>
      </c>
      <c r="C768" t="str">
        <f>IFERROR(__xludf.DUMMYFUNCTION("GOOGLETRANSLATE(B768, ""zh"", ""en"")"),"Very nice very appropriate, soles soft, not hard feet.")</f>
        <v>Very nice very appropriate, soles soft, not hard feet.</v>
      </c>
    </row>
    <row r="769">
      <c r="A769" s="1">
        <v>2.0</v>
      </c>
      <c r="B769" s="1" t="s">
        <v>769</v>
      </c>
      <c r="C769" t="str">
        <f>IFERROR(__xludf.DUMMYFUNCTION("GOOGLETRANSLATE(B769, ""zh"", ""en"")"),"More disappointed large pants, people buy 170,180 pounds of M are big, but can wear, buy S more fit. And pants very thin and fat, like the kind of training pants martial arts wear. But what is too much trouble even if the return. Barely wearing it")</f>
        <v>More disappointed large pants, people buy 170,180 pounds of M are big, but can wear, buy S more fit. And pants very thin and fat, like the kind of training pants martial arts wear. But what is too much trouble even if the return. Barely wearing it</v>
      </c>
    </row>
    <row r="770">
      <c r="A770" s="1">
        <v>3.0</v>
      </c>
      <c r="B770" s="1" t="s">
        <v>770</v>
      </c>
      <c r="C770" t="str">
        <f>IFERROR(__xludf.DUMMYFUNCTION("GOOGLETRANSLATE(B770, ""zh"", ""en"")"),"Generally do not like, the material is very general, much worse than domestic same brand")</f>
        <v>Generally do not like, the material is very general, much worse than domestic same brand</v>
      </c>
    </row>
    <row r="771">
      <c r="A771" s="1">
        <v>3.0</v>
      </c>
      <c r="B771" s="1" t="s">
        <v>771</v>
      </c>
      <c r="C771" t="str">
        <f>IFERROR(__xludf.DUMMYFUNCTION("GOOGLETRANSLATE(B771, ""zh"", ""en"")"),"Thin as a sheet of paper is difficult to say that this is not true, thin and feel very hard, just like paper -")</f>
        <v>Thin as a sheet of paper is difficult to say that this is not true, thin and feel very hard, just like paper -</v>
      </c>
    </row>
    <row r="772">
      <c r="A772" s="1">
        <v>1.0</v>
      </c>
      <c r="B772" s="1" t="s">
        <v>772</v>
      </c>
      <c r="C772" t="str">
        <f>IFERROR(__xludf.DUMMYFUNCTION("GOOGLETRANSLATE(B772, ""zh"", ""en"")"),"What the hell S code actually has so much domestic XL, this is what the code number, the fabric is also very common, Poor")</f>
        <v>What the hell S code actually has so much domestic XL, this is what the code number, the fabric is also very common, Poor</v>
      </c>
    </row>
    <row r="773">
      <c r="A773" s="1">
        <v>1.0</v>
      </c>
      <c r="B773" s="1" t="s">
        <v>773</v>
      </c>
      <c r="C773" t="str">
        <f>IFERROR(__xludf.DUMMYFUNCTION("GOOGLETRANSLATE(B773, ""zh"", ""en"")"),"Returns are not wearing it for two days, rip the leather")</f>
        <v>Returns are not wearing it for two days, rip the leather</v>
      </c>
    </row>
    <row r="774">
      <c r="A774" s="1">
        <v>4.0</v>
      </c>
      <c r="B774" s="1" t="s">
        <v>774</v>
      </c>
      <c r="C774" t="str">
        <f>IFERROR(__xludf.DUMMYFUNCTION("GOOGLETRANSLATE(B774, ""zh"", ""en"")"),"Only to see a lot of people commented that received was used by others is my better this new cheaper but the effect is the same I used after several armpit hair color lighter pores after quite effective to buy the hair growth rate have slowed down just no"&amp;"w is the winter trimester I feel it will be able to get rid of the weight of the hair")</f>
        <v>Only to see a lot of people commented that received was used by others is my better this new cheaper but the effect is the same I used after several armpit hair color lighter pores after quite effective to buy the hair growth rate have slowed down just now is the winter trimester I feel it will be able to get rid of the weight of the hair</v>
      </c>
    </row>
    <row r="775">
      <c r="A775" s="1">
        <v>4.0</v>
      </c>
      <c r="B775" s="1" t="s">
        <v>775</v>
      </c>
      <c r="C775" t="str">
        <f>IFERROR(__xludf.DUMMYFUNCTION("GOOGLETRANSLATE(B775, ""zh"", ""en"")"),"The sleeves a little longer acceptable color is very positive but also very long sleeves of my height 157 weight just right for the size of about 85 xs")</f>
        <v>The sleeves a little longer acceptable color is very positive but also very long sleeves of my height 157 weight just right for the size of about 85 xs</v>
      </c>
    </row>
    <row r="776">
      <c r="A776" s="1">
        <v>4.0</v>
      </c>
      <c r="B776" s="1" t="s">
        <v>776</v>
      </c>
      <c r="C776" t="str">
        <f>IFERROR(__xludf.DUMMYFUNCTION("GOOGLETRANSLATE(B776, ""zh"", ""en"")"),"Not very sophisticated feel like a general, large than expected, not very fine.")</f>
        <v>Not very sophisticated feel like a general, large than expected, not very fine.</v>
      </c>
    </row>
    <row r="777">
      <c r="A777" s="1">
        <v>4.0</v>
      </c>
      <c r="B777" s="1" t="s">
        <v>777</v>
      </c>
      <c r="C777" t="str">
        <f>IFERROR(__xludf.DUMMYFUNCTION("GOOGLETRANSLATE(B777, ""zh"", ""en"")"),"Yes nipple was nice, but I do not know why there is no one set of two, and a six pack store is not very convenient.")</f>
        <v>Yes nipple was nice, but I do not know why there is no one set of two, and a six pack store is not very convenient.</v>
      </c>
    </row>
    <row r="778">
      <c r="A778" s="1">
        <v>4.0</v>
      </c>
      <c r="B778" s="1" t="s">
        <v>778</v>
      </c>
      <c r="C778" t="str">
        <f>IFERROR(__xludf.DUMMYFUNCTION("GOOGLETRANSLATE(B778, ""zh"", ""en"")"),"Heart did not sell white pen hand is black. A whole mad pull cool hanging fried days, I was impatient and made up. Such a connotation of something out so impetuous, so very uncomfortable")</f>
        <v>Heart did not sell white pen hand is black. A whole mad pull cool hanging fried days, I was impatient and made up. Such a connotation of something out so impetuous, so very uncomfortable</v>
      </c>
    </row>
    <row r="779">
      <c r="A779" s="1">
        <v>5.0</v>
      </c>
      <c r="B779" s="1" t="s">
        <v>779</v>
      </c>
      <c r="C779" t="str">
        <f>IFERROR(__xludf.DUMMYFUNCTION("GOOGLETRANSLATE(B779, ""zh"", ""en"")"),"Very soft and comfortable to wear very comfortable and I liked it, very soft lined with villi, buy in cheaper than a cat, and less than a hundred. And he bought two still on the road.")</f>
        <v>Very soft and comfortable to wear very comfortable and I liked it, very soft lined with villi, buy in cheaper than a cat, and less than a hundred. And he bought two still on the road.</v>
      </c>
    </row>
    <row r="780">
      <c r="A780" s="1">
        <v>5.0</v>
      </c>
      <c r="B780" s="1" t="s">
        <v>780</v>
      </c>
      <c r="C780" t="str">
        <f>IFERROR(__xludf.DUMMYFUNCTION("GOOGLETRANSLATE(B780, ""zh"", ""en"")"),"Yang Shen eat for a month, the effect is good")</f>
        <v>Yang Shen eat for a month, the effect is good</v>
      </c>
    </row>
    <row r="781">
      <c r="A781" s="1">
        <v>5.0</v>
      </c>
      <c r="B781" s="1" t="s">
        <v>781</v>
      </c>
      <c r="C781" t="str">
        <f>IFERROR(__xludf.DUMMYFUNCTION("GOOGLETRANSLATE(B781, ""zh"", ""en"")"),"Calcium and magnesium zinc childhood date still fresh, the packaging is also very good, also fast delivery.")</f>
        <v>Calcium and magnesium zinc childhood date still fresh, the packaging is also very good, also fast delivery.</v>
      </c>
    </row>
    <row r="782">
      <c r="A782" s="1">
        <v>5.0</v>
      </c>
      <c r="B782" s="1" t="s">
        <v>782</v>
      </c>
      <c r="C782" t="str">
        <f>IFERROR(__xludf.DUMMYFUNCTION("GOOGLETRANSLATE(B782, ""zh"", ""en"")"),"Good workmanship and style did not have to say, the boys carry commuters currently use, not to force off the grid, especially the style")</f>
        <v>Good workmanship and style did not have to say, the boys carry commuters currently use, not to force off the grid, especially the style</v>
      </c>
    </row>
    <row r="783">
      <c r="A783" s="1">
        <v>5.0</v>
      </c>
      <c r="B783" s="1" t="s">
        <v>783</v>
      </c>
      <c r="C783" t="str">
        <f>IFERROR(__xludf.DUMMYFUNCTION("GOOGLETRANSLATE(B783, ""zh"", ""en"")"),"The new shoes are very satisfied, very good quality, very light, very satisfied")</f>
        <v>The new shoes are very satisfied, very good quality, very light, very satisfied</v>
      </c>
    </row>
    <row r="784">
      <c r="A784" s="1">
        <v>5.0</v>
      </c>
      <c r="B784" s="1" t="s">
        <v>784</v>
      </c>
      <c r="C784" t="str">
        <f>IFERROR(__xludf.DUMMYFUNCTION("GOOGLETRANSLATE(B784, ""zh"", ""en"")"),"Ramen bowl is very suitable for the children to cook noodles.")</f>
        <v>Ramen bowl is very suitable for the children to cook noodles.</v>
      </c>
    </row>
    <row r="785">
      <c r="A785" s="1">
        <v>5.0</v>
      </c>
      <c r="B785" s="1" t="s">
        <v>785</v>
      </c>
      <c r="C785" t="str">
        <f>IFERROR(__xludf.DUMMYFUNCTION("GOOGLETRANSLATE(B785, ""zh"", ""en"")"),"Cup is too small to wear very comfortable, but that some small cup, said to be suitable for A_E, but a large chest or tingling careful to buy it, the birth of the baby slim down over a period of time, it is better to wear a")</f>
        <v>Cup is too small to wear very comfortable, but that some small cup, said to be suitable for A_E, but a large chest or tingling careful to buy it, the birth of the baby slim down over a period of time, it is better to wear a</v>
      </c>
    </row>
    <row r="786">
      <c r="A786" s="1">
        <v>5.0</v>
      </c>
      <c r="B786" s="1" t="s">
        <v>786</v>
      </c>
      <c r="C786" t="str">
        <f>IFERROR(__xludf.DUMMYFUNCTION("GOOGLETRANSLATE(B786, ""zh"", ""en"")"),"This series is somewhat complicated to buy this gold pen, yes, this series has not gold gold, respectively, to pay attention")</f>
        <v>This series is somewhat complicated to buy this gold pen, yes, this series has not gold gold, respectively, to pay attention</v>
      </c>
    </row>
    <row r="787">
      <c r="A787" s="1">
        <v>5.0</v>
      </c>
      <c r="B787" s="1" t="s">
        <v>787</v>
      </c>
      <c r="C787" t="str">
        <f>IFERROR(__xludf.DUMMYFUNCTION("GOOGLETRANSLATE(B787, ""zh"", ""en"")"),"not bad, very good. Good, cheap, wear light.")</f>
        <v>not bad, very good. Good, cheap, wear light.</v>
      </c>
    </row>
    <row r="788">
      <c r="A788" s="1">
        <v>5.0</v>
      </c>
      <c r="B788" s="1" t="s">
        <v>788</v>
      </c>
      <c r="C788" t="str">
        <f>IFERROR(__xludf.DUMMYFUNCTION("GOOGLETRANSLATE(B788, ""zh"", ""en"")"),"OK clatter be honest, not much use every day frequency, playing really bad to drink milk ah, ooo, ooo")</f>
        <v>OK clatter be honest, not much use every day frequency, playing really bad to drink milk ah, ooo, ooo</v>
      </c>
    </row>
    <row r="789">
      <c r="A789" s="1">
        <v>5.0</v>
      </c>
      <c r="B789" s="1" t="s">
        <v>789</v>
      </c>
      <c r="C789" t="str">
        <f>IFERROR(__xludf.DUMMYFUNCTION("GOOGLETRANSLATE(B789, ""zh"", ""en"")"),"Generally like quite good, although speed is not fast, but stable")</f>
        <v>Generally like quite good, although speed is not fast, but stable</v>
      </c>
    </row>
    <row r="790">
      <c r="A790" s="1">
        <v>5.0</v>
      </c>
      <c r="B790" s="1" t="s">
        <v>790</v>
      </c>
      <c r="C790" t="str">
        <f>IFERROR(__xludf.DUMMYFUNCTION("GOOGLETRANSLATE(B790, ""zh"", ""en"")"),"Girls can learn from me 170,125 pounds of S code is appropriate, is wearing is very strong")</f>
        <v>Girls can learn from me 170,125 pounds of S code is appropriate, is wearing is very strong</v>
      </c>
    </row>
    <row r="791">
      <c r="A791" s="1">
        <v>5.0</v>
      </c>
      <c r="B791" s="1" t="s">
        <v>791</v>
      </c>
      <c r="C791" t="str">
        <f>IFERROR(__xludf.DUMMYFUNCTION("GOOGLETRANSLATE(B791, ""zh"", ""en"")"),"Good workmanship good, is thinner than expected point")</f>
        <v>Good workmanship good, is thinner than expected point</v>
      </c>
    </row>
    <row r="792">
      <c r="A792" s="1">
        <v>5.0</v>
      </c>
      <c r="B792" s="1" t="s">
        <v>792</v>
      </c>
      <c r="C792" t="str">
        <f>IFERROR(__xludf.DUMMYFUNCTION("GOOGLETRANSLATE(B792, ""zh"", ""en"")"),"Awesome product and has recommended buy for the two friends, great product!")</f>
        <v>Awesome product and has recommended buy for the two friends, great product!</v>
      </c>
    </row>
    <row r="793">
      <c r="A793" s="1">
        <v>5.0</v>
      </c>
      <c r="B793" s="1" t="s">
        <v>793</v>
      </c>
      <c r="C793" t="str">
        <f>IFERROR(__xludf.DUMMYFUNCTION("GOOGLETRANSLATE(B793, ""zh"", ""en"")"),"Good should be genuine, just tried it, I feel good!")</f>
        <v>Good should be genuine, just tried it, I feel good!</v>
      </c>
    </row>
    <row r="794">
      <c r="A794" s="1">
        <v>5.0</v>
      </c>
      <c r="B794" s="1" t="s">
        <v>794</v>
      </c>
      <c r="C794" t="str">
        <f>IFERROR(__xludf.DUMMYFUNCTION("GOOGLETRANSLATE(B794, ""zh"", ""en"")"),"Store goods in the baby received! very nice! Not with store goods in!")</f>
        <v>Store goods in the baby received! very nice! Not with store goods in!</v>
      </c>
    </row>
    <row r="795">
      <c r="A795" s="1">
        <v>5.0</v>
      </c>
      <c r="B795" s="1" t="s">
        <v>795</v>
      </c>
      <c r="C795" t="str">
        <f>IFERROR(__xludf.DUMMYFUNCTION("GOOGLETRANSLATE(B795, ""zh"", ""en"")"),"Early arrival, early arrival of something good, things looked on genuine, now not to the baby with a good, not from the previous evaluation, I do not know how many wasted points, points can change money now know, they should look carefully evaluated , the"&amp;"n I put these words to copy to go, both to earn points, but also the easy way, where are copying where, most importantly, do not seriously review, do not think how much worse word, made directly on it I recommend it to everyone!")</f>
        <v>Early arrival, early arrival of something good, things looked on genuine, now not to the baby with a good, not from the previous evaluation, I do not know how many wasted points, points can change money now know, they should look carefully evaluated , then I put these words to copy to go, both to earn points, but also the easy way, where are copying where, most importantly, do not seriously review, do not think how much worse word, made directly on it I recommend it to everyone!</v>
      </c>
    </row>
    <row r="796">
      <c r="A796" s="1">
        <v>5.0</v>
      </c>
      <c r="B796" s="1" t="s">
        <v>796</v>
      </c>
      <c r="C796" t="str">
        <f>IFERROR(__xludf.DUMMYFUNCTION("GOOGLETRANSLATE(B796, ""zh"", ""en"")"),"Its a great deal in my personal opinion and decoding with a similar line, put down a good bit of space suitable volume sufficient state level to resolve this case is 1000 yuan big ear level. Mishina balanced non-staining, very high frequency seem a little"&amp;" obvious distortion, low dive well, three-dimensional sound field, imaging is very accurate. Activity price one Senpachi, really value")</f>
        <v>Its a great deal in my personal opinion and decoding with a similar line, put down a good bit of space suitable volume sufficient state level to resolve this case is 1000 yuan big ear level. Mishina balanced non-staining, very high frequency seem a little obvious distortion, low dive well, three-dimensional sound field, imaging is very accurate. Activity price one Senpachi, really value</v>
      </c>
    </row>
    <row r="797">
      <c r="A797" s="1">
        <v>5.0</v>
      </c>
      <c r="B797" s="1" t="s">
        <v>797</v>
      </c>
      <c r="C797" t="str">
        <f>IFERROR(__xludf.DUMMYFUNCTION("GOOGLETRANSLATE(B797, ""zh"", ""en"")"),"Good taste good, but buy less")</f>
        <v>Good taste good, but buy less</v>
      </c>
    </row>
    <row r="798">
      <c r="A798" s="1">
        <v>5.0</v>
      </c>
      <c r="B798" s="1" t="s">
        <v>798</v>
      </c>
      <c r="C798" t="str">
        <f>IFERROR(__xludf.DUMMYFUNCTION("GOOGLETRANSLATE(B798, ""zh"", ""en"")"),"Size comprehensive people are saying, this is just a few yards, this is the first time purchase on Amazon, very satisfied")</f>
        <v>Size comprehensive people are saying, this is just a few yards, this is the first time purchase on Amazon, very satisfied</v>
      </c>
    </row>
    <row r="799">
      <c r="A799" s="1">
        <v>5.0</v>
      </c>
      <c r="B799" s="1" t="s">
        <v>799</v>
      </c>
      <c r="C799" t="str">
        <f>IFERROR(__xludf.DUMMYFUNCTION("GOOGLETRANSLATE(B799, ""zh"", ""en"")"),"Very very comfortable to wear very comfortable. ecco shoes buy fit on Amazon. A lot cheaper ah!")</f>
        <v>Very very comfortable to wear very comfortable. ecco shoes buy fit on Amazon. A lot cheaper ah!</v>
      </c>
    </row>
    <row r="800">
      <c r="A800" s="1">
        <v>5.0</v>
      </c>
      <c r="B800" s="1" t="s">
        <v>800</v>
      </c>
      <c r="C800" t="str">
        <f>IFERROR(__xludf.DUMMYFUNCTION("GOOGLETRANSLATE(B800, ""zh"", ""en"")"),"Very good, very satisfied strict, a little taste at all. Yes, the children are not afraid of throwing away equipment to dissolve the bean")</f>
        <v>Very good, very satisfied strict, a little taste at all. Yes, the children are not afraid of throwing away equipment to dissolve the bean</v>
      </c>
    </row>
    <row r="801">
      <c r="A801" s="1">
        <v>2.0</v>
      </c>
      <c r="B801" s="1" t="s">
        <v>801</v>
      </c>
      <c r="C801" t="str">
        <f>IFERROR(__xludf.DUMMYFUNCTION("GOOGLETRANSLATE(B801, ""zh"", ""en"")"),"Trademark did not wash a rub off on clothes just come back, rubbing a hand mark on out. Fabric can only say okay, you said a well-known trademark brand of clothes will not wash a rub off on you? Just a little disappointed.")</f>
        <v>Trademark did not wash a rub off on clothes just come back, rubbing a hand mark on out. Fabric can only say okay, you said a well-known trademark brand of clothes will not wash a rub off on you? Just a little disappointed.</v>
      </c>
    </row>
    <row r="802">
      <c r="A802" s="1">
        <v>3.0</v>
      </c>
      <c r="B802" s="1" t="s">
        <v>802</v>
      </c>
      <c r="C802" t="str">
        <f>IFERROR(__xludf.DUMMYFUNCTION("GOOGLETRANSLATE(B802, ""zh"", ""en"")"),"Not too satisfied with the goods and the domestic counter difference has dropped out of it")</f>
        <v>Not too satisfied with the goods and the domestic counter difference has dropped out of it</v>
      </c>
    </row>
    <row r="803">
      <c r="A803" s="1">
        <v>3.0</v>
      </c>
      <c r="B803" s="1" t="s">
        <v>803</v>
      </c>
      <c r="C803" t="str">
        <f>IFERROR(__xludf.DUMMYFUNCTION("GOOGLETRANSLATE(B803, ""zh"", ""en"")"),"172/65, S code fit good quality clothes, is to have a button rusty, a little after the removal of surface rust. After another washing a small cuff slightly damaged. The value of the faithful see if it is also so, overall are satisfied.")</f>
        <v>172/65, S code fit good quality clothes, is to have a button rusty, a little after the removal of surface rust. After another washing a small cuff slightly damaged. The value of the faithful see if it is also so, overall are satisfied.</v>
      </c>
    </row>
    <row r="804">
      <c r="A804" s="1">
        <v>1.0</v>
      </c>
      <c r="B804" s="1" t="s">
        <v>804</v>
      </c>
      <c r="C804" t="str">
        <f>IFERROR(__xludf.DUMMYFUNCTION("GOOGLETRANSLATE(B804, ""zh"", ""en"")"),"Kutong too, totally unsuitable for Kutong too, totally unsuitable")</f>
        <v>Kutong too, totally unsuitable for Kutong too, totally unsuitable</v>
      </c>
    </row>
    <row r="805">
      <c r="A805" s="1">
        <v>1.0</v>
      </c>
      <c r="B805" s="1" t="s">
        <v>805</v>
      </c>
      <c r="C805" t="str">
        <f>IFERROR(__xludf.DUMMYFUNCTION("GOOGLETRANSLATE(B805, ""zh"", ""en"")"),"Does not write well thought foreign pen to write, try not very good really, that there is no description of the diameter of the cartridge, the water is also poor, doing is not so cheap. Negative Ratings!")</f>
        <v>Does not write well thought foreign pen to write, try not very good really, that there is no description of the diameter of the cartridge, the water is also poor, doing is not so cheap. Negative Ratings!</v>
      </c>
    </row>
    <row r="806">
      <c r="A806" s="1">
        <v>1.0</v>
      </c>
      <c r="B806" s="1" t="s">
        <v>806</v>
      </c>
      <c r="C806" t="str">
        <f>IFERROR(__xludf.DUMMYFUNCTION("GOOGLETRANSLATE(B806, ""zh"", ""en"")"),"Machine translation is very poor silent, has been run up, Wacoal will not be the same size, translation unequal, nursing bras are not displayed on the page, show up on the order.")</f>
        <v>Machine translation is very poor silent, has been run up, Wacoal will not be the same size, translation unequal, nursing bras are not displayed on the page, show up on the order.</v>
      </c>
    </row>
    <row r="807">
      <c r="A807" s="1">
        <v>4.0</v>
      </c>
      <c r="B807" s="1" t="s">
        <v>807</v>
      </c>
      <c r="C807" t="str">
        <f>IFERROR(__xludf.DUMMYFUNCTION("GOOGLETRANSLATE(B807, ""zh"", ""en"")"),"Okay has bought entry-lossless player, but to be honest to enhance the contrast of fruit 6s little better players heard also heard with a computer, headset one of those good push. No type particularly good at it, as relatively balanced. Because the price "&amp;"is Nichia buy, so a lot cheaper compared to domestic. Overall satisfaction.")</f>
        <v>Okay has bought entry-lossless player, but to be honest to enhance the contrast of fruit 6s little better players heard also heard with a computer, headset one of those good push. No type particularly good at it, as relatively balanced. Because the price is Nichia buy, so a lot cheaper compared to domestic. Overall satisfaction.</v>
      </c>
    </row>
    <row r="808">
      <c r="A808" s="1">
        <v>4.0</v>
      </c>
      <c r="B808" s="1" t="s">
        <v>808</v>
      </c>
      <c r="C808" t="str">
        <f>IFERROR(__xludf.DUMMYFUNCTION("GOOGLETRANSLATE(B808, ""zh"", ""en"")"),"1. good quality products product introduction page color darker than the commodity, Phi butter quality, easy to care, does not apply to rain wear. 2. The lightweight, flexible sole. 3. The outsole slip, just adapted to send the elderly wear. 4. The produc"&amp;"tion date of 2017, the origin of Thailand. Delivery: international shipping easy to fully booked slower domestic distribution segment wind drops Bang Bang!")</f>
        <v>1. good quality products product introduction page color darker than the commodity, Phi butter quality, easy to care, does not apply to rain wear. 2. The lightweight, flexible sole. 3. The outsole slip, just adapted to send the elderly wear. 4. The production date of 2017, the origin of Thailand. Delivery: international shipping easy to fully booked slower domestic distribution segment wind drops Bang Bang!</v>
      </c>
    </row>
    <row r="809">
      <c r="A809" s="1">
        <v>4.0</v>
      </c>
      <c r="B809" s="1" t="s">
        <v>809</v>
      </c>
      <c r="C809" t="str">
        <f>IFERROR(__xludf.DUMMYFUNCTION("GOOGLETRANSLATE(B809, ""zh"", ""en"")"),"Okay. so so. Some fur clothes. No tag. Overall okay. This is a good buy after cotton. I feel this will play ball. I am saying that the production of glue Xiang on this dress hat? Xiang or someone else used to wipe up?")</f>
        <v>Okay. so so. Some fur clothes. No tag. Overall okay. This is a good buy after cotton. I feel this will play ball. I am saying that the production of glue Xiang on this dress hat? Xiang or someone else used to wipe up?</v>
      </c>
    </row>
    <row r="810">
      <c r="A810" s="1">
        <v>4.0</v>
      </c>
      <c r="B810" s="1" t="s">
        <v>810</v>
      </c>
      <c r="C810" t="str">
        <f>IFERROR(__xludf.DUMMYFUNCTION("GOOGLETRANSLATE(B810, ""zh"", ""en"")"),"Good quality very cute, very good quality")</f>
        <v>Good quality very cute, very good quality</v>
      </c>
    </row>
    <row r="811">
      <c r="A811" s="1">
        <v>4.0</v>
      </c>
      <c r="B811" s="1" t="s">
        <v>811</v>
      </c>
      <c r="C811" t="str">
        <f>IFERROR(__xludf.DUMMYFUNCTION("GOOGLETRANSLATE(B811, ""zh"", ""en"")"),"Why did not the origin engage in activities to buy, the price is actually relatively cheap, right size, leather and workmanship are good, the only left shoe is obviously bruised, but the packaging is not damaged. Amazon bought the product several times, d"&amp;"id not have a place of origin of goods, such a big platform or import goods actually not a mark of origin of goods.")</f>
        <v>Why did not the origin engage in activities to buy, the price is actually relatively cheap, right size, leather and workmanship are good, the only left shoe is obviously bruised, but the packaging is not damaged. Amazon bought the product several times, did not have a place of origin of goods, such a big platform or import goods actually not a mark of origin of goods.</v>
      </c>
    </row>
    <row r="812">
      <c r="A812" s="1">
        <v>5.0</v>
      </c>
      <c r="B812" s="1" t="s">
        <v>812</v>
      </c>
      <c r="C812" t="str">
        <f>IFERROR(__xludf.DUMMYFUNCTION("GOOGLETRANSLATE(B812, ""zh"", ""en"")"),"Shoe style is very nice, very simple like, originally white is my favorite color, this style can not be found in Hong Kong's major counters, Amazon must have thought, really did not expect to try on comfortable shoes after walking feeling to jump stand up"&amp;"! thumbs up!")</f>
        <v>Shoe style is very nice, very simple like, originally white is my favorite color, this style can not be found in Hong Kong's major counters, Amazon must have thought, really did not expect to try on comfortable shoes after walking feeling to jump stand up! thumbs up!</v>
      </c>
    </row>
    <row r="813">
      <c r="A813" s="1">
        <v>5.0</v>
      </c>
      <c r="B813" s="1" t="s">
        <v>813</v>
      </c>
      <c r="C813" t="str">
        <f>IFERROR(__xludf.DUMMYFUNCTION("GOOGLETRANSLATE(B813, ""zh"", ""en"")"),"It recommends larger than usual number One. Smaller than I imagined, but unfortunately bought back again. It recommends larger than usual number One.")</f>
        <v>It recommends larger than usual number One. Smaller than I imagined, but unfortunately bought back again. It recommends larger than usual number One.</v>
      </c>
    </row>
    <row r="814">
      <c r="A814" s="1">
        <v>5.0</v>
      </c>
      <c r="B814" s="1" t="s">
        <v>814</v>
      </c>
      <c r="C814" t="str">
        <f>IFERROR(__xludf.DUMMYFUNCTION("GOOGLETRANSLATE(B814, ""zh"", ""en"")"),"Good individually wrapped convenient, you can give a child with a school and then, six years old girl with a little face is a bit small")</f>
        <v>Good individually wrapped convenient, you can give a child with a school and then, six years old girl with a little face is a bit small</v>
      </c>
    </row>
    <row r="815">
      <c r="A815" s="1">
        <v>5.0</v>
      </c>
      <c r="B815" s="1" t="s">
        <v>815</v>
      </c>
      <c r="C815" t="str">
        <f>IFERROR(__xludf.DUMMYFUNCTION("GOOGLETRANSLATE(B815, ""zh"", ""en"")"),"Yes, supermarket contrast, currently not seen the same paragraph. Foreign goods abroad is good, my husband liked, so be sure to praise")</f>
        <v>Yes, supermarket contrast, currently not seen the same paragraph. Foreign goods abroad is good, my husband liked, so be sure to praise</v>
      </c>
    </row>
    <row r="816">
      <c r="A816" s="1">
        <v>5.0</v>
      </c>
      <c r="B816" s="1" t="s">
        <v>816</v>
      </c>
      <c r="C816" t="str">
        <f>IFERROR(__xludf.DUMMYFUNCTION("GOOGLETRANSLATE(B816, ""zh"", ""en"")"),"Children are satisfied, plan a realistic worry, to be a trial.")</f>
        <v>Children are satisfied, plan a realistic worry, to be a trial.</v>
      </c>
    </row>
    <row r="817">
      <c r="A817" s="1">
        <v>5.0</v>
      </c>
      <c r="B817" s="1" t="s">
        <v>817</v>
      </c>
      <c r="C817" t="str">
        <f>IFERROR(__xludf.DUMMYFUNCTION("GOOGLETRANSLATE(B817, ""zh"", ""en"")"),"I do not know how to quality fabrics feel good")</f>
        <v>I do not know how to quality fabrics feel good</v>
      </c>
    </row>
    <row r="818">
      <c r="A818" s="1">
        <v>5.0</v>
      </c>
      <c r="B818" s="1" t="s">
        <v>818</v>
      </c>
      <c r="C818" t="str">
        <f>IFERROR(__xludf.DUMMYFUNCTION("GOOGLETRANSLATE(B818, ""zh"", ""en"")"),"P family loyalty powder! P family loyalty powder, bought all the birds and other brands like rats, and other work aside in terms of brand, P home version is best for me, especially perfect self-cultivation, a little unlike other brands of outdoor clothing"&amp;" stupid silly large, 163,53 kg, feel perfect to wear XS, S is also OK, XS seems better and more self-cultivation, the S is also a receipt, good price thanks to Amazon, thank you!")</f>
        <v>P family loyalty powder! P family loyalty powder, bought all the birds and other brands like rats, and other work aside in terms of brand, P home version is best for me, especially perfect self-cultivation, a little unlike other brands of outdoor clothing stupid silly large, 163,53 kg, feel perfect to wear XS, S is also OK, XS seems better and more self-cultivation, the S is also a receipt, good price thanks to Amazon, thank you!</v>
      </c>
    </row>
    <row r="819">
      <c r="A819" s="1">
        <v>5.0</v>
      </c>
      <c r="B819" s="1" t="s">
        <v>819</v>
      </c>
      <c r="C819" t="str">
        <f>IFERROR(__xludf.DUMMYFUNCTION("GOOGLETRANSLATE(B819, ""zh"", ""en"")"),"In love from the Amazon to buy a second double Cage, domestic Di agriculture feet 40, Amazon has 38.5 SKECHERS domestic counter is not half so buy the right code. Before the classic black and white panda shoes, knee protection is very good, cushioning. Th"&amp;"is pair of insoles with memory cool, so they feel more higher than the panda shoes. There is the color color, physical partial brownish gray, not a partial picture of pink. But it is good-looking, light legs significant leg length. Super love amazon sea A"&amp;"moy Cage, inexpensive")</f>
        <v>In love from the Amazon to buy a second double Cage, domestic Di agriculture feet 40, Amazon has 38.5 SKECHERS domestic counter is not half so buy the right code. Before the classic black and white panda shoes, knee protection is very good, cushioning. This pair of insoles with memory cool, so they feel more higher than the panda shoes. There is the color color, physical partial brownish gray, not a partial picture of pink. But it is good-looking, light legs significant leg length. Super love amazon sea Amoy Cage, inexpensive</v>
      </c>
    </row>
    <row r="820">
      <c r="A820" s="1">
        <v>5.0</v>
      </c>
      <c r="B820" s="1" t="s">
        <v>820</v>
      </c>
      <c r="C820" t="str">
        <f>IFERROR(__xludf.DUMMYFUNCTION("GOOGLETRANSLATE(B820, ""zh"", ""en"")"),"Price concessions, texture is also good this price in the country can not buy this quality, made in India.")</f>
        <v>Price concessions, texture is also good this price in the country can not buy this quality, made in India.</v>
      </c>
    </row>
    <row r="821">
      <c r="A821" s="1">
        <v>5.0</v>
      </c>
      <c r="B821" s="1" t="s">
        <v>821</v>
      </c>
      <c r="C821" t="str">
        <f>IFERROR(__xludf.DUMMYFUNCTION("GOOGLETRANSLATE(B821, ""zh"", ""en"")"),"It is very good value for money watch. It comes with light waves waves. very convenient.")</f>
        <v>It is very good value for money watch. It comes with light waves waves. very convenient.</v>
      </c>
    </row>
    <row r="822">
      <c r="A822" s="1">
        <v>5.0</v>
      </c>
      <c r="B822" s="1" t="s">
        <v>822</v>
      </c>
      <c r="C822" t="str">
        <f>IFERROR(__xludf.DUMMYFUNCTION("GOOGLETRANSLATE(B822, ""zh"", ""en"")"),"Nice hat nice hat, like pictures, very pink positive, youthful camp")</f>
        <v>Nice hat nice hat, like pictures, very pink positive, youthful camp</v>
      </c>
    </row>
    <row r="823">
      <c r="A823" s="1">
        <v>5.0</v>
      </c>
      <c r="B823" s="1" t="s">
        <v>823</v>
      </c>
      <c r="C823" t="str">
        <f>IFERROR(__xludf.DUMMYFUNCTION("GOOGLETRANSLATE(B823, ""zh"", ""en"")"),"Good stuff good quality. Without regard returned.")</f>
        <v>Good stuff good quality. Without regard returned.</v>
      </c>
    </row>
    <row r="824">
      <c r="A824" s="1">
        <v>5.0</v>
      </c>
      <c r="B824" s="1" t="s">
        <v>824</v>
      </c>
      <c r="C824" t="str">
        <f>IFERROR(__xludf.DUMMYFUNCTION("GOOGLETRANSLATE(B824, ""zh"", ""en"")"),"This is very good after one month postpartum, the yard can not be used. Overall very good to wear, comfortable, do not tie a corset belt and pelvic girdle.")</f>
        <v>This is very good after one month postpartum, the yard can not be used. Overall very good to wear, comfortable, do not tie a corset belt and pelvic girdle.</v>
      </c>
    </row>
    <row r="825">
      <c r="A825" s="1">
        <v>5.0</v>
      </c>
      <c r="B825" s="1" t="s">
        <v>825</v>
      </c>
      <c r="C825" t="str">
        <f>IFERROR(__xludf.DUMMYFUNCTION("GOOGLETRANSLATE(B825, ""zh"", ""en"")"),"Cost-effective, like the baby six months teething baby very much, holding gnawing away at various angles turns conversion. The smell of bananas than that section of small, water washed a little with open blisters, dry day basically no flavor.")</f>
        <v>Cost-effective, like the baby six months teething baby very much, holding gnawing away at various angles turns conversion. The smell of bananas than that section of small, water washed a little with open blisters, dry day basically no flavor.</v>
      </c>
    </row>
    <row r="826">
      <c r="A826" s="1">
        <v>5.0</v>
      </c>
      <c r="B826" s="1" t="s">
        <v>826</v>
      </c>
      <c r="C826" t="str">
        <f>IFERROR(__xludf.DUMMYFUNCTION("GOOGLETRANSLATE(B826, ""zh"", ""en"")"),"Very good black and white ash like size is also very appropriate")</f>
        <v>Very good black and white ash like size is also very appropriate</v>
      </c>
    </row>
    <row r="827">
      <c r="A827" s="1">
        <v>5.0</v>
      </c>
      <c r="B827" s="1" t="s">
        <v>827</v>
      </c>
      <c r="C827" t="str">
        <f>IFERROR(__xludf.DUMMYFUNCTION("GOOGLETRANSLATE(B827, ""zh"", ""en"")"),"Bought the first four ... April 5, 2017, 804.96, this version of the plug adapter needs a bit of trouble. Twenty-three Taiwan November 27, 2017, 625.27, this version would not start the adapter, it is easy to plug directly. Radio 4 January 10, 2018, 624.8"&amp;"9, supra, historical price has never been caught. Tips in case of release capsule capsules care throw the trash, you can go search Ma asked to buy a capsule, Amazon and Nestle official sale Delong not this accessory.")</f>
        <v>Bought the first four ... April 5, 2017, 804.96, this version of the plug adapter needs a bit of trouble. Twenty-three Taiwan November 27, 2017, 625.27, this version would not start the adapter, it is easy to plug directly. Radio 4 January 10, 2018, 624.89, supra, historical price has never been caught. Tips in case of release capsule capsules care throw the trash, you can go search Ma asked to buy a capsule, Amazon and Nestle official sale Delong not this accessory.</v>
      </c>
    </row>
    <row r="828">
      <c r="A828" s="1">
        <v>5.0</v>
      </c>
      <c r="B828" s="1" t="s">
        <v>828</v>
      </c>
      <c r="C828" t="str">
        <f>IFERROR(__xludf.DUMMYFUNCTION("GOOGLETRANSLATE(B828, ""zh"", ""en"")"),"Very good. . . . Cool. . . Good insulation")</f>
        <v>Very good. . . . Cool. . . Good insulation</v>
      </c>
    </row>
    <row r="829">
      <c r="A829" s="1">
        <v>5.0</v>
      </c>
      <c r="B829" s="1" t="s">
        <v>829</v>
      </c>
      <c r="C829" t="str">
        <f>IFERROR(__xludf.DUMMYFUNCTION("GOOGLETRANSLATE(B829, ""zh"", ""en"")"),"Good merchandise shower head is relatively small, but the water still is to force .... perfect")</f>
        <v>Good merchandise shower head is relatively small, but the water still is to force .... perfect</v>
      </c>
    </row>
    <row r="830">
      <c r="A830" s="1">
        <v>5.0</v>
      </c>
      <c r="B830" s="1" t="s">
        <v>830</v>
      </c>
      <c r="C830" t="str">
        <f>IFERROR(__xludf.DUMMYFUNCTION("GOOGLETRANSLATE(B830, ""zh"", ""en"")"),"good, very good")</f>
        <v>good, very good</v>
      </c>
    </row>
    <row r="831">
      <c r="A831" s="1">
        <v>5.0</v>
      </c>
      <c r="B831" s="1" t="s">
        <v>831</v>
      </c>
      <c r="C831" t="str">
        <f>IFERROR(__xludf.DUMMYFUNCTION("GOOGLETRANSLATE(B831, ""zh"", ""en"")"),"Ok more cost-effective to buy than their single, self-employed is a good")</f>
        <v>Ok more cost-effective to buy than their single, self-employed is a good</v>
      </c>
    </row>
    <row r="832">
      <c r="A832" s="1">
        <v>5.0</v>
      </c>
      <c r="B832" s="1" t="s">
        <v>832</v>
      </c>
      <c r="C832" t="str">
        <f>IFERROR(__xludf.DUMMYFUNCTION("GOOGLETRANSLATE(B832, ""zh"", ""en"")"),"Very good, cost-effective like the taste, I knew the sound of an open buy the right. In contrast, my k3003 do not want to be listened to.")</f>
        <v>Very good, cost-effective like the taste, I knew the sound of an open buy the right. In contrast, my k3003 do not want to be listened to.</v>
      </c>
    </row>
    <row r="833">
      <c r="A833" s="1">
        <v>2.0</v>
      </c>
      <c r="B833" s="1" t="s">
        <v>833</v>
      </c>
      <c r="C833" t="str">
        <f>IFERROR(__xludf.DUMMYFUNCTION("GOOGLETRANSLATE(B833, ""zh"", ""en"")"),"Not suitable for transport which did not open the bottle sealing caps are virtual cover, sprinkle half.")</f>
        <v>Not suitable for transport which did not open the bottle sealing caps are virtual cover, sprinkle half.</v>
      </c>
    </row>
    <row r="834">
      <c r="A834" s="1">
        <v>3.0</v>
      </c>
      <c r="B834" s="1" t="s">
        <v>834</v>
      </c>
      <c r="C834" t="str">
        <f>IFERROR(__xludf.DUMMYFUNCTION("GOOGLETRANSLATE(B834, ""zh"", ""en"")"),"Multi-thread not very good! Bangladesh produced, multi-thread, multi-thread! Very general ...")</f>
        <v>Multi-thread not very good! Bangladesh produced, multi-thread, multi-thread! Very general ...</v>
      </c>
    </row>
    <row r="835">
      <c r="A835" s="1">
        <v>3.0</v>
      </c>
      <c r="B835" s="1" t="s">
        <v>835</v>
      </c>
      <c r="C835" t="str">
        <f>IFERROR(__xludf.DUMMYFUNCTION("GOOGLETRANSLATE(B835, ""zh"", ""en"")"),"Grandmother type of underwear, comfortable based. Version bit strange, grandma section.")</f>
        <v>Grandmother type of underwear, comfortable based. Version bit strange, grandma section.</v>
      </c>
    </row>
    <row r="836">
      <c r="A836" s="1">
        <v>3.0</v>
      </c>
      <c r="B836" s="1" t="s">
        <v>836</v>
      </c>
      <c r="C836" t="str">
        <f>IFERROR(__xludf.DUMMYFUNCTION("GOOGLETRANSLATE(B836, ""zh"", ""en"")"),"Uncomfortable fabric is really bad, not comfortable, do not recommend buying")</f>
        <v>Uncomfortable fabric is really bad, not comfortable, do not recommend buying</v>
      </c>
    </row>
    <row r="837">
      <c r="A837" s="1">
        <v>1.0</v>
      </c>
      <c r="B837" s="1" t="s">
        <v>837</v>
      </c>
      <c r="C837" t="str">
        <f>IFERROR(__xludf.DUMMYFUNCTION("GOOGLETRANSLATE(B837, ""zh"", ""en"")"),"Not recommended to buy a sub-price goods. This is cheap, but the quality is not good, is the kind of relatively coarse cotton.")</f>
        <v>Not recommended to buy a sub-price goods. This is cheap, but the quality is not good, is the kind of relatively coarse cotton.</v>
      </c>
    </row>
    <row r="838">
      <c r="A838" s="1">
        <v>1.0</v>
      </c>
      <c r="B838" s="1" t="s">
        <v>838</v>
      </c>
      <c r="C838" t="str">
        <f>IFERROR(__xludf.DUMMYFUNCTION("GOOGLETRANSLATE(B838, ""zh"", ""en"")"),"Failure of shopping very dissatisfied ...... bought only a few months a few times and it broke! Abnormal sound and then turned around and turn no more, no warranty Meiya domestic direct mail, sent to the whole country at their own expense to repair points"&amp;" to repair, plus repair cost several hundred for parts, can not figure out how quality is so poor ......")</f>
        <v>Failure of shopping very dissatisfied ...... bought only a few months a few times and it broke! Abnormal sound and then turned around and turn no more, no warranty Meiya domestic direct mail, sent to the whole country at their own expense to repair points to repair, plus repair cost several hundred for parts, can not figure out how quality is so poor ......</v>
      </c>
    </row>
    <row r="839">
      <c r="A839" s="1">
        <v>4.0</v>
      </c>
      <c r="B839" s="1" t="s">
        <v>839</v>
      </c>
      <c r="C839" t="str">
        <f>IFERROR(__xludf.DUMMYFUNCTION("GOOGLETRANSLATE(B839, ""zh"", ""en"")"),"It can be a little too sweet, but quite tasty. You must use shake cup.")</f>
        <v>It can be a little too sweet, but quite tasty. You must use shake cup.</v>
      </c>
    </row>
    <row r="840">
      <c r="A840" s="1">
        <v>4.0</v>
      </c>
      <c r="B840" s="1" t="s">
        <v>840</v>
      </c>
      <c r="C840" t="str">
        <f>IFERROR(__xludf.DUMMYFUNCTION("GOOGLETRANSLATE(B840, ""zh"", ""en"")"),"Larger size is too large, relative to other paragraphs, this price is the highest, best quality, is only relative.")</f>
        <v>Larger size is too large, relative to other paragraphs, this price is the highest, best quality, is only relative.</v>
      </c>
    </row>
    <row r="841">
      <c r="A841" s="1">
        <v>4.0</v>
      </c>
      <c r="B841" s="1" t="s">
        <v>841</v>
      </c>
      <c r="C841" t="str">
        <f>IFERROR(__xludf.DUMMYFUNCTION("GOOGLETRANSLATE(B841, ""zh"", ""en"")"),"175/72 were satisfied, pants fit, fabric more rigid and thin, not cotton cloth on both sides of his trousers, summer wear sweat more will feel uncomfortable, wearing no significant self-cultivation.")</f>
        <v>175/72 were satisfied, pants fit, fabric more rigid and thin, not cotton cloth on both sides of his trousers, summer wear sweat more will feel uncomfortable, wearing no significant self-cultivation.</v>
      </c>
    </row>
    <row r="842">
      <c r="A842" s="1">
        <v>4.0</v>
      </c>
      <c r="B842" s="1" t="s">
        <v>842</v>
      </c>
      <c r="C842" t="str">
        <f>IFERROR(__xludf.DUMMYFUNCTION("GOOGLETRANSLATE(B842, ""zh"", ""en"")"),"Very comfortable to wear, size in line with expectations fabrics are elastic, wear very comfortable. Rates do not know if expensive. By the way, if there is 36L of the better")</f>
        <v>Very comfortable to wear, size in line with expectations fabrics are elastic, wear very comfortable. Rates do not know if expensive. By the way, if there is 36L of the better</v>
      </c>
    </row>
    <row r="843">
      <c r="A843" s="1">
        <v>4.0</v>
      </c>
      <c r="B843" s="1" t="s">
        <v>843</v>
      </c>
      <c r="C843" t="str">
        <f>IFERROR(__xludf.DUMMYFUNCTION("GOOGLETRANSLATE(B843, ""zh"", ""en"")"),"Slightly larger than a little too big, but good quality")</f>
        <v>Slightly larger than a little too big, but good quality</v>
      </c>
    </row>
    <row r="844">
      <c r="A844" s="1">
        <v>5.0</v>
      </c>
      <c r="B844" s="1" t="s">
        <v>844</v>
      </c>
      <c r="C844" t="str">
        <f>IFERROR(__xludf.DUMMYFUNCTION("GOOGLETRANSLATE(B844, ""zh"", ""en"")"),"Good-looking, good-looking uncomfortable it is really nice, but the walk is too strenuous. Also wear heels, ankle also wear, wearing thick socks can withstand some not so painful, but still a little uncomfortable. The end of a little hard, that does not s"&amp;"eem to raw rubber-soled soft.")</f>
        <v>Good-looking, good-looking uncomfortable it is really nice, but the walk is too strenuous. Also wear heels, ankle also wear, wearing thick socks can withstand some not so painful, but still a little uncomfortable. The end of a little hard, that does not seem to raw rubber-soled soft.</v>
      </c>
    </row>
    <row r="845">
      <c r="A845" s="1">
        <v>5.0</v>
      </c>
      <c r="B845" s="1" t="s">
        <v>845</v>
      </c>
      <c r="C845" t="str">
        <f>IFERROR(__xludf.DUMMYFUNCTION("GOOGLETRANSLATE(B845, ""zh"", ""en"")"),"Fit fit, or like this size, there is waist long legs, buy online less prone to error, cloth style with almost 501")</f>
        <v>Fit fit, or like this size, there is waist long legs, buy online less prone to error, cloth style with almost 501</v>
      </c>
    </row>
    <row r="846">
      <c r="A846" s="1">
        <v>5.0</v>
      </c>
      <c r="B846" s="1" t="s">
        <v>846</v>
      </c>
      <c r="C846" t="str">
        <f>IFERROR(__xludf.DUMMYFUNCTION("GOOGLETRANSLATE(B846, ""zh"", ""en"")"),"Do not you see the good, the Yellow River water to the sky, rushing to the sea never to return. Do not you see, Kodo mirror sad hair, such as black hair toward twilight into the snow. Life is proud to be thoroughly enjoyed themselves, let a Jinzun air-to-"&amp;"month. I'm Born with, daughter cleared up again. Sheep slaughtering and cooking for fun, will have to drink a cup three hundred. Cen Master, Danqiu Sheng, cursive, cups stop. And the king of a song, please the king I Qinger listen. Less than three hundred"&amp;" bowls of your hopefully long drunk no longer wake up. Chen Wang yore feast Pingle, Doujiu than ten kilo unbridled joy ridiculed. What is less money made by the owner, taking the path to be put monarch discretion. Streaky horse, daughter Jo, children will"&amp;" call out for wine, and Seoul with sales eternal sorrow.")</f>
        <v>Do not you see the good, the Yellow River water to the sky, rushing to the sea never to return. Do not you see, Kodo mirror sad hair, such as black hair toward twilight into the snow. Life is proud to be thoroughly enjoyed themselves, let a Jinzun air-to-month. I'm Born with, daughter cleared up again. Sheep slaughtering and cooking for fun, will have to drink a cup three hundred. Cen Master, Danqiu Sheng, cursive, cups stop. And the king of a song, please the king I Qinger listen. Less than three hundred bowls of your hopefully long drunk no longer wake up. Chen Wang yore feast Pingle, Doujiu than ten kilo unbridled joy ridiculed. What is less money made by the owner, taking the path to be put monarch discretion. Streaky horse, daughter Jo, children will call out for wine, and Seoul with sales eternal sorrow.</v>
      </c>
    </row>
    <row r="847">
      <c r="A847" s="1">
        <v>5.0</v>
      </c>
      <c r="B847" s="1" t="s">
        <v>847</v>
      </c>
      <c r="C847" t="str">
        <f>IFERROR(__xludf.DUMMYFUNCTION("GOOGLETRANSLATE(B847, ""zh"", ""en"")"),"Value for money value for money, more convenient to use.")</f>
        <v>Value for money value for money, more convenient to use.</v>
      </c>
    </row>
    <row r="848">
      <c r="A848" s="1">
        <v>5.0</v>
      </c>
      <c r="B848" s="1" t="s">
        <v>848</v>
      </c>
      <c r="C848" t="str">
        <f>IFERROR(__xludf.DUMMYFUNCTION("GOOGLETRANSLATE(B848, ""zh"", ""en"")"),"Very, very good, cheap and cost-effective")</f>
        <v>Very, very good, cheap and cost-effective</v>
      </c>
    </row>
    <row r="849">
      <c r="A849" s="1">
        <v>5.0</v>
      </c>
      <c r="B849" s="1" t="s">
        <v>849</v>
      </c>
      <c r="C849" t="str">
        <f>IFERROR(__xludf.DUMMYFUNCTION("GOOGLETRANSLATE(B849, ""zh"", ""en"")"),"Because the high cost looked comment so buy a smaller size really the right size thanks to friends, after all, can comment on the quality of too many demands nothing cheap")</f>
        <v>Because the high cost looked comment so buy a smaller size really the right size thanks to friends, after all, can comment on the quality of too many demands nothing cheap</v>
      </c>
    </row>
    <row r="850">
      <c r="A850" s="1">
        <v>5.0</v>
      </c>
      <c r="B850" s="1" t="s">
        <v>850</v>
      </c>
      <c r="C850" t="str">
        <f>IFERROR(__xludf.DUMMYFUNCTION("GOOGLETRANSLATE(B850, ""zh"", ""en"")"),"This home is enough? Household enough, more than enough accessories. Amazon's service is good, not bb direct 50% discount.")</f>
        <v>This home is enough? Household enough, more than enough accessories. Amazon's service is good, not bb direct 50% discount.</v>
      </c>
    </row>
    <row r="851">
      <c r="A851" s="1">
        <v>5.0</v>
      </c>
      <c r="B851" s="1" t="s">
        <v>851</v>
      </c>
      <c r="C851" t="str">
        <f>IFERROR(__xludf.DUMMYFUNCTION("GOOGLETRANSLATE(B851, ""zh"", ""en"")"),"Amazon Japan direct mail is praise! Have been using Zojirushi mug are purchased at the business office before purchasing. Now buy Japanese direct mail overseas by Amazon, the price is much cost-effective, and very assured that their families are very fond"&amp;" of!")</f>
        <v>Amazon Japan direct mail is praise! Have been using Zojirushi mug are purchased at the business office before purchasing. Now buy Japanese direct mail overseas by Amazon, the price is much cost-effective, and very assured that their families are very fond of!</v>
      </c>
    </row>
    <row r="852">
      <c r="A852" s="1">
        <v>5.0</v>
      </c>
      <c r="B852" s="1" t="s">
        <v>852</v>
      </c>
      <c r="C852" t="str">
        <f>IFERROR(__xludf.DUMMYFUNCTION("GOOGLETRANSLATE(B852, ""zh"", ""en"")"),"Good cost-effective, cost-effective. Back milk essential?")</f>
        <v>Good cost-effective, cost-effective. Back milk essential?</v>
      </c>
    </row>
    <row r="853">
      <c r="A853" s="1">
        <v>5.0</v>
      </c>
      <c r="B853" s="1" t="s">
        <v>853</v>
      </c>
      <c r="C853" t="str">
        <f>IFERROR(__xludf.DUMMYFUNCTION("GOOGLETRANSLATE(B853, ""zh"", ""en"")"),"Lightweight and easy to use, very fond of non-stick ~")</f>
        <v>Lightweight and easy to use, very fond of non-stick ~</v>
      </c>
    </row>
    <row r="854">
      <c r="A854" s="1">
        <v>5.0</v>
      </c>
      <c r="B854" s="1" t="s">
        <v>854</v>
      </c>
      <c r="C854" t="str">
        <f>IFERROR(__xludf.DUMMYFUNCTION("GOOGLETRANSLATE(B854, ""zh"", ""en"")"),"Like, absolute value of value ah, less than 450 hand. A thin coat with a velvet liner slip Mianbao. Work great. Ouma size is always a little too large. 166cm / 62kg, wear sleeve M code a little bit large, other parts of the fitting, in particular worn lin"&amp;"er super fit. Style is also very good, although the waist, but very long or hem opening, the stomach can wear a little, do not pick the body. Add that recently went to Europe with the coat, the Mediterranean region catch up with the rainy season, but also"&amp;" a little rain test performance, easy to use")</f>
        <v>Like, absolute value of value ah, less than 450 hand. A thin coat with a velvet liner slip Mianbao. Work great. Ouma size is always a little too large. 166cm / 62kg, wear sleeve M code a little bit large, other parts of the fitting, in particular worn liner super fit. Style is also very good, although the waist, but very long or hem opening, the stomach can wear a little, do not pick the body. Add that recently went to Europe with the coat, the Mediterranean region catch up with the rainy season, but also a little rain test performance, easy to use</v>
      </c>
    </row>
    <row r="855">
      <c r="A855" s="1">
        <v>5.0</v>
      </c>
      <c r="B855" s="1" t="s">
        <v>855</v>
      </c>
      <c r="C855" t="str">
        <f>IFERROR(__xludf.DUMMYFUNCTION("GOOGLETRANSLATE(B855, ""zh"", ""en"")"),"Good 178cm / 73kg, m the right number, but price changes too fast, just bought on price cuts. The fabric is thin, suitable for spring and summer block the wind and rain, feeling a little static electricity.")</f>
        <v>Good 178cm / 73kg, m the right number, but price changes too fast, just bought on price cuts. The fabric is thin, suitable for spring and summer block the wind and rain, feeling a little static electricity.</v>
      </c>
    </row>
    <row r="856">
      <c r="A856" s="1">
        <v>5.0</v>
      </c>
      <c r="B856" s="1" t="s">
        <v>856</v>
      </c>
      <c r="C856" t="str">
        <f>IFERROR(__xludf.DUMMYFUNCTION("GOOGLETRANSLATE(B856, ""zh"", ""en"")"),"Good good microprojectiles, according to the size of the table to buy the right size, is also very good pant")</f>
        <v>Good good microprojectiles, according to the size of the table to buy the right size, is also very good pant</v>
      </c>
    </row>
    <row r="857">
      <c r="A857" s="1">
        <v>5.0</v>
      </c>
      <c r="B857" s="1" t="s">
        <v>857</v>
      </c>
      <c r="C857" t="str">
        <f>IFERROR(__xludf.DUMMYFUNCTION("GOOGLETRANSLATE(B857, ""zh"", ""en"")"),"Effective storage capacity is indeed small, but effective")</f>
        <v>Effective storage capacity is indeed small, but effective</v>
      </c>
    </row>
    <row r="858">
      <c r="A858" s="1">
        <v>5.0</v>
      </c>
      <c r="B858" s="1" t="s">
        <v>858</v>
      </c>
      <c r="C858" t="str">
        <f>IFERROR(__xludf.DUMMYFUNCTION("GOOGLETRANSLATE(B858, ""zh"", ""en"")"),"Inseam what quality are good, that is, longer legs. The size of the live ah. Obviously in accordance with the size of the amount, the feeling should choose a smaller size.")</f>
        <v>Inseam what quality are good, that is, longer legs. The size of the live ah. Obviously in accordance with the size of the amount, the feeling should choose a smaller size.</v>
      </c>
    </row>
    <row r="859">
      <c r="A859" s="1">
        <v>5.0</v>
      </c>
      <c r="B859" s="1" t="s">
        <v>859</v>
      </c>
      <c r="C859" t="str">
        <f>IFERROR(__xludf.DUMMYFUNCTION("GOOGLETRANSLATE(B859, ""zh"", ""en"")"),"It may also be solar charging is still very useful. But always take office, it suggests normal cells more appropriate. Shenzhen has been unable to receive waves, but normal use is not forced.")</f>
        <v>It may also be solar charging is still very useful. But always take office, it suggests normal cells more appropriate. Shenzhen has been unable to receive waves, but normal use is not forced.</v>
      </c>
    </row>
    <row r="860">
      <c r="A860" s="1">
        <v>5.0</v>
      </c>
      <c r="B860" s="1" t="s">
        <v>860</v>
      </c>
      <c r="C860" t="str">
        <f>IFERROR(__xludf.DUMMYFUNCTION("GOOGLETRANSLATE(B860, ""zh"", ""en"")"),"Good cost-effective")</f>
        <v>Good cost-effective</v>
      </c>
    </row>
    <row r="861">
      <c r="A861" s="1">
        <v>5.0</v>
      </c>
      <c r="B861" s="1" t="s">
        <v>861</v>
      </c>
      <c r="C861" t="str">
        <f>IFERROR(__xludf.DUMMYFUNCTION("GOOGLETRANSLATE(B861, ""zh"", ""en"")"),"Very good, that is a very good buying price, packaging intact, it should be new, not verify genuine, very satisfied Amoy first overseas, will often buy, buying on price is a little unhappy")</f>
        <v>Very good, that is a very good buying price, packaging intact, it should be new, not verify genuine, very satisfied Amoy first overseas, will often buy, buying on price is a little unhappy</v>
      </c>
    </row>
    <row r="862">
      <c r="A862" s="1">
        <v>5.0</v>
      </c>
      <c r="B862" s="1" t="s">
        <v>862</v>
      </c>
      <c r="C862" t="str">
        <f>IFERROR(__xludf.DUMMYFUNCTION("GOOGLETRANSLATE(B862, ""zh"", ""en"")"),"nice jean with a fair price, but the size is a some small like title")</f>
        <v>nice jean with a fair price, but the size is a some small like title</v>
      </c>
    </row>
    <row r="863">
      <c r="A863" s="1">
        <v>5.0</v>
      </c>
      <c r="B863" s="1" t="s">
        <v>863</v>
      </c>
      <c r="C863" t="str">
        <f>IFERROR(__xludf.DUMMYFUNCTION("GOOGLETRANSLATE(B863, ""zh"", ""en"")"),"Easy to use it is very good although there are flaws lid over nine hundred people floating reference price")</f>
        <v>Easy to use it is very good although there are flaws lid over nine hundred people floating reference price</v>
      </c>
    </row>
    <row r="864">
      <c r="A864" s="1">
        <v>5.0</v>
      </c>
      <c r="B864" s="1" t="s">
        <v>864</v>
      </c>
      <c r="C864" t="str">
        <f>IFERROR(__xludf.DUMMYFUNCTION("GOOGLETRANSLATE(B864, ""zh"", ""en"")"),"Charging specification writing really good garbage ...... not automatically return to the charging base charge, a little tasteless. Has been flashing red light when charging, loud music every few seconds is how is it?")</f>
        <v>Charging specification writing really good garbage ...... not automatically return to the charging base charge, a little tasteless. Has been flashing red light when charging, loud music every few seconds is how is it?</v>
      </c>
    </row>
    <row r="865">
      <c r="A865" s="1">
        <v>5.0</v>
      </c>
      <c r="B865" s="1" t="s">
        <v>865</v>
      </c>
      <c r="C865" t="str">
        <f>IFERROR(__xludf.DUMMYFUNCTION("GOOGLETRANSLATE(B865, ""zh"", ""en"")"),"Good very suitable, 70 bitter, 184c m")</f>
        <v>Good very suitable, 70 bitter, 184c m</v>
      </c>
    </row>
    <row r="866">
      <c r="A866" s="1">
        <v>2.0</v>
      </c>
      <c r="B866" s="1" t="s">
        <v>866</v>
      </c>
      <c r="C866" t="str">
        <f>IFERROR(__xludf.DUMMYFUNCTION("GOOGLETRANSLATE(B866, ""zh"", ""en"")"),"Packaging is damaged, I do not know courier goods are not genuine open the box, the top two caps are broken, people feel good, but also to prevent the collision box filler, how caps are also broken, do not know the quality of goods may not be reliable")</f>
        <v>Packaging is damaged, I do not know courier goods are not genuine open the box, the top two caps are broken, people feel good, but also to prevent the collision box filler, how caps are also broken, do not know the quality of goods may not be reliable</v>
      </c>
    </row>
    <row r="867">
      <c r="A867" s="1">
        <v>3.0</v>
      </c>
      <c r="B867" s="1" t="s">
        <v>867</v>
      </c>
      <c r="C867" t="str">
        <f>IFERROR(__xludf.DUMMYFUNCTION("GOOGLETRANSLATE(B867, ""zh"", ""en"")"),"Vietnamese general feeling of material generally color slightly lighter than the picture shows that I usually buy domestic 1.73 M No. 175 / 96A of wearing a little tight spot")</f>
        <v>Vietnamese general feeling of material generally color slightly lighter than the picture shows that I usually buy domestic 1.73 M No. 175 / 96A of wearing a little tight spot</v>
      </c>
    </row>
    <row r="868">
      <c r="A868" s="1">
        <v>3.0</v>
      </c>
      <c r="B868" s="1" t="s">
        <v>868</v>
      </c>
      <c r="C868" t="str">
        <f>IFERROR(__xludf.DUMMYFUNCTION("GOOGLETRANSLATE(B868, ""zh"", ""en"")"),"Chinese people in accordance with the size of the Amazon Size, come to the desired size with a tape measure, goods received full big about two yards. Chinese people personally measure proposed purchase two sizes smaller than the size of pants. Fabric is v"&amp;"ery comfortable, due to higher costs to return, reclaim the. Sea Amoy purchasing clothing footwear class people need to remain cautious.")</f>
        <v>Chinese people in accordance with the size of the Amazon Size, come to the desired size with a tape measure, goods received full big about two yards. Chinese people personally measure proposed purchase two sizes smaller than the size of pants. Fabric is very comfortable, due to higher costs to return, reclaim the. Sea Amoy purchasing clothing footwear class people need to remain cautious.</v>
      </c>
    </row>
    <row r="869">
      <c r="A869" s="1">
        <v>1.0</v>
      </c>
      <c r="B869" s="1" t="s">
        <v>869</v>
      </c>
      <c r="C869" t="str">
        <f>IFERROR(__xludf.DUMMYFUNCTION("GOOGLETRANSLATE(B869, ""zh"", ""en"")"),"Bought to wear open plastic shoes from less than five times, the shoes open plastic circle, powerful!")</f>
        <v>Bought to wear open plastic shoes from less than five times, the shoes open plastic circle, powerful!</v>
      </c>
    </row>
    <row r="870">
      <c r="A870" s="1">
        <v>1.0</v>
      </c>
      <c r="B870" s="1" t="s">
        <v>870</v>
      </c>
      <c r="C870" t="str">
        <f>IFERROR(__xludf.DUMMYFUNCTION("GOOGLETRANSLATE(B870, ""zh"", ""en"")"),"And pictures of different system and not the same picture, not the leather lining is mesh cloth!")</f>
        <v>And pictures of different system and not the same picture, not the leather lining is mesh cloth!</v>
      </c>
    </row>
    <row r="871">
      <c r="A871" s="1">
        <v>1.0</v>
      </c>
      <c r="B871" s="1" t="s">
        <v>871</v>
      </c>
      <c r="C871" t="str">
        <f>IFERROR(__xludf.DUMMYFUNCTION("GOOGLETRANSLATE(B871, ""zh"", ""en"")"),"The worst time shopping This is the worst thing I purchased overseas, though inexpensive, but poor quality, first clothes too long, I wear L of meter eighty can wear a skirt when most the main fabric is bad, wearing itchy, work is also poor, to buy two of"&amp;" the same size, a large collar, a small collar, first wash began to play a little ball")</f>
        <v>The worst time shopping This is the worst thing I purchased overseas, though inexpensive, but poor quality, first clothes too long, I wear L of meter eighty can wear a skirt when most the main fabric is bad, wearing itchy, work is also poor, to buy two of the same size, a large collar, a small collar, first wash began to play a little ball</v>
      </c>
    </row>
    <row r="872">
      <c r="A872" s="1">
        <v>4.0</v>
      </c>
      <c r="B872" s="1" t="s">
        <v>872</v>
      </c>
      <c r="C872" t="str">
        <f>IFERROR(__xludf.DUMMYFUNCTION("GOOGLETRANSLATE(B872, ""zh"", ""en"")"),"Picture light blue zipper design more than comfortable. Cheap good clothes 163,54kg, completely different just right, it s on the smaller")</f>
        <v>Picture light blue zipper design more than comfortable. Cheap good clothes 163,54kg, completely different just right, it s on the smaller</v>
      </c>
    </row>
    <row r="873">
      <c r="A873" s="1">
        <v>4.0</v>
      </c>
      <c r="B873" s="1" t="s">
        <v>873</v>
      </c>
      <c r="C873" t="str">
        <f>IFERROR(__xludf.DUMMYFUNCTION("GOOGLETRANSLATE(B873, ""zh"", ""en"")"),"Overall still good value for money, logistics and very fast, but the courier irresponsible, to leave the table in the store, on both sides of the bracelet is real stainless steel hollow middle is hope among the future may also be solid. Overall, very good"&amp;".")</f>
        <v>Overall still good value for money, logistics and very fast, but the courier irresponsible, to leave the table in the store, on both sides of the bracelet is real stainless steel hollow middle is hope among the future may also be solid. Overall, very good.</v>
      </c>
    </row>
    <row r="874">
      <c r="A874" s="1">
        <v>4.0</v>
      </c>
      <c r="B874" s="1" t="s">
        <v>874</v>
      </c>
      <c r="C874" t="str">
        <f>IFERROR(__xludf.DUMMYFUNCTION("GOOGLETRANSLATE(B874, ""zh"", ""en"")"),"Cuff cuffs too tight, Le out red handprint")</f>
        <v>Cuff cuffs too tight, Le out red handprint</v>
      </c>
    </row>
    <row r="875">
      <c r="A875" s="1">
        <v>4.0</v>
      </c>
      <c r="B875" s="1" t="s">
        <v>875</v>
      </c>
      <c r="C875" t="str">
        <f>IFERROR(__xludf.DUMMYFUNCTION("GOOGLETRANSLATE(B875, ""zh"", ""en"")"),"Barefoot shoes are very comfortable shoes, but shoe size is too large, to light wearing basically the amount of what little shining barefoot buy on line")</f>
        <v>Barefoot shoes are very comfortable shoes, but shoe size is too large, to light wearing basically the amount of what little shining barefoot buy on line</v>
      </c>
    </row>
    <row r="876">
      <c r="A876" s="1">
        <v>4.0</v>
      </c>
      <c r="B876" s="1" t="s">
        <v>876</v>
      </c>
      <c r="C876" t="str">
        <f>IFERROR(__xludf.DUMMYFUNCTION("GOOGLETRANSLATE(B876, ""zh"", ""en"")"),"Good clothes fit, very good, is easy to open lines stereotypes sleeves")</f>
        <v>Good clothes fit, very good, is easy to open lines stereotypes sleeves</v>
      </c>
    </row>
    <row r="877">
      <c r="A877" s="1">
        <v>5.0</v>
      </c>
      <c r="B877" s="1" t="s">
        <v>877</v>
      </c>
      <c r="C877" t="str">
        <f>IFERROR(__xludf.DUMMYFUNCTION("GOOGLETRANSLATE(B877, ""zh"", ""en"")"),"This effect was good health care products good!")</f>
        <v>This effect was good health care products good!</v>
      </c>
    </row>
    <row r="878">
      <c r="A878" s="1">
        <v>5.0</v>
      </c>
      <c r="B878" s="1" t="s">
        <v>878</v>
      </c>
      <c r="C878" t="str">
        <f>IFERROR(__xludf.DUMMYFUNCTION("GOOGLETRANSLATE(B878, ""zh"", ""en"")"),"Easy to recommend significant level prime Member price super power! Only a week to Beijing. I wear braces, drinking fruit juice with pulp (with pulp plug in a wire braces inside) to quickly tried it, similar to the way water pulse, did not expect the clea"&amp;"ning effect is good! If you open your mouth will indeed be flying, with their mouth closed all right.")</f>
        <v>Easy to recommend significant level prime Member price super power! Only a week to Beijing. I wear braces, drinking fruit juice with pulp (with pulp plug in a wire braces inside) to quickly tried it, similar to the way water pulse, did not expect the cleaning effect is good! If you open your mouth will indeed be flying, with their mouth closed all right.</v>
      </c>
    </row>
    <row r="879">
      <c r="A879" s="1">
        <v>5.0</v>
      </c>
      <c r="B879" s="1" t="s">
        <v>879</v>
      </c>
      <c r="C879" t="str">
        <f>IFERROR(__xludf.DUMMYFUNCTION("GOOGLETRANSLATE(B879, ""zh"", ""en"")"),"It requires a certain thrust like 990 PRO, it requires a certain thrust.")</f>
        <v>It requires a certain thrust like 990 PRO, it requires a certain thrust.</v>
      </c>
    </row>
    <row r="880">
      <c r="A880" s="1">
        <v>5.0</v>
      </c>
      <c r="B880" s="1" t="s">
        <v>880</v>
      </c>
      <c r="C880" t="str">
        <f>IFERROR(__xludf.DUMMYFUNCTION("GOOGLETRANSLATE(B880, ""zh"", ""en"")"),"School Ke Zhuoer color is not the picture is so amazing, but also can be. Raging water, no flying white phenomenon. Overall very satisfied")</f>
        <v>School Ke Zhuoer color is not the picture is so amazing, but also can be. Raging water, no flying white phenomenon. Overall very satisfied</v>
      </c>
    </row>
    <row r="881">
      <c r="A881" s="1">
        <v>5.0</v>
      </c>
      <c r="B881" s="1" t="s">
        <v>881</v>
      </c>
      <c r="C881" t="str">
        <f>IFERROR(__xludf.DUMMYFUNCTION("GOOGLETRANSLATE(B881, ""zh"", ""en"")"),"This must say under too fond of. Convenience, is now basically bi-weekly Direct Push side hair. Alone is not a good cut is not a ramp surface")</f>
        <v>This must say under too fond of. Convenience, is now basically bi-weekly Direct Push side hair. Alone is not a good cut is not a ramp surface</v>
      </c>
    </row>
    <row r="882">
      <c r="A882" s="1">
        <v>5.0</v>
      </c>
      <c r="B882" s="1" t="s">
        <v>882</v>
      </c>
      <c r="C882" t="str">
        <f>IFERROR(__xludf.DUMMYFUNCTION("GOOGLETRANSLATE(B882, ""zh"", ""en"")"),"Size just, Asia wide angle, recommendations d, 2e are now going to buy NB, only the 990 most worth starting. Jobs wearing NB990 lifetime. Now we know, surprisingly comfortable. 26cm of. 8us just. Whether d, m, 2e can.")</f>
        <v>Size just, Asia wide angle, recommendations d, 2e are now going to buy NB, only the 990 most worth starting. Jobs wearing NB990 lifetime. Now we know, surprisingly comfortable. 26cm of. 8us just. Whether d, m, 2e can.</v>
      </c>
    </row>
    <row r="883">
      <c r="A883" s="1">
        <v>5.0</v>
      </c>
      <c r="B883" s="1" t="s">
        <v>883</v>
      </c>
      <c r="C883" t="str">
        <f>IFERROR(__xludf.DUMMYFUNCTION("GOOGLETRANSLATE(B883, ""zh"", ""en"")"),"Children 3 years old children love to eat, eat, eat for a long time but day one, bought four bottles, expired on January 18, it seems too many friends 😄 ~")</f>
        <v>Children 3 years old children love to eat, eat, eat for a long time but day one, bought four bottles, expired on January 18, it seems too many friends 😄 ~</v>
      </c>
    </row>
    <row r="884">
      <c r="A884" s="1">
        <v>5.0</v>
      </c>
      <c r="B884" s="1" t="s">
        <v>884</v>
      </c>
      <c r="C884" t="str">
        <f>IFERROR(__xludf.DUMMYFUNCTION("GOOGLETRANSLATE(B884, ""zh"", ""en"")"),"Sophisticated and practical helper. Small and exquisite! Easily fixed, easy to clean after processing. After the noodles themselves can be processed, convenient and worry!")</f>
        <v>Sophisticated and practical helper. Small and exquisite! Easily fixed, easy to clean after processing. After the noodles themselves can be processed, convenient and worry!</v>
      </c>
    </row>
    <row r="885">
      <c r="A885" s="1">
        <v>5.0</v>
      </c>
      <c r="B885" s="1" t="s">
        <v>885</v>
      </c>
      <c r="C885" t="str">
        <f>IFERROR(__xludf.DUMMYFUNCTION("GOOGLETRANSLATE(B885, ""zh"", ""en"")"),"Worth buying one small desktop speakers, stereo sound beyond the desktop bookshelf stereo. Bass strong, high resolving power, sound noble.")</f>
        <v>Worth buying one small desktop speakers, stereo sound beyond the desktop bookshelf stereo. Bass strong, high resolving power, sound noble.</v>
      </c>
    </row>
    <row r="886">
      <c r="A886" s="1">
        <v>5.0</v>
      </c>
      <c r="B886" s="1" t="s">
        <v>886</v>
      </c>
      <c r="C886" t="str">
        <f>IFERROR(__xludf.DUMMYFUNCTION("GOOGLETRANSLATE(B886, ""zh"", ""en"")"),"Overall very satisfied with my 173cm, 55kg, very fit 29 * 30, but darker than the picture minor. In short like ~")</f>
        <v>Overall very satisfied with my 173cm, 55kg, very fit 29 * 30, but darker than the picture minor. In short like ~</v>
      </c>
    </row>
    <row r="887">
      <c r="A887" s="1">
        <v>5.0</v>
      </c>
      <c r="B887" s="1" t="s">
        <v>887</v>
      </c>
      <c r="C887" t="str">
        <f>IFERROR(__xludf.DUMMYFUNCTION("GOOGLETRANSLATE(B887, ""zh"", ""en"")"),"not bad! Yes, that is not the black")</f>
        <v>not bad! Yes, that is not the black</v>
      </c>
    </row>
    <row r="888">
      <c r="A888" s="1">
        <v>5.0</v>
      </c>
      <c r="B888" s="1" t="s">
        <v>888</v>
      </c>
      <c r="C888" t="str">
        <f>IFERROR(__xludf.DUMMYFUNCTION("GOOGLETRANSLATE(B888, ""zh"", ""en"")"),"Relatively high basis for comparison models, nothing special, thin, fine")</f>
        <v>Relatively high basis for comparison models, nothing special, thin, fine</v>
      </c>
    </row>
    <row r="889">
      <c r="A889" s="1">
        <v>5.0</v>
      </c>
      <c r="B889" s="1" t="s">
        <v>889</v>
      </c>
      <c r="C889" t="str">
        <f>IFERROR(__xludf.DUMMYFUNCTION("GOOGLETRANSLATE(B889, ""zh"", ""en"")"),"Cost can compare home a lot cheaper, not to mention simple courier packaging, are they not the packaging, the original packaging box is damaged, but the machine is no problem, we need to first convert the voltage can be directly adapted to send more abund"&amp;"ant accessories, but shred cut a little hole plate, cut the wire too thin.")</f>
        <v>Cost can compare home a lot cheaper, not to mention simple courier packaging, are they not the packaging, the original packaging box is damaged, but the machine is no problem, we need to first convert the voltage can be directly adapted to send more abundant accessories, but shred cut a little hole plate, cut the wire too thin.</v>
      </c>
    </row>
    <row r="890">
      <c r="A890" s="1">
        <v>5.0</v>
      </c>
      <c r="B890" s="1" t="s">
        <v>890</v>
      </c>
      <c r="C890" t="str">
        <f>IFERROR(__xludf.DUMMYFUNCTION("GOOGLETRANSLATE(B890, ""zh"", ""en"")"),"Suitable for small children to wear waterproof, dirt, suitable for children match, big brand, quality and security")</f>
        <v>Suitable for small children to wear waterproof, dirt, suitable for children match, big brand, quality and security</v>
      </c>
    </row>
    <row r="891">
      <c r="A891" s="1">
        <v>5.0</v>
      </c>
      <c r="B891" s="1" t="s">
        <v>891</v>
      </c>
      <c r="C891" t="str">
        <f>IFERROR(__xludf.DUMMYFUNCTION("GOOGLETRANSLATE(B891, ""zh"", ""en"")"),"Sheer so beautiful, with a heel, thin as onion skin, very light penetration.")</f>
        <v>Sheer so beautiful, with a heel, thin as onion skin, very light penetration.</v>
      </c>
    </row>
    <row r="892">
      <c r="A892" s="1">
        <v>5.0</v>
      </c>
      <c r="B892" s="1" t="s">
        <v>892</v>
      </c>
      <c r="C892" t="str">
        <f>IFERROR(__xludf.DUMMYFUNCTION("GOOGLETRANSLATE(B892, ""zh"", ""en"")"),"Black defeated the five lighter than some of the adult section, I really wanted. 36 and a half wearing 4.5m is appropriate, if you want to pad insoles, can choose 5m, tie lines at the instep presser foot slightly, but the strange thing is to wear a will t"&amp;"here is no such feeling. Overall value for money")</f>
        <v>Black defeated the five lighter than some of the adult section, I really wanted. 36 and a half wearing 4.5m is appropriate, if you want to pad insoles, can choose 5m, tie lines at the instep presser foot slightly, but the strange thing is to wear a will there is no such feeling. Overall value for money</v>
      </c>
    </row>
    <row r="893">
      <c r="A893" s="1">
        <v>5.0</v>
      </c>
      <c r="B893" s="1" t="s">
        <v>893</v>
      </c>
      <c r="C893" t="str">
        <f>IFERROR(__xludf.DUMMYFUNCTION("GOOGLETRANSLATE(B893, ""zh"", ""en"")"),"Comfortable fabric Size buy big ...... actually comfortable fabrics, ready to give as gifts")</f>
        <v>Comfortable fabric Size buy big ...... actually comfortable fabrics, ready to give as gifts</v>
      </c>
    </row>
    <row r="894">
      <c r="A894" s="1">
        <v>5.0</v>
      </c>
      <c r="B894" s="1" t="s">
        <v>894</v>
      </c>
      <c r="C894" t="str">
        <f>IFERROR(__xludf.DUMMYFUNCTION("GOOGLETRANSLATE(B894, ""zh"", ""en"")"),"Results were pretty good insulation effect is really good, put in around 10 pm, 9:00 in the morning to eat just right, can be soaked rice, porridge and soup effect between rice, mainly no way difficult it like porridge viscous, overall, the effect can be "&amp;"satisfied.")</f>
        <v>Results were pretty good insulation effect is really good, put in around 10 pm, 9:00 in the morning to eat just right, can be soaked rice, porridge and soup effect between rice, mainly no way difficult it like porridge viscous, overall, the effect can be satisfied.</v>
      </c>
    </row>
    <row r="895">
      <c r="A895" s="1">
        <v>5.0</v>
      </c>
      <c r="B895" s="1" t="s">
        <v>895</v>
      </c>
      <c r="C895" t="str">
        <f>IFERROR(__xludf.DUMMYFUNCTION("GOOGLETRANSLATE(B895, ""zh"", ""en"")"),"Bass can be a little pressure ears")</f>
        <v>Bass can be a little pressure ears</v>
      </c>
    </row>
    <row r="896">
      <c r="A896" s="1">
        <v>5.0</v>
      </c>
      <c r="B896" s="1" t="s">
        <v>896</v>
      </c>
      <c r="C896" t="str">
        <f>IFERROR(__xludf.DUMMYFUNCTION("GOOGLETRANSLATE(B896, ""zh"", ""en"")"),"Price is also OK, good machine. Read stability, 100M / s, quite satisfactory appearance, thickness nearly double than the previous generation. Driver has not been installed, anyway, does not affect use.")</f>
        <v>Price is also OK, good machine. Read stability, 100M / s, quite satisfactory appearance, thickness nearly double than the previous generation. Driver has not been installed, anyway, does not affect use.</v>
      </c>
    </row>
    <row r="897">
      <c r="A897" s="1">
        <v>5.0</v>
      </c>
      <c r="B897" s="1" t="s">
        <v>897</v>
      </c>
      <c r="C897" t="str">
        <f>IFERROR(__xludf.DUMMYFUNCTION("GOOGLETRANSLATE(B897, ""zh"", ""en"")"),"Satisfactory cost-effective shoes 27cm foot shoe size just 9 2e, comfortable, a little wide, it seems thin legs buy Jiuhaola m very satisfied with overseas purchase")</f>
        <v>Satisfactory cost-effective shoes 27cm foot shoe size just 9 2e, comfortable, a little wide, it seems thin legs buy Jiuhaola m very satisfied with overseas purchase</v>
      </c>
    </row>
    <row r="898">
      <c r="A898" s="1">
        <v>5.0</v>
      </c>
      <c r="B898" s="1" t="s">
        <v>898</v>
      </c>
      <c r="C898" t="str">
        <f>IFERROR(__xludf.DUMMYFUNCTION("GOOGLETRANSLATE(B898, ""zh"", ""en"")"),"US clothing section are far better than domestic freshman code I 1 m 78,80 kg, wearing M code is really good, is this dress is a short paragraph, does not cover the buttocks, the version is designed that way. Medium thickness, elastic, suitable for spring"&amp;" and autumn days")</f>
        <v>US clothing section are far better than domestic freshman code I 1 m 78,80 kg, wearing M code is really good, is this dress is a short paragraph, does not cover the buttocks, the version is designed that way. Medium thickness, elastic, suitable for spring and autumn days</v>
      </c>
    </row>
    <row r="899">
      <c r="A899" s="1">
        <v>2.0</v>
      </c>
      <c r="B899" s="1" t="s">
        <v>899</v>
      </c>
      <c r="C899" t="str">
        <f>IFERROR(__xludf.DUMMYFUNCTION("GOOGLETRANSLATE(B899, ""zh"", ""en"")"),"Physical and picture does not match too much, too much. Not suitable for Asians")</f>
        <v>Physical and picture does not match too much, too much. Not suitable for Asians</v>
      </c>
    </row>
    <row r="900">
      <c r="A900" s="1">
        <v>3.0</v>
      </c>
      <c r="B900" s="1" t="s">
        <v>900</v>
      </c>
      <c r="C900" t="str">
        <f>IFERROR(__xludf.DUMMYFUNCTION("GOOGLETRANSLATE(B900, ""zh"", ""en"")"),"target nerve to refuse to sell products? This brand is US imperialism cheap supermarket brand, champion of the poor and hanns two US imperialism gospel, heavenly or not the scourge of the people")</f>
        <v>target nerve to refuse to sell products? This brand is US imperialism cheap supermarket brand, champion of the poor and hanns two US imperialism gospel, heavenly or not the scourge of the people</v>
      </c>
    </row>
    <row r="901">
      <c r="A901" s="1">
        <v>3.0</v>
      </c>
      <c r="B901" s="1" t="s">
        <v>901</v>
      </c>
      <c r="C901" t="str">
        <f>IFERROR(__xludf.DUMMYFUNCTION("GOOGLETRANSLATE(B901, ""zh"", ""en"")"),"The first shopping packaging too casual, right. Other okay.")</f>
        <v>The first shopping packaging too casual, right. Other okay.</v>
      </c>
    </row>
    <row r="902">
      <c r="A902" s="1">
        <v>3.0</v>
      </c>
      <c r="B902" s="1" t="s">
        <v>902</v>
      </c>
      <c r="C902" t="str">
        <f>IFERROR(__xludf.DUMMYFUNCTION("GOOGLETRANSLATE(B902, ""zh"", ""en"")"),"Great 168,98 pounds, bought the M code, very, very fat waistband, fat out two fists wide right, I feel like male models, adjustable elastic waistband, but also to wear, is very loose! A thin layer of cotton pantaloons!")</f>
        <v>Great 168,98 pounds, bought the M code, very, very fat waistband, fat out two fists wide right, I feel like male models, adjustable elastic waistband, but also to wear, is very loose! A thin layer of cotton pantaloons!</v>
      </c>
    </row>
    <row r="903">
      <c r="A903" s="1">
        <v>1.0</v>
      </c>
      <c r="B903" s="1" t="s">
        <v>903</v>
      </c>
      <c r="C903" t="str">
        <f>IFERROR(__xludf.DUMMYFUNCTION("GOOGLETRANSLATE(B903, ""zh"", ""en"")"),"Physical and models that much difference, is not recommended! Right length but too large for the shoulder armpit, do not know the material texture, feel uncomfortable!")</f>
        <v>Physical and models that much difference, is not recommended! Right length but too large for the shoulder armpit, do not know the material texture, feel uncomfortable!</v>
      </c>
    </row>
    <row r="904">
      <c r="A904" s="1">
        <v>1.0</v>
      </c>
      <c r="B904" s="1" t="s">
        <v>904</v>
      </c>
      <c r="C904" t="str">
        <f>IFERROR(__xludf.DUMMYFUNCTION("GOOGLETRANSLATE(B904, ""zh"", ""en"")"),"Seagate 4t problems have emerged in October 2017, China was not guaranteed, to wait for the opportunity to make friends with the United States to exchange for the future not because they are cheap, or cheap domestic buy it.")</f>
        <v>Seagate 4t problems have emerged in October 2017, China was not guaranteed, to wait for the opportunity to make friends with the United States to exchange for the future not because they are cheap, or cheap domestic buy it.</v>
      </c>
    </row>
    <row r="905">
      <c r="A905" s="1">
        <v>1.0</v>
      </c>
      <c r="B905" s="1" t="s">
        <v>905</v>
      </c>
      <c r="C905" t="str">
        <f>IFERROR(__xludf.DUMMYFUNCTION("GOOGLETRANSLATE(B905, ""zh"", ""en"")"),"I always felt the second sale is the second sale had, overpack stickers three left, one of the fast is not sticky, and unhappy.")</f>
        <v>I always felt the second sale is the second sale had, overpack stickers three left, one of the fast is not sticky, and unhappy.</v>
      </c>
    </row>
    <row r="906">
      <c r="A906" s="1">
        <v>4.0</v>
      </c>
      <c r="B906" s="1" t="s">
        <v>906</v>
      </c>
      <c r="C906" t="str">
        <f>IFERROR(__xludf.DUMMYFUNCTION("GOOGLETRANSLATE(B906, ""zh"", ""en"")"),"I can only say general things wear surface is still very content")</f>
        <v>I can only say general things wear surface is still very content</v>
      </c>
    </row>
    <row r="907">
      <c r="A907" s="1">
        <v>4.0</v>
      </c>
      <c r="B907" s="1" t="s">
        <v>907</v>
      </c>
      <c r="C907" t="str">
        <f>IFERROR(__xludf.DUMMYFUNCTION("GOOGLETRANSLATE(B907, ""zh"", ""en"")"),"Remember to keep a good amount of their own size to buy! I height 177, weight 75 kg. Chest and Sleeve according to Amazon's recommendation to buy M number, just right. Sure enough, the South American production of clothes is not a good quality of garments"&amp;" produced in Asia ......")</f>
        <v>Remember to keep a good amount of their own size to buy! I height 177, weight 75 kg. Chest and Sleeve according to Amazon's recommendation to buy M number, just right. Sure enough, the South American production of clothes is not a good quality of garments produced in Asia ......</v>
      </c>
    </row>
    <row r="908">
      <c r="A908" s="1">
        <v>4.0</v>
      </c>
      <c r="B908" s="1" t="s">
        <v>908</v>
      </c>
      <c r="C908" t="str">
        <f>IFERROR(__xludf.DUMMYFUNCTION("GOOGLETRANSLATE(B908, ""zh"", ""en"")"),"Not suitable for the baby before the age is estimated to be a big point and then wait for him, and now ripped off his plate like the old")</f>
        <v>Not suitable for the baby before the age is estimated to be a big point and then wait for him, and now ripped off his plate like the old</v>
      </c>
    </row>
    <row r="909">
      <c r="A909" s="1">
        <v>4.0</v>
      </c>
      <c r="B909" s="1" t="s">
        <v>909</v>
      </c>
      <c r="C909" t="str">
        <f>IFERROR(__xludf.DUMMYFUNCTION("GOOGLETRANSLATE(B909, ""zh"", ""en"")"),"Very good good quality, slightly thick. M 178,73kg buy, just enough to wear, it is recommended to buy freshman code")</f>
        <v>Very good good quality, slightly thick. M 178,73kg buy, just enough to wear, it is recommended to buy freshman code</v>
      </c>
    </row>
    <row r="910">
      <c r="A910" s="1">
        <v>5.0</v>
      </c>
      <c r="B910" s="1" t="s">
        <v>910</v>
      </c>
      <c r="C910" t="str">
        <f>IFERROR(__xludf.DUMMYFUNCTION("GOOGLETRANSLATE(B910, ""zh"", ""en"")"),"Very very good a good quality shipping soon")</f>
        <v>Very very good a good quality shipping soon</v>
      </c>
    </row>
    <row r="911">
      <c r="A911" s="1">
        <v>5.0</v>
      </c>
      <c r="B911" s="1" t="s">
        <v>911</v>
      </c>
      <c r="C911" t="str">
        <f>IFERROR(__xludf.DUMMYFUNCTION("GOOGLETRANSLATE(B911, ""zh"", ""en"")"),"Very good good, comfortable next to the skin, made in Japan is better")</f>
        <v>Very good good, comfortable next to the skin, made in Japan is better</v>
      </c>
    </row>
    <row r="912">
      <c r="A912" s="1">
        <v>5.0</v>
      </c>
      <c r="B912" s="1" t="s">
        <v>912</v>
      </c>
      <c r="C912" t="str">
        <f>IFERROR(__xludf.DUMMYFUNCTION("GOOGLETRANSLATE(B912, ""zh"", ""en"")"),"Shoes good shoes slightly wider than the average number of sports shoes, end little heavy, but the foot feeling pretty good. Origin is Indonesia, did not see any visible flaws, quality should also be. Wear to the feet looked not particularly wide, feel be"&amp;"autiful. Although it is not very breathable knitted However, poor ventilation ratio nmd.")</f>
        <v>Shoes good shoes slightly wider than the average number of sports shoes, end little heavy, but the foot feeling pretty good. Origin is Indonesia, did not see any visible flaws, quality should also be. Wear to the feet looked not particularly wide, feel beautiful. Although it is not very breathable knitted However, poor ventilation ratio nmd.</v>
      </c>
    </row>
    <row r="913">
      <c r="A913" s="1">
        <v>5.0</v>
      </c>
      <c r="B913" s="1" t="s">
        <v>913</v>
      </c>
      <c r="C913" t="str">
        <f>IFERROR(__xludf.DUMMYFUNCTION("GOOGLETRANSLATE(B913, ""zh"", ""en"")"),"Seagate is very good very satisfied with the shopping")</f>
        <v>Seagate is very good very satisfied with the shopping</v>
      </c>
    </row>
    <row r="914">
      <c r="A914" s="1">
        <v>5.0</v>
      </c>
      <c r="B914" s="1" t="s">
        <v>914</v>
      </c>
      <c r="C914" t="str">
        <f>IFERROR(__xludf.DUMMYFUNCTION("GOOGLETRANSLATE(B914, ""zh"", ""en"")"),"Everyone says the same size and usually wear sneakers 40. Length is 240 feet, by 39 feet long are able to buy, but the foot a little meat, if you buy 39 very crowded. Everyone says the shoes a little too small, so buy 7 (W) is 40. Foot feeling very fit.")</f>
        <v>Everyone says the same size and usually wear sneakers 40. Length is 240 feet, by 39 feet long are able to buy, but the foot a little meat, if you buy 39 very crowded. Everyone says the shoes a little too small, so buy 7 (W) is 40. Foot feeling very fit.</v>
      </c>
    </row>
    <row r="915">
      <c r="A915" s="1">
        <v>5.0</v>
      </c>
      <c r="B915" s="1" t="s">
        <v>915</v>
      </c>
      <c r="C915" t="str">
        <f>IFERROR(__xludf.DUMMYFUNCTION("GOOGLETRANSLATE(B915, ""zh"", ""en"")"),"Match, likely to be bitten bitten several straw, so buy a lot of times - relatively easy to use")</f>
        <v>Match, likely to be bitten bitten several straw, so buy a lot of times - relatively easy to use</v>
      </c>
    </row>
    <row r="916">
      <c r="A916" s="1">
        <v>5.0</v>
      </c>
      <c r="B916" s="1" t="s">
        <v>916</v>
      </c>
      <c r="C916" t="str">
        <f>IFERROR(__xludf.DUMMYFUNCTION("GOOGLETRANSLATE(B916, ""zh"", ""en"")"),"No taste to the baby stockpile baby is still small. Now take. Stockpile")</f>
        <v>No taste to the baby stockpile baby is still small. Now take. Stockpile</v>
      </c>
    </row>
    <row r="917">
      <c r="A917" s="1">
        <v>5.0</v>
      </c>
      <c r="B917" s="1" t="s">
        <v>917</v>
      </c>
      <c r="C917" t="str">
        <f>IFERROR(__xludf.DUMMYFUNCTION("GOOGLETRANSLATE(B917, ""zh"", ""en"")"),"Very appropriate, shipping soon partial fat pants US version, but what I like, the quality can be, 171, 74kg, election 32/29 just for reference. From order to hand a total of five days, too fast!")</f>
        <v>Very appropriate, shipping soon partial fat pants US version, but what I like, the quality can be, 171, 74kg, election 32/29 just for reference. From order to hand a total of five days, too fast!</v>
      </c>
    </row>
    <row r="918">
      <c r="A918" s="1">
        <v>5.0</v>
      </c>
      <c r="B918" s="1" t="s">
        <v>918</v>
      </c>
      <c r="C918" t="str">
        <f>IFERROR(__xludf.DUMMYFUNCTION("GOOGLETRANSLATE(B918, ""zh"", ""en"")"),"The first Thai-made feel good, clearance 17 yuan freight, is finished alone rose a few dollars. Delivery Soon, 13 Kusakabe single, on the 20th has been received. No instructions in Chinese, need can be downloaded at this link [...] only temporarily adjust"&amp;"ed the time zone BJS, give praise, and then modified over time based on usage.")</f>
        <v>The first Thai-made feel good, clearance 17 yuan freight, is finished alone rose a few dollars. Delivery Soon, 13 Kusakabe single, on the 20th has been received. No instructions in Chinese, need can be downloaded at this link [...] only temporarily adjusted the time zone BJS, give praise, and then modified over time based on usage.</v>
      </c>
    </row>
    <row r="919">
      <c r="A919" s="1">
        <v>5.0</v>
      </c>
      <c r="B919" s="1" t="s">
        <v>919</v>
      </c>
      <c r="C919" t="str">
        <f>IFERROR(__xludf.DUMMYFUNCTION("GOOGLETRANSLATE(B919, ""zh"", ""en"")"),"Cost-effective high stuff is not bad, usually with casual wear is appropriate")</f>
        <v>Cost-effective high stuff is not bad, usually with casual wear is appropriate</v>
      </c>
    </row>
    <row r="920">
      <c r="A920" s="1">
        <v>5.0</v>
      </c>
      <c r="B920" s="1" t="s">
        <v>920</v>
      </c>
      <c r="C920" t="str">
        <f>IFERROR(__xludf.DUMMYFUNCTION("GOOGLETRANSLATE(B920, ""zh"", ""en"")"),"Good hope can be useful!")</f>
        <v>Good hope can be useful!</v>
      </c>
    </row>
    <row r="921">
      <c r="A921" s="1">
        <v>5.0</v>
      </c>
      <c r="B921" s="1" t="s">
        <v>921</v>
      </c>
      <c r="C921" t="str">
        <f>IFERROR(__xludf.DUMMYFUNCTION("GOOGLETRANSLATE(B921, ""zh"", ""en"")"),"Satisfied with the partial business, 176CM, 80KG")</f>
        <v>Satisfied with the partial business, 176CM, 80KG</v>
      </c>
    </row>
    <row r="922">
      <c r="A922" s="1">
        <v>5.0</v>
      </c>
      <c r="B922" s="1" t="s">
        <v>922</v>
      </c>
      <c r="C922" t="str">
        <f>IFERROR(__xludf.DUMMYFUNCTION("GOOGLETRANSLATE(B922, ""zh"", ""en"")"),"Cheap! Buy three money enough to buy one ...... it is the basis of money at the counter, and gave Dad a fancy to go along. Summer is a good shade.")</f>
        <v>Cheap! Buy three money enough to buy one ...... it is the basis of money at the counter, and gave Dad a fancy to go along. Summer is a good shade.</v>
      </c>
    </row>
    <row r="923">
      <c r="A923" s="1">
        <v>5.0</v>
      </c>
      <c r="B923" s="1" t="s">
        <v>923</v>
      </c>
      <c r="C923" t="str">
        <f>IFERROR(__xludf.DUMMYFUNCTION("GOOGLETRANSLATE(B923, ""zh"", ""en"")"),"Good underwear, personal, comfortable, either there is something there, I would feel good wearing the same underwear, personal, comfortable, either there is something there, I would feel wearing the same! recommend")</f>
        <v>Good underwear, personal, comfortable, either there is something there, I would feel good wearing the same underwear, personal, comfortable, either there is something there, I would feel wearing the same! recommend</v>
      </c>
    </row>
    <row r="924">
      <c r="A924" s="1">
        <v>5.0</v>
      </c>
      <c r="B924" s="1" t="s">
        <v>924</v>
      </c>
      <c r="C924" t="str">
        <f>IFERROR(__xludf.DUMMYFUNCTION("GOOGLETRANSLATE(B924, ""zh"", ""en"")"),"Good-looking and comfortable nice comfortable without rims inside through the most cost-effective")</f>
        <v>Good-looking and comfortable nice comfortable without rims inside through the most cost-effective</v>
      </c>
    </row>
    <row r="925">
      <c r="A925" s="1">
        <v>5.0</v>
      </c>
      <c r="B925" s="1" t="s">
        <v>925</v>
      </c>
      <c r="C925" t="str">
        <f>IFERROR(__xludf.DUMMYFUNCTION("GOOGLETRANSLATE(B925, ""zh"", ""en"")"),"Very comfortable feeling abdomen, lace very comfortable.")</f>
        <v>Very comfortable feeling abdomen, lace very comfortable.</v>
      </c>
    </row>
    <row r="926">
      <c r="A926" s="1">
        <v>5.0</v>
      </c>
      <c r="B926" s="1" t="s">
        <v>926</v>
      </c>
      <c r="C926" t="str">
        <f>IFERROR(__xludf.DUMMYFUNCTION("GOOGLETRANSLATE(B926, ""zh"", ""en"")"),"good perfect, good quality, perfect experience")</f>
        <v>good perfect, good quality, perfect experience</v>
      </c>
    </row>
    <row r="927">
      <c r="A927" s="1">
        <v>5.0</v>
      </c>
      <c r="B927" s="1" t="s">
        <v>927</v>
      </c>
      <c r="C927" t="str">
        <f>IFERROR(__xludf.DUMMYFUNCTION("GOOGLETRANSLATE(B927, ""zh"", ""en"")"),"Value for money is very strong, ground meat is too much bad brush up a little trouble")</f>
        <v>Value for money is very strong, ground meat is too much bad brush up a little trouble</v>
      </c>
    </row>
    <row r="928">
      <c r="A928" s="1">
        <v>5.0</v>
      </c>
      <c r="B928" s="1" t="s">
        <v>928</v>
      </c>
      <c r="C928" t="str">
        <f>IFERROR(__xludf.DUMMYFUNCTION("GOOGLETRANSLATE(B928, ""zh"", ""en"")"),"The arrival of fast, convenient and quick! The arrival of fast, really easy to use, very much!")</f>
        <v>The arrival of fast, convenient and quick! The arrival of fast, really easy to use, very much!</v>
      </c>
    </row>
    <row r="929">
      <c r="A929" s="1">
        <v>5.0</v>
      </c>
      <c r="B929" s="1" t="s">
        <v>929</v>
      </c>
      <c r="C929" t="str">
        <f>IFERROR(__xludf.DUMMYFUNCTION("GOOGLETRANSLATE(B929, ""zh"", ""en"")"),"Buy big clothes also good, but buy big, some small one yard more fit, height 168 weight 128.")</f>
        <v>Buy big clothes also good, but buy big, some small one yard more fit, height 168 weight 128.</v>
      </c>
    </row>
    <row r="930">
      <c r="A930" s="1">
        <v>5.0</v>
      </c>
      <c r="B930" s="1" t="s">
        <v>930</v>
      </c>
      <c r="C930" t="str">
        <f>IFERROR(__xludf.DUMMYFUNCTION("GOOGLETRANSLATE(B930, ""zh"", ""en"")"),"Very good baby has been eating DHA DHA capsules childhood, good taste, baby love to eat. The purchase date is relatively new, open cases did not wet adhesion, very good. Delivery time is a little long, more than two weeks in advance to stocking")</f>
        <v>Very good baby has been eating DHA DHA capsules childhood, good taste, baby love to eat. The purchase date is relatively new, open cases did not wet adhesion, very good. Delivery time is a little long, more than two weeks in advance to stocking</v>
      </c>
    </row>
    <row r="931">
      <c r="A931" s="1">
        <v>5.0</v>
      </c>
      <c r="B931" s="1" t="s">
        <v>931</v>
      </c>
      <c r="C931" t="str">
        <f>IFERROR(__xludf.DUMMYFUNCTION("GOOGLETRANSLATE(B931, ""zh"", ""en"")"),"Satisfying shopping experience once the details are very good quality, an atmosphere of pure cotton.")</f>
        <v>Satisfying shopping experience once the details are very good quality, an atmosphere of pure cotton.</v>
      </c>
    </row>
    <row r="932">
      <c r="A932" s="1">
        <v>2.0</v>
      </c>
      <c r="B932" s="1" t="s">
        <v>932</v>
      </c>
      <c r="C932" t="str">
        <f>IFERROR(__xludf.DUMMYFUNCTION("GOOGLETRANSLATE(B932, ""zh"", ""en"")"),"Forget it away too much, too much problem, I 1.73 m, weight 70 kg")</f>
        <v>Forget it away too much, too much problem, I 1.73 m, weight 70 kg</v>
      </c>
    </row>
    <row r="933">
      <c r="A933" s="1">
        <v>3.0</v>
      </c>
      <c r="B933" s="1" t="s">
        <v>933</v>
      </c>
      <c r="C933" t="str">
        <f>IFERROR(__xludf.DUMMYFUNCTION("GOOGLETRANSLATE(B933, ""zh"", ""en"")"),"Great great great great great noise")</f>
        <v>Great great great great great noise</v>
      </c>
    </row>
    <row r="934">
      <c r="A934" s="1">
        <v>3.0</v>
      </c>
      <c r="B934" s="1" t="s">
        <v>934</v>
      </c>
      <c r="C934" t="str">
        <f>IFERROR(__xludf.DUMMYFUNCTION("GOOGLETRANSLATE(B934, ""zh"", ""en"")"),"Big big bottle of ah ... ah! . Too, like a bucket ... kinda sweet taste of chocolate ... may not be as tasty, but the fear of drinking chocolate fat ...")</f>
        <v>Big big bottle of ah ... ah! . Too, like a bucket ... kinda sweet taste of chocolate ... may not be as tasty, but the fear of drinking chocolate fat ...</v>
      </c>
    </row>
    <row r="935">
      <c r="A935" s="1">
        <v>3.0</v>
      </c>
      <c r="B935" s="1" t="s">
        <v>935</v>
      </c>
      <c r="C935" t="str">
        <f>IFERROR(__xludf.DUMMYFUNCTION("GOOGLETRANSLATE(B935, ""zh"", ""en"")"),"Inappropriate big size, inappropriate")</f>
        <v>Inappropriate big size, inappropriate</v>
      </c>
    </row>
    <row r="936">
      <c r="A936" s="1">
        <v>1.0</v>
      </c>
      <c r="B936" s="1" t="s">
        <v>936</v>
      </c>
      <c r="C936" t="str">
        <f>IFERROR(__xludf.DUMMYFUNCTION("GOOGLETRANSLATE(B936, ""zh"", ""en"")"),"Poor quality, refunds it is just a good-looking, less than 20 days on the headset back broken, simply can not afford to charge electricity, this has been a blue light, how are the same color! It is not every day in two weeks with a really sad, now the hea"&amp;"dset into a rope, that Amazon does not poor, fake goods, but the result is too sad. A star do not want to.")</f>
        <v>Poor quality, refunds it is just a good-looking, less than 20 days on the headset back broken, simply can not afford to charge electricity, this has been a blue light, how are the same color! It is not every day in two weeks with a really sad, now the headset into a rope, that Amazon does not poor, fake goods, but the result is too sad. A star do not want to.</v>
      </c>
    </row>
    <row r="937">
      <c r="A937" s="1">
        <v>1.0</v>
      </c>
      <c r="B937" s="1" t="s">
        <v>937</v>
      </c>
      <c r="C937" t="str">
        <f>IFERROR(__xludf.DUMMYFUNCTION("GOOGLETRANSLATE(B937, ""zh"", ""en"")"),"Have been very optimistic about the headset, the headset with the results ... had the okay, until the day before suddenly unable to boot up, expect to find a sale, then boarded a look at Amazon comment on the cold heart, in the original way, count , and n"&amp;"othing with it, too good to me also use it for 8 months")</f>
        <v>Have been very optimistic about the headset, the headset with the results ... had the okay, until the day before suddenly unable to boot up, expect to find a sale, then boarded a look at Amazon comment on the cold heart, in the original way, count , and nothing with it, too good to me also use it for 8 months</v>
      </c>
    </row>
    <row r="938">
      <c r="A938" s="1">
        <v>4.0</v>
      </c>
      <c r="B938" s="1" t="s">
        <v>938</v>
      </c>
      <c r="C938" t="str">
        <f>IFERROR(__xludf.DUMMYFUNCTION("GOOGLETRANSLATE(B938, ""zh"", ""en"")"),"For me, not necessarily better for you, vary")</f>
        <v>For me, not necessarily better for you, vary</v>
      </c>
    </row>
    <row r="939">
      <c r="A939" s="1">
        <v>4.0</v>
      </c>
      <c r="B939" s="1" t="s">
        <v>939</v>
      </c>
      <c r="C939" t="str">
        <f>IFERROR(__xludf.DUMMYFUNCTION("GOOGLETRANSLATE(B939, ""zh"", ""en"")"),"Fortunately for the ride should be less suitable underwear Waichuan")</f>
        <v>Fortunately for the ride should be less suitable underwear Waichuan</v>
      </c>
    </row>
    <row r="940">
      <c r="A940" s="1">
        <v>4.0</v>
      </c>
      <c r="B940" s="1" t="s">
        <v>940</v>
      </c>
      <c r="C940" t="str">
        <f>IFERROR(__xludf.DUMMYFUNCTION("GOOGLETRANSLATE(B940, ""zh"", ""en"")"),"Can also be is thin and feels very comfortable feeling just is not very durable ah send his boyfriend liked the box is very thick feel good Ck wallet quite general can not hold too much money not otherwise meet on May 6 No. 18 received orders faster than "&amp;"expected")</f>
        <v>Can also be is thin and feels very comfortable feeling just is not very durable ah send his boyfriend liked the box is very thick feel good Ck wallet quite general can not hold too much money not otherwise meet on May 6 No. 18 received orders faster than expected</v>
      </c>
    </row>
    <row r="941">
      <c r="A941" s="1">
        <v>4.0</v>
      </c>
      <c r="B941" s="1" t="s">
        <v>941</v>
      </c>
      <c r="C941" t="str">
        <f>IFERROR(__xludf.DUMMYFUNCTION("GOOGLETRANSLATE(B941, ""zh"", ""en"")"),"Listen to some music when the volume is large, at high frequencies, significantly break the sound left ear, right ear a little slight additional 1: Active noise reduction effect on the indoor vocal about 0, disappointed; the parcel type of passive earmuff"&amp;"s provided greater noise reduction credit. Additional 2: When there is wind, generate new wind noise, particularly evident in certain wind conditions; in addition, really hot, a little warm today, less than half an hour you can feel the sweat. Additional "&amp;"3: listen to classical music, under the left ear unit has a club sound mode break the sound serious, rarely occurs when listening to pop music, it may be related to the high-frequency performance.")</f>
        <v>Listen to some music when the volume is large, at high frequencies, significantly break the sound left ear, right ear a little slight additional 1: Active noise reduction effect on the indoor vocal about 0, disappointed; the parcel type of passive earmuffs provided greater noise reduction credit. Additional 2: When there is wind, generate new wind noise, particularly evident in certain wind conditions; in addition, really hot, a little warm today, less than half an hour you can feel the sweat. Additional 3: listen to classical music, under the left ear unit has a club sound mode break the sound serious, rarely occurs when listening to pop music, it may be related to the high-frequency performance.</v>
      </c>
    </row>
    <row r="942">
      <c r="A942" s="1">
        <v>4.0</v>
      </c>
      <c r="B942" s="1" t="s">
        <v>942</v>
      </c>
      <c r="C942" t="str">
        <f>IFERROR(__xludf.DUMMYFUNCTION("GOOGLETRANSLATE(B942, ""zh"", ""en"")"),"I bought a big buy big a yard, he wears inappropriate.")</f>
        <v>I bought a big buy big a yard, he wears inappropriate.</v>
      </c>
    </row>
    <row r="943">
      <c r="A943" s="1">
        <v>5.0</v>
      </c>
      <c r="B943" s="1" t="s">
        <v>943</v>
      </c>
      <c r="C943" t="str">
        <f>IFERROR(__xludf.DUMMYFUNCTION("GOOGLETRANSLATE(B943, ""zh"", ""en"")"),"Overall pretty satisfied because this is the only color choice of size, after receiving foot wear is not too crowded, 2E code is also not too loose")</f>
        <v>Overall pretty satisfied because this is the only color choice of size, after receiving foot wear is not too crowded, 2E code is also not too loose</v>
      </c>
    </row>
    <row r="944">
      <c r="A944" s="1">
        <v>5.0</v>
      </c>
      <c r="B944" s="1" t="s">
        <v>944</v>
      </c>
      <c r="C944" t="str">
        <f>IFERROR(__xludf.DUMMYFUNCTION("GOOGLETRANSLATE(B944, ""zh"", ""en"")"),"Very good to her husband bought a few colors have come to buy, very good.")</f>
        <v>Very good to her husband bought a few colors have come to buy, very good.</v>
      </c>
    </row>
    <row r="945">
      <c r="A945" s="1">
        <v>5.0</v>
      </c>
      <c r="B945" s="1" t="s">
        <v>945</v>
      </c>
      <c r="C945" t="str">
        <f>IFERROR(__xludf.DUMMYFUNCTION("GOOGLETRANSLATE(B945, ""zh"", ""en"")"),"Very good, full-fifth, said first delivery: orders two weeks delay can not receive goods, two days before the trip to the courier brother called to tell because they have to wear a business trip, to help pay attention, who thought the day before travel sm"&amp;"all courier brother called to say the shoes arrived, afraid that I can not see the text messages, calling to inform, warm heart ah! To the courier brother countless praise! Besides goods: shoes to wear is very delicate, the right size, the cortex and deli"&amp;"cate, and no smell! The brand will continue to pay attention! Saying I have bought four pairs of shoes in a variety of Amazonas, and are satisfied with ah! With prime, overseas freely buy ah!")</f>
        <v>Very good, full-fifth, said first delivery: orders two weeks delay can not receive goods, two days before the trip to the courier brother called to tell because they have to wear a business trip, to help pay attention, who thought the day before travel small courier brother called to say the shoes arrived, afraid that I can not see the text messages, calling to inform, warm heart ah! To the courier brother countless praise! Besides goods: shoes to wear is very delicate, the right size, the cortex and delicate, and no smell! The brand will continue to pay attention! Saying I have bought four pairs of shoes in a variety of Amazonas, and are satisfied with ah! With prime, overseas freely buy ah!</v>
      </c>
    </row>
    <row r="946">
      <c r="A946" s="1">
        <v>5.0</v>
      </c>
      <c r="B946" s="1" t="s">
        <v>946</v>
      </c>
      <c r="C946" t="str">
        <f>IFERROR(__xludf.DUMMYFUNCTION("GOOGLETRANSLATE(B946, ""zh"", ""en"")"),"Underwear is very good, affordable, quality is also very good, praise!")</f>
        <v>Underwear is very good, affordable, quality is also very good, praise!</v>
      </c>
    </row>
    <row r="947">
      <c r="A947" s="1">
        <v>5.0</v>
      </c>
      <c r="B947" s="1" t="s">
        <v>947</v>
      </c>
      <c r="C947" t="str">
        <f>IFERROR(__xludf.DUMMYFUNCTION("GOOGLETRANSLATE(B947, ""zh"", ""en"")"),"Easy to use a good wash transparent scale looking very hard for the family elders, the other better, a good wash, two drops flow nipple wife, six months to three drops of their own change and above, but you have to buy a trumpet newborns bottle, the bottl"&amp;"e is the drop velocity")</f>
        <v>Easy to use a good wash transparent scale looking very hard for the family elders, the other better, a good wash, two drops flow nipple wife, six months to three drops of their own change and above, but you have to buy a trumpet newborns bottle, the bottle is the drop velocity</v>
      </c>
    </row>
    <row r="948">
      <c r="A948" s="1">
        <v>5.0</v>
      </c>
      <c r="B948" s="1" t="s">
        <v>948</v>
      </c>
      <c r="C948" t="str">
        <f>IFERROR(__xludf.DUMMYFUNCTION("GOOGLETRANSLATE(B948, ""zh"", ""en"")"),"Has not yet begun to use each individually packaged individually packaged masks are daily disposable prices can also be satisfied")</f>
        <v>Has not yet begun to use each individually packaged individually packaged masks are daily disposable prices can also be satisfied</v>
      </c>
    </row>
    <row r="949">
      <c r="A949" s="1">
        <v>5.0</v>
      </c>
      <c r="B949" s="1" t="s">
        <v>949</v>
      </c>
      <c r="C949" t="str">
        <f>IFERROR(__xludf.DUMMYFUNCTION("GOOGLETRANSLATE(B949, ""zh"", ""en"")"),"Great attack to many, easy to use")</f>
        <v>Great attack to many, easy to use</v>
      </c>
    </row>
    <row r="950">
      <c r="A950" s="1">
        <v>5.0</v>
      </c>
      <c r="B950" s="1" t="s">
        <v>950</v>
      </c>
      <c r="C950" t="str">
        <f>IFERROR(__xludf.DUMMYFUNCTION("GOOGLETRANSLATE(B950, ""zh"", ""en"")"),"500 won overpaid, overpaid")</f>
        <v>500 won overpaid, overpaid</v>
      </c>
    </row>
    <row r="951">
      <c r="A951" s="1">
        <v>5.0</v>
      </c>
      <c r="B951" s="1" t="s">
        <v>951</v>
      </c>
      <c r="C951" t="str">
        <f>IFERROR(__xludf.DUMMYFUNCTION("GOOGLETRANSLATE(B951, ""zh"", ""en"")"),"This super comfortable to wear comfortable, no sense of restraint! Cheap! Quality is very good,")</f>
        <v>This super comfortable to wear comfortable, no sense of restraint! Cheap! Quality is very good,</v>
      </c>
    </row>
    <row r="952">
      <c r="A952" s="1">
        <v>5.0</v>
      </c>
      <c r="B952" s="1" t="s">
        <v>952</v>
      </c>
      <c r="C952" t="str">
        <f>IFERROR(__xludf.DUMMYFUNCTION("GOOGLETRANSLATE(B952, ""zh"", ""en"")"),"Exquisite workmanship, exquisite workmanship and adorable, adorable.")</f>
        <v>Exquisite workmanship, exquisite workmanship and adorable, adorable.</v>
      </c>
    </row>
    <row r="953">
      <c r="A953" s="1">
        <v>5.0</v>
      </c>
      <c r="B953" s="1" t="s">
        <v>953</v>
      </c>
      <c r="C953" t="str">
        <f>IFERROR(__xludf.DUMMYFUNCTION("GOOGLETRANSLATE(B953, ""zh"", ""en"")"),"Worth buying good quality, fast delivery, very satisfied.")</f>
        <v>Worth buying good quality, fast delivery, very satisfied.</v>
      </c>
    </row>
    <row r="954">
      <c r="A954" s="1">
        <v>5.0</v>
      </c>
      <c r="B954" s="1" t="s">
        <v>954</v>
      </c>
      <c r="C954" t="str">
        <f>IFERROR(__xludf.DUMMYFUNCTION("GOOGLETRANSLATE(B954, ""zh"", ""en"")"),"Nice hat good quality and cheap price. Lined the front of the hat, very comfortable and stylish, but small size Shaopian")</f>
        <v>Nice hat good quality and cheap price. Lined the front of the hat, very comfortable and stylish, but small size Shaopian</v>
      </c>
    </row>
    <row r="955">
      <c r="A955" s="1">
        <v>5.0</v>
      </c>
      <c r="B955" s="1" t="s">
        <v>955</v>
      </c>
      <c r="C955" t="str">
        <f>IFERROR(__xludf.DUMMYFUNCTION("GOOGLETRANSLATE(B955, ""zh"", ""en"")"),"Nice New Year's gift for mom, happy, good-looking.")</f>
        <v>Nice New Year's gift for mom, happy, good-looking.</v>
      </c>
    </row>
    <row r="956">
      <c r="A956" s="1">
        <v>5.0</v>
      </c>
      <c r="B956" s="1" t="s">
        <v>956</v>
      </c>
      <c r="C956" t="str">
        <f>IFERROR(__xludf.DUMMYFUNCTION("GOOGLETRANSLATE(B956, ""zh"", ""en"")"),"Good insulation, a hot water added to try to 48 hours are still hot '")</f>
        <v>Good insulation, a hot water added to try to 48 hours are still hot '</v>
      </c>
    </row>
    <row r="957">
      <c r="A957" s="1">
        <v>5.0</v>
      </c>
      <c r="B957" s="1" t="s">
        <v>957</v>
      </c>
      <c r="C957" t="str">
        <f>IFERROR(__xludf.DUMMYFUNCTION("GOOGLETRANSLATE(B957, ""zh"", ""en"")"),"Philips is on a good, spent six years. A charge line explosion skin aging, the shaver is very good. This has bought a Philips, currently with a very good, I hope do not let me down")</f>
        <v>Philips is on a good, spent six years. A charge line explosion skin aging, the shaver is very good. This has bought a Philips, currently with a very good, I hope do not let me down</v>
      </c>
    </row>
    <row r="958">
      <c r="A958" s="1">
        <v>5.0</v>
      </c>
      <c r="B958" s="1" t="s">
        <v>958</v>
      </c>
      <c r="C958" t="str">
        <f>IFERROR(__xludf.DUMMYFUNCTION("GOOGLETRANSLATE(B958, ""zh"", ""en"")"),"The results were OK, very cheap like a good deal, Amoy also cost-effective than the feeling of the sea, the Lynx gave a month's prime membership, happy, workable")</f>
        <v>The results were OK, very cheap like a good deal, Amoy also cost-effective than the feeling of the sea, the Lynx gave a month's prime membership, happy, workable</v>
      </c>
    </row>
    <row r="959">
      <c r="A959" s="1">
        <v>5.0</v>
      </c>
      <c r="B959" s="1" t="s">
        <v>959</v>
      </c>
      <c r="C959" t="str">
        <f>IFERROR(__xludf.DUMMYFUNCTION("GOOGLETRANSLATE(B959, ""zh"", ""en"")"),"Good capacity very quickly, speed is not bad")</f>
        <v>Good capacity very quickly, speed is not bad</v>
      </c>
    </row>
    <row r="960">
      <c r="A960" s="1">
        <v>5.0</v>
      </c>
      <c r="B960" s="1" t="s">
        <v>960</v>
      </c>
      <c r="C960" t="str">
        <f>IFERROR(__xludf.DUMMYFUNCTION("GOOGLETRANSLATE(B960, ""zh"", ""en"")"),"Smaller than expected have not used, it seems very delicate, like.")</f>
        <v>Smaller than expected have not used, it seems very delicate, like.</v>
      </c>
    </row>
    <row r="961">
      <c r="A961" s="1">
        <v>5.0</v>
      </c>
      <c r="B961" s="1" t="s">
        <v>961</v>
      </c>
      <c r="C961" t="str">
        <f>IFERROR(__xludf.DUMMYFUNCTION("GOOGLETRANSLATE(B961, ""zh"", ""en"")"),"Japan than to buy the store price is also appropriate than the Japanese store to buy price also suitable, good quality, family members have been wearing this brand of L, this is also appropriate, 178,150 + pounds. If there stomach is recommended to buy XL"&amp;", for reference only")</f>
        <v>Japan than to buy the store price is also appropriate than the Japanese store to buy price also suitable, good quality, family members have been wearing this brand of L, this is also appropriate, 178,150 + pounds. If there stomach is recommended to buy XL, for reference only</v>
      </c>
    </row>
    <row r="962">
      <c r="A962" s="1">
        <v>5.0</v>
      </c>
      <c r="B962" s="1" t="s">
        <v>962</v>
      </c>
      <c r="C962" t="str">
        <f>IFERROR(__xludf.DUMMYFUNCTION("GOOGLETRANSLATE(B962, ""zh"", ""en"")"),"And there is no problem that is too large. But the quality is very good, wearing not tired climbing")</f>
        <v>And there is no problem that is too large. But the quality is very good, wearing not tired climbing</v>
      </c>
    </row>
    <row r="963">
      <c r="A963" s="1">
        <v>5.0</v>
      </c>
      <c r="B963" s="1" t="s">
        <v>963</v>
      </c>
      <c r="C963" t="str">
        <f>IFERROR(__xludf.DUMMYFUNCTION("GOOGLETRANSLATE(B963, ""zh"", ""en"")"),"Shoes are very positive shoe size is the standard, the British finally ECCO Asia, the most satisfying time shopping at Amazon.")</f>
        <v>Shoes are very positive shoe size is the standard, the British finally ECCO Asia, the most satisfying time shopping at Amazon.</v>
      </c>
    </row>
    <row r="964">
      <c r="A964" s="1">
        <v>5.0</v>
      </c>
      <c r="B964" s="1" t="s">
        <v>964</v>
      </c>
      <c r="C964" t="str">
        <f>IFERROR(__xludf.DUMMYFUNCTION("GOOGLETRANSLATE(B964, ""zh"", ""en"")"),"Overall satisfaction with the right size, quality can still put a special cell phone pocket is easy to solve the problem usually put the phone easy to fall sweater, and a good design.")</f>
        <v>Overall satisfaction with the right size, quality can still put a special cell phone pocket is easy to solve the problem usually put the phone easy to fall sweater, and a good design.</v>
      </c>
    </row>
    <row r="965">
      <c r="A965" s="1">
        <v>2.0</v>
      </c>
      <c r="B965" s="1" t="s">
        <v>965</v>
      </c>
      <c r="C965" t="str">
        <f>IFERROR(__xludf.DUMMYFUNCTION("GOOGLETRANSLATE(B965, ""zh"", ""en"")"),"Nozzle easily pop up, you can not use or very good use, is useless a few days, the head would not stay down, according to a switch, head to pop up, is to what?")</f>
        <v>Nozzle easily pop up, you can not use or very good use, is useless a few days, the head would not stay down, according to a switch, head to pop up, is to what?</v>
      </c>
    </row>
    <row r="966">
      <c r="A966" s="1">
        <v>3.0</v>
      </c>
      <c r="B966" s="1" t="s">
        <v>966</v>
      </c>
      <c r="C966" t="str">
        <f>IFERROR(__xludf.DUMMYFUNCTION("GOOGLETRANSLATE(B966, ""zh"", ""en"")"),"The new there is a little milk smell the smell of half a month or the kind of smell")</f>
        <v>The new there is a little milk smell the smell of half a month or the kind of smell</v>
      </c>
    </row>
    <row r="967">
      <c r="A967" s="1">
        <v>3.0</v>
      </c>
      <c r="B967" s="1" t="s">
        <v>967</v>
      </c>
      <c r="C967" t="str">
        <f>IFERROR(__xludf.DUMMYFUNCTION("GOOGLETRANSLATE(B967, ""zh"", ""en"")"),"Multi-grain growth, the feeling is not very much value growth pattern vamp their turn export defective, wear it under their own care, I feel not very satisfied")</f>
        <v>Multi-grain growth, the feeling is not very much value growth pattern vamp their turn export defective, wear it under their own care, I feel not very satisfied</v>
      </c>
    </row>
    <row r="968">
      <c r="A968" s="1">
        <v>1.0</v>
      </c>
      <c r="B968" s="1" t="s">
        <v>968</v>
      </c>
      <c r="C968" t="str">
        <f>IFERROR(__xludf.DUMMYFUNCTION("GOOGLETRANSLATE(B968, ""zh"", ""en"")"),"bad quality! Quality is too much garbage! A standard wash and lost.")</f>
        <v>bad quality! Quality is too much garbage! A standard wash and lost.</v>
      </c>
    </row>
    <row r="969">
      <c r="A969" s="1">
        <v>1.0</v>
      </c>
      <c r="B969" s="1" t="s">
        <v>969</v>
      </c>
      <c r="C969" t="str">
        <f>IFERROR(__xludf.DUMMYFUNCTION("GOOGLETRANSLATE(B969, ""zh"", ""en"")"),"Do not understand the problem here is not too bad more than 190, a large flow of water, is it because the first stage of 3M PP cotton into his go inside? After boiled water cooled like a lot of cotton in the bottom of the sink (not scale). With more than "&amp;"160 very well last year. Do not know can not be returned or who to turn to counseling is not a quality problem. Not ever dare to buy")</f>
        <v>Do not understand the problem here is not too bad more than 190, a large flow of water, is it because the first stage of 3M PP cotton into his go inside? After boiled water cooled like a lot of cotton in the bottom of the sink (not scale). With more than 160 very well last year. Do not know can not be returned or who to turn to counseling is not a quality problem. Not ever dare to buy</v>
      </c>
    </row>
    <row r="970">
      <c r="A970" s="1">
        <v>4.0</v>
      </c>
      <c r="B970" s="1" t="s">
        <v>970</v>
      </c>
      <c r="C970" t="str">
        <f>IFERROR(__xludf.DUMMYFUNCTION("GOOGLETRANSLATE(B970, ""zh"", ""en"")"),"Also a little too large 32 lee jeans just a little tight, this is too large to 32, and will return too expensive to wear it. Cloth a little sticky hair")</f>
        <v>Also a little too large 32 lee jeans just a little tight, this is too large to 32, and will return too expensive to wear it. Cloth a little sticky hair</v>
      </c>
    </row>
    <row r="971">
      <c r="A971" s="1">
        <v>4.0</v>
      </c>
      <c r="B971" s="1" t="s">
        <v>971</v>
      </c>
      <c r="C971" t="str">
        <f>IFERROR(__xludf.DUMMYFUNCTION("GOOGLETRANSLATE(B971, ""zh"", ""en"")"),"Cost is not high, but the price is a third of the store, consolation it! High shoe out front a little, old mat pad, design issues, three Velcro always feel the satisfaction of the tune! Also, the foundation of this kind of shoes in general tend to be hard"&amp;", not very comfortable, buy soft bottom to see the picture that soft, personal choice reasons are not satisfied!")</f>
        <v>Cost is not high, but the price is a third of the store, consolation it! High shoe out front a little, old mat pad, design issues, three Velcro always feel the satisfaction of the tune! Also, the foundation of this kind of shoes in general tend to be hard, not very comfortable, buy soft bottom to see the picture that soft, personal choice reasons are not satisfied!</v>
      </c>
    </row>
    <row r="972">
      <c r="A972" s="1">
        <v>4.0</v>
      </c>
      <c r="B972" s="1" t="s">
        <v>972</v>
      </c>
      <c r="C972" t="str">
        <f>IFERROR(__xludf.DUMMYFUNCTION("GOOGLETRANSLATE(B972, ""zh"", ""en"")"),"May also be the height 172, weight 73, 32, 32 to buy, a lot of long, amputated five cm, put on the right waist, legs loose,")</f>
        <v>May also be the height 172, weight 73, 32, 32 to buy, a lot of long, amputated five cm, put on the right waist, legs loose,</v>
      </c>
    </row>
    <row r="973">
      <c r="A973" s="1">
        <v>4.0</v>
      </c>
      <c r="B973" s="1" t="s">
        <v>973</v>
      </c>
      <c r="C973" t="str">
        <f>IFERROR(__xludf.DUMMYFUNCTION("GOOGLETRANSLATE(B973, ""zh"", ""en"")"),"Well first sea Amoy brand of clothes, how to choose worried size, height 1.67 m 65KG, S code exactly. This price can buy this brand of clothes I personally feel worthy, hoping to provide reference.")</f>
        <v>Well first sea Amoy brand of clothes, how to choose worried size, height 1.67 m 65KG, S code exactly. This price can buy this brand of clothes I personally feel worthy, hoping to provide reference.</v>
      </c>
    </row>
    <row r="974">
      <c r="A974" s="1">
        <v>4.0</v>
      </c>
      <c r="B974" s="1" t="s">
        <v>974</v>
      </c>
      <c r="C974" t="str">
        <f>IFERROR(__xludf.DUMMYFUNCTION("GOOGLETRANSLATE(B974, ""zh"", ""en"")"),"General packaging is not flattered by the hand, packaging, smashes the bottle okay, no taste, the baby never used bottle from birth to now, the first time are not accustomed to, will not use the rhythm, I hope more will be used several times use")</f>
        <v>General packaging is not flattered by the hand, packaging, smashes the bottle okay, no taste, the baby never used bottle from birth to now, the first time are not accustomed to, will not use the rhythm, I hope more will be used several times use</v>
      </c>
    </row>
    <row r="975">
      <c r="A975" s="1">
        <v>5.0</v>
      </c>
      <c r="B975" s="1" t="s">
        <v>975</v>
      </c>
      <c r="C975" t="str">
        <f>IFERROR(__xludf.DUMMYFUNCTION("GOOGLETRANSLATE(B975, ""zh"", ""en"")"),"Khaki m m length code 170.80kg wearing the right size, color is not a true little greenish khaki, fabric feel good, like for loose")</f>
        <v>Khaki m m length code 170.80kg wearing the right size, color is not a true little greenish khaki, fabric feel good, like for loose</v>
      </c>
    </row>
    <row r="976">
      <c r="A976" s="1">
        <v>5.0</v>
      </c>
      <c r="B976" s="1" t="s">
        <v>976</v>
      </c>
      <c r="C976" t="str">
        <f>IFERROR(__xludf.DUMMYFUNCTION("GOOGLETRANSLATE(B976, ""zh"", ""en"")"),"Very, very good, never went before the evaluation, I do not know how many wasted points, points can change money now know, they should look carefully evaluated, then I put these words to copy to go, both to earn points, but also the easy way to go where c"&amp;"opy where, most importantly, do not seriously review, do not think how much worse word, sent directly to it, recommend it to everyone! !")</f>
        <v>Very, very good, never went before the evaluation,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sent directly to it, recommend it to everyone! !</v>
      </c>
    </row>
    <row r="977">
      <c r="A977" s="1">
        <v>5.0</v>
      </c>
      <c r="B977" s="1" t="s">
        <v>977</v>
      </c>
      <c r="C977" t="str">
        <f>IFERROR(__xludf.DUMMYFUNCTION("GOOGLETRANSLATE(B977, ""zh"", ""en"")"),"Good help joint damage")</f>
        <v>Good help joint damage</v>
      </c>
    </row>
    <row r="978">
      <c r="A978" s="1">
        <v>5.0</v>
      </c>
      <c r="B978" s="1" t="s">
        <v>978</v>
      </c>
      <c r="C978" t="str">
        <f>IFERROR(__xludf.DUMMYFUNCTION("GOOGLETRANSLATE(B978, ""zh"", ""en"")"),"The superb original box is not actually sent to a very pleasant surprise, but should not be so trench, with such a big box! Machine is very easy to use, a cup a day, but also very hard to hold back the desire to drink the second cup ...... very, very good"&amp;" customer service attitude!")</f>
        <v>The superb original box is not actually sent to a very pleasant surprise, but should not be so trench, with such a big box! Machine is very easy to use, a cup a day, but also very hard to hold back the desire to drink the second cup ...... very, very good customer service attitude!</v>
      </c>
    </row>
    <row r="979">
      <c r="A979" s="1">
        <v>5.0</v>
      </c>
      <c r="B979" s="1" t="s">
        <v>979</v>
      </c>
      <c r="C979" t="str">
        <f>IFERROR(__xludf.DUMMYFUNCTION("GOOGLETRANSLATE(B979, ""zh"", ""en"")"),"perfect workmanship is very good, very solid, good style, 175cm70kg, No. S just, a little tight at the neckline; there is color blue, deep color than the pictures, but feel just right")</f>
        <v>perfect workmanship is very good, very solid, good style, 175cm70kg, No. S just, a little tight at the neckline; there is color blue, deep color than the pictures, but feel just right</v>
      </c>
    </row>
    <row r="980">
      <c r="A980" s="1">
        <v>5.0</v>
      </c>
      <c r="B980" s="1" t="s">
        <v>980</v>
      </c>
      <c r="C980" t="str">
        <f>IFERROR(__xludf.DUMMYFUNCTION("GOOGLETRANSLATE(B980, ""zh"", ""en"")"),"Old style, old-fashioned people would love number is too large, the sleeves a little longer, older style, suitable for conservative people wear.")</f>
        <v>Old style, old-fashioned people would love number is too large, the sleeves a little longer, older style, suitable for conservative people wear.</v>
      </c>
    </row>
    <row r="981">
      <c r="A981" s="1">
        <v>5.0</v>
      </c>
      <c r="B981" s="1" t="s">
        <v>981</v>
      </c>
      <c r="C981" t="str">
        <f>IFERROR(__xludf.DUMMYFUNCTION("GOOGLETRANSLATE(B981, ""zh"", ""en"")"),"High cost of demolition, winning 10t helium, hand disability, shell is broken, the price can only buy treasure x 8t disassemble")</f>
        <v>High cost of demolition, winning 10t helium, hand disability, shell is broken, the price can only buy treasure x 8t disassemble</v>
      </c>
    </row>
    <row r="982">
      <c r="A982" s="1">
        <v>5.0</v>
      </c>
      <c r="B982" s="1" t="s">
        <v>982</v>
      </c>
      <c r="C982" t="str">
        <f>IFERROR(__xludf.DUMMYFUNCTION("GOOGLETRANSLATE(B982, ""zh"", ""en"")"),"Not with the use of a pacifier No. 1")</f>
        <v>Not with the use of a pacifier No. 1</v>
      </c>
    </row>
    <row r="983">
      <c r="A983" s="1">
        <v>5.0</v>
      </c>
      <c r="B983" s="1" t="s">
        <v>983</v>
      </c>
      <c r="C983" t="str">
        <f>IFERROR(__xludf.DUMMYFUNCTION("GOOGLETRANSLATE(B983, ""zh"", ""en"")"),"Good to see this dress look good very comfortable ......")</f>
        <v>Good to see this dress look good very comfortable ......</v>
      </c>
    </row>
    <row r="984">
      <c r="A984" s="1">
        <v>5.0</v>
      </c>
      <c r="B984" s="1" t="s">
        <v>984</v>
      </c>
      <c r="C984" t="str">
        <f>IFERROR(__xludf.DUMMYFUNCTION("GOOGLETRANSLATE(B984, ""zh"", ""en"")"),"Useful to alleviate joint pain almost nine yuan more expensive than in the United States when the order was in the Amazon price, plus customs duties thirty, on the whole is good, delivery is also very fast, three days received. This requires long-term eat"&amp;"ing, very helpful to alleviate joint pain.")</f>
        <v>Useful to alleviate joint pain almost nine yuan more expensive than in the United States when the order was in the Amazon price, plus customs duties thirty, on the whole is good, delivery is also very fast, three days received. This requires long-term eating, very helpful to alleviate joint pain.</v>
      </c>
    </row>
    <row r="985">
      <c r="A985" s="1">
        <v>5.0</v>
      </c>
      <c r="B985" s="1" t="s">
        <v>985</v>
      </c>
      <c r="C985" t="str">
        <f>IFERROR(__xludf.DUMMYFUNCTION("GOOGLETRANSLATE(B985, ""zh"", ""en"")"),"Bought the wrong, then return merchandise trouble, heart steam overseas purchase orders can not be used at that time, did not see a return later point, they can not return, and get the goods today, only to find to buy the wrong. Return path too much troub"&amp;"le, can not be used overseas to buy steamed heart")</f>
        <v>Bought the wrong, then return merchandise trouble, heart steam overseas purchase orders can not be used at that time, did not see a return later point, they can not return, and get the goods today, only to find to buy the wrong. Return path too much trouble, can not be used overseas to buy steamed heart</v>
      </c>
    </row>
    <row r="986">
      <c r="A986" s="1">
        <v>5.0</v>
      </c>
      <c r="B986" s="1" t="s">
        <v>986</v>
      </c>
      <c r="C986" t="str">
        <f>IFERROR(__xludf.DUMMYFUNCTION("GOOGLETRANSLATE(B986, ""zh"", ""en"")"),"Clarks female soft leather low-top sneakers comfortable and light, style is tidal.")</f>
        <v>Clarks female soft leather low-top sneakers comfortable and light, style is tidal.</v>
      </c>
    </row>
    <row r="987">
      <c r="A987" s="1">
        <v>5.0</v>
      </c>
      <c r="B987" s="1" t="s">
        <v>987</v>
      </c>
      <c r="C987" t="str">
        <f>IFERROR(__xludf.DUMMYFUNCTION("GOOGLETRANSLATE(B987, ""zh"", ""en"")"),"The right size is very good, size is also very consistent, I feel big size design flexibility, it can be adjusted.")</f>
        <v>The right size is very good, size is also very consistent, I feel big size design flexibility, it can be adjusted.</v>
      </c>
    </row>
    <row r="988">
      <c r="A988" s="1">
        <v>5.0</v>
      </c>
      <c r="B988" s="1" t="s">
        <v>988</v>
      </c>
      <c r="C988" t="str">
        <f>IFERROR(__xludf.DUMMYFUNCTION("GOOGLETRANSLATE(B988, ""zh"", ""en"")"),"Affordable and comfortable shoes, as always, the price is very friendly, very satisfied!")</f>
        <v>Affordable and comfortable shoes, as always, the price is very friendly, very satisfied!</v>
      </c>
    </row>
    <row r="989">
      <c r="A989" s="1">
        <v>5.0</v>
      </c>
      <c r="B989" s="1" t="s">
        <v>989</v>
      </c>
      <c r="C989" t="str">
        <f>IFERROR(__xludf.DUMMYFUNCTION("GOOGLETRANSLATE(B989, ""zh"", ""en"")"),"For reference only himself 173,65kg, bust 90, Nichia L code slightly loose, is what I want, compared to the United States and Asia champion S code feeling slightly larger.")</f>
        <v>For reference only himself 173,65kg, bust 90, Nichia L code slightly loose, is what I want, compared to the United States and Asia champion S code feeling slightly larger.</v>
      </c>
    </row>
    <row r="990">
      <c r="A990" s="1">
        <v>5.0</v>
      </c>
      <c r="B990" s="1" t="s">
        <v>990</v>
      </c>
      <c r="C990" t="str">
        <f>IFERROR(__xludf.DUMMYFUNCTION("GOOGLETRANSLATE(B990, ""zh"", ""en"")"),"Trusted genuine, good quality, trusted")</f>
        <v>Trusted genuine, good quality, trusted</v>
      </c>
    </row>
    <row r="991">
      <c r="A991" s="1">
        <v>5.0</v>
      </c>
      <c r="B991" s="1" t="s">
        <v>991</v>
      </c>
      <c r="C991" t="str">
        <f>IFERROR(__xludf.DUMMYFUNCTION("GOOGLETRANSLATE(B991, ""zh"", ""en"")"),"Easy to use! ! Super nice break out of the meringue particularly delicate! When using the sound is also very light compared with Taobao two thirty eggbeater, like baking, then the money spent absolute value ~")</f>
        <v>Easy to use! ! Super nice break out of the meringue particularly delicate! When using the sound is also very light compared with Taobao two thirty eggbeater, like baking, then the money spent absolute value ~</v>
      </c>
    </row>
    <row r="992">
      <c r="A992" s="1">
        <v>5.0</v>
      </c>
      <c r="B992" s="1" t="s">
        <v>992</v>
      </c>
      <c r="C992" t="str">
        <f>IFERROR(__xludf.DUMMYFUNCTION("GOOGLETRANSLATE(B992, ""zh"", ""en"")"),"First the good things about the same size and passports. And 4T, speed is faster. I put all the information into the photos are kept, and only a small part of the storage space. After the madness can take pictures. I used to buy a big man 1T hard disk can"&amp;" be eliminated.")</f>
        <v>First the good things about the same size and passports. And 4T, speed is faster. I put all the information into the photos are kept, and only a small part of the storage space. After the madness can take pictures. I used to buy a big man 1T hard disk can be eliminated.</v>
      </c>
    </row>
    <row r="993">
      <c r="A993" s="1">
        <v>5.0</v>
      </c>
      <c r="B993" s="1" t="s">
        <v>993</v>
      </c>
      <c r="C993" t="str">
        <f>IFERROR(__xludf.DUMMYFUNCTION("GOOGLETRANSLATE(B993, ""zh"", ""en"")"),"Very good, it should be installed helium little sister")</f>
        <v>Very good, it should be installed helium little sister</v>
      </c>
    </row>
    <row r="994">
      <c r="A994" s="1">
        <v>5.0</v>
      </c>
      <c r="B994" s="1" t="s">
        <v>994</v>
      </c>
      <c r="C994" t="str">
        <f>IFERROR(__xludf.DUMMYFUNCTION("GOOGLETRANSLATE(B994, ""zh"", ""en"")"),"Like a good number and store")</f>
        <v>Like a good number and store</v>
      </c>
    </row>
    <row r="995">
      <c r="A995" s="1">
        <v>5.0</v>
      </c>
      <c r="B995" s="1" t="s">
        <v>995</v>
      </c>
      <c r="C995" t="str">
        <f>IFERROR(__xludf.DUMMYFUNCTION("GOOGLETRANSLATE(B995, ""zh"", ""en"")"),"Exquisite workmanship, value for money! Workmanship is very fine, Amazon's overseas shopping speed is really fast, order No. 11, suggesting to the original 20, 2009, the results of 14 send calls. Prices are cheaper than Jingdong Lynx, plus tax 303 yuan, t"&amp;"his is the high cost of the headphones, the price is even more worth it. As for the sound performance, I do not understand, may not be the mainstream consumer favorite, the first ear is not so amazing, very restrained, convergence, gentle, placid.")</f>
        <v>Exquisite workmanship, value for money! Workmanship is very fine, Amazon's overseas shopping speed is really fast, order No. 11, suggesting to the original 20, 2009, the results of 14 send calls. Prices are cheaper than Jingdong Lynx, plus tax 303 yuan, this is the high cost of the headphones, the price is even more worth it. As for the sound performance, I do not understand, may not be the mainstream consumer favorite, the first ear is not so amazing, very restrained, convergence, gentle, placid.</v>
      </c>
    </row>
    <row r="996">
      <c r="A996" s="1">
        <v>2.0</v>
      </c>
      <c r="B996" s="1" t="s">
        <v>996</v>
      </c>
      <c r="C996" t="str">
        <f>IFERROR(__xludf.DUMMYFUNCTION("GOOGLETRANSLATE(B996, ""zh"", ""en"")"),"Rather hard, the baby does not like to see a recommendation to buy, received in kind should be genuine but they are harder than other pacifiers, baby do not.")</f>
        <v>Rather hard, the baby does not like to see a recommendation to buy, received in kind should be genuine but they are harder than other pacifiers, baby do not.</v>
      </c>
    </row>
    <row r="997">
      <c r="A997" s="1">
        <v>3.0</v>
      </c>
      <c r="B997" s="1" t="s">
        <v>997</v>
      </c>
      <c r="C997" t="str">
        <f>IFERROR(__xludf.DUMMYFUNCTION("GOOGLETRANSLATE(B997, ""zh"", ""en"")"),"In line with the price of the commodity is true pants fabric is not very good, and for the navy is the color a bit too blue. Indeed in line with commodity prices so cheap, a sub-price goods it can not report too much hope.")</f>
        <v>In line with the price of the commodity is true pants fabric is not very good, and for the navy is the color a bit too blue. Indeed in line with commodity prices so cheap, a sub-price goods it can not report too much hope.</v>
      </c>
    </row>
    <row r="998">
      <c r="A998" s="1">
        <v>3.0</v>
      </c>
      <c r="B998" s="1" t="s">
        <v>998</v>
      </c>
      <c r="C998" t="str">
        <f>IFERROR(__xludf.DUMMYFUNCTION("GOOGLETRANSLATE(B998, ""zh"", ""en"")"),"q neckline a little big, obvious fat")</f>
        <v>q neckline a little big, obvious fat</v>
      </c>
    </row>
    <row r="999">
      <c r="A999" s="1">
        <v>1.0</v>
      </c>
      <c r="B999" s="1" t="s">
        <v>999</v>
      </c>
      <c r="C999" t="str">
        <f>IFERROR(__xludf.DUMMYFUNCTION("GOOGLETRANSLATE(B999, ""zh"", ""en"")"),"Bought less than three months go bad! Putting aside the effect, but bought Kaifeng, ate enough for three months beginning moldy! ! There are gray spots on each of the pills, eat abdominal pain diarrhea. A search online found not a case. The strange thing "&amp;"is that even when stored airtight in a cool, not particularly humid environments. Amazon customer service to complain, the result is the rebate does not change, ready to complain to the 12315! As a prime member, get unfair treatment, the first comment!")</f>
        <v>Bought less than three months go bad! Putting aside the effect, but bought Kaifeng, ate enough for three months beginning moldy! ! There are gray spots on each of the pills, eat abdominal pain diarrhea. A search online found not a case. The strange thing is that even when stored airtight in a cool, not particularly humid environments. Amazon customer service to complain, the result is the rebate does not change, ready to complain to the 12315! As a prime member, get unfair treatment, the first comment!</v>
      </c>
    </row>
    <row r="1000">
      <c r="A1000" s="1">
        <v>1.0</v>
      </c>
      <c r="B1000" s="1" t="s">
        <v>1000</v>
      </c>
      <c r="C1000" t="str">
        <f>IFERROR(__xludf.DUMMYFUNCTION("GOOGLETRANSLATE(B1000, ""zh"", ""en"")"),"Poor quality shoes to wear for two weeks to crack, nearly 600 shoes on this quality? Timberland wear before three years have not the problem, I suspect is fake, fake is not a defective product! too poor!")</f>
        <v>Poor quality shoes to wear for two weeks to crack, nearly 600 shoes on this quality? Timberland wear before three years have not the problem, I suspect is fake, fake is not a defective product! too poor!</v>
      </c>
    </row>
    <row r="1001">
      <c r="A1001" s="1">
        <v>1.0</v>
      </c>
      <c r="B1001" s="1" t="s">
        <v>1001</v>
      </c>
      <c r="C1001" t="str">
        <f>IFERROR(__xludf.DUMMYFUNCTION("GOOGLETRANSLATE(B1001, ""zh"", ""en"")"),"Fakes! Overseas purchase would not let return! This is purchased overseas, can not even return, simple packaging, in all likelihood Maidaojiahuo! ! ! Not buy, terrible!")</f>
        <v>Fakes! Overseas purchase would not let return! This is purchased overseas, can not even return, simple packaging, in all likelihood Maidaojiahuo! ! ! Not buy, terrible!</v>
      </c>
    </row>
    <row r="1002">
      <c r="A1002" s="1">
        <v>4.0</v>
      </c>
      <c r="B1002" s="1" t="s">
        <v>1002</v>
      </c>
      <c r="C1002" t="str">
        <f>IFERROR(__xludf.DUMMYFUNCTION("GOOGLETRANSLATE(B1002, ""zh"", ""en"")"),"Good workmanship is very good, just do not know can not be upheld")</f>
        <v>Good workmanship is very good, just do not know can not be upheld</v>
      </c>
    </row>
    <row r="1003">
      <c r="A1003" s="1">
        <v>4.0</v>
      </c>
      <c r="B1003" s="1" t="s">
        <v>1003</v>
      </c>
      <c r="C1003" t="str">
        <f>IFERROR(__xludf.DUMMYFUNCTION("GOOGLETRANSLATE(B1003, ""zh"", ""en"")"),"Small collar clothes quality can, cotton, produced in Indonesia, this collar on Nima little scary, how should I say, a kind of feeling is strangling the throat of destiny, be careful to buy fat. . .")</f>
        <v>Small collar clothes quality can, cotton, produced in Indonesia, this collar on Nima little scary, how should I say, a kind of feeling is strangling the throat of destiny, be careful to buy fat. . .</v>
      </c>
    </row>
    <row r="1004">
      <c r="A1004" s="1">
        <v>4.0</v>
      </c>
      <c r="B1004" s="1" t="s">
        <v>1004</v>
      </c>
      <c r="C1004" t="str">
        <f>IFERROR(__xludf.DUMMYFUNCTION("GOOGLETRANSLATE(B1004, ""zh"", ""en"")"),"Fabric, accessories are good, like on the picture, work clothes and fabrics are good, the hardware buttons ""LEE"" logo, the sleeves a little longer. Fabric is not hard, suitable for spring and autumn wear. Because overseas purchase, so wait a little long"&amp;"er date, but it is about 20 days. worth it. Height 160, weight 120, the number M is appropriate, for reference purposes only.")</f>
        <v>Fabric, accessories are good, like on the picture, work clothes and fabrics are good, the hardware buttons "LEE" logo, the sleeves a little longer. Fabric is not hard, suitable for spring and autumn wear. Because overseas purchase, so wait a little longer date, but it is about 20 days. worth it. Height 160, weight 120, the number M is appropriate, for reference purposes only.</v>
      </c>
    </row>
    <row r="1005">
      <c r="A1005" s="1">
        <v>4.0</v>
      </c>
      <c r="B1005" s="1" t="s">
        <v>1005</v>
      </c>
      <c r="C1005" t="str">
        <f>IFERROR(__xludf.DUMMYFUNCTION("GOOGLETRANSLATE(B1005, ""zh"", ""en"")"),"The new ~ received was new. But the packaging is to be commended! On a cardboard box, when received almost falling apart! You can not be combined with a cardboard box on the outside when it shipped? Americans are not really working, which would have to be"&amp;" unemployed in China!")</f>
        <v>The new ~ received was new. But the packaging is to be commended! On a cardboard box, when received almost falling apart! You can not be combined with a cardboard box on the outside when it shipped? Americans are not really working, which would have to be unemployed in China!</v>
      </c>
    </row>
    <row r="1006">
      <c r="A1006" s="1">
        <v>4.0</v>
      </c>
      <c r="B1006" s="1" t="s">
        <v>1006</v>
      </c>
      <c r="C1006" t="str">
        <f>IFERROR(__xludf.DUMMYFUNCTION("GOOGLETRANSLATE(B1006, ""zh"", ""en"")"),"Evaluation I height 1.74m, weighs about 56kg. Just right. General feeling of quality, thickness suitable for spring. Japan purchasing seven days receive. Customs clearance faster, but ecms express speed is not particularly fast.")</f>
        <v>Evaluation I height 1.74m, weighs about 56kg. Just right. General feeling of quality, thickness suitable for spring. Japan purchasing seven days receive. Customs clearance faster, but ecms express speed is not particularly fast.</v>
      </c>
    </row>
    <row r="1007">
      <c r="A1007" s="1">
        <v>5.0</v>
      </c>
      <c r="B1007" s="1" t="s">
        <v>1007</v>
      </c>
      <c r="C1007" t="str">
        <f>IFERROR(__xludf.DUMMYFUNCTION("GOOGLETRANSLATE(B1007, ""zh"", ""en"")"),"Very good, the right size, soft texture. The right size, soft texture.")</f>
        <v>Very good, the right size, soft texture. The right size, soft texture.</v>
      </c>
    </row>
    <row r="1008">
      <c r="A1008" s="1">
        <v>5.0</v>
      </c>
      <c r="B1008" s="1" t="s">
        <v>1008</v>
      </c>
      <c r="C1008" t="str">
        <f>IFERROR(__xludf.DUMMYFUNCTION("GOOGLETRANSLATE(B1008, ""zh"", ""en"")"),"Amazon my first single, surprise! Online shopping in the country for over ten years, while in the Amazon, which is a single head. Very pleasantly surprised! We must point Like! Order No. 27, did not expect to catch up in the last day of 2016 sent from the"&amp;" United States! Products high cost. Copying data per second around 150M.")</f>
        <v>Amazon my first single, surprise! Online shopping in the country for over ten years, while in the Amazon, which is a single head. Very pleasantly surprised! We must point Like! Order No. 27, did not expect to catch up in the last day of 2016 sent from the United States! Products high cost. Copying data per second around 150M.</v>
      </c>
    </row>
    <row r="1009">
      <c r="A1009" s="1">
        <v>5.0</v>
      </c>
      <c r="B1009" s="1" t="s">
        <v>1009</v>
      </c>
      <c r="C1009" t="str">
        <f>IFERROR(__xludf.DUMMYFUNCTION("GOOGLETRANSLATE(B1009, ""zh"", ""en"")"),"Non-stick, is a bit heavy pot good, the price is much cheaper than purchasing, it is a bit heavy. It is estimated that I need to exercise.")</f>
        <v>Non-stick, is a bit heavy pot good, the price is much cheaper than purchasing, it is a bit heavy. It is estimated that I need to exercise.</v>
      </c>
    </row>
    <row r="1010">
      <c r="A1010" s="1">
        <v>5.0</v>
      </c>
      <c r="B1010" s="1" t="s">
        <v>1010</v>
      </c>
      <c r="C1010" t="str">
        <f>IFERROR(__xludf.DUMMYFUNCTION("GOOGLETRANSLATE(B1010, ""zh"", ""en"")"),"Good merchandise very comfortable shoes, mainly to catch up with activities, a good deal!")</f>
        <v>Good merchandise very comfortable shoes, mainly to catch up with activities, a good deal!</v>
      </c>
    </row>
    <row r="1011">
      <c r="A1011" s="1">
        <v>5.0</v>
      </c>
      <c r="B1011" s="1" t="s">
        <v>1011</v>
      </c>
      <c r="C1011" t="str">
        <f>IFERROR(__xludf.DUMMYFUNCTION("GOOGLETRANSLATE(B1011, ""zh"", ""en"")"),"Good use of the bottle like a lot cheaper than other platforms is genuine")</f>
        <v>Good use of the bottle like a lot cheaper than other platforms is genuine</v>
      </c>
    </row>
    <row r="1012">
      <c r="A1012" s="1">
        <v>5.0</v>
      </c>
      <c r="B1012" s="1" t="s">
        <v>1012</v>
      </c>
      <c r="C1012" t="str">
        <f>IFERROR(__xludf.DUMMYFUNCTION("GOOGLETRANSLATE(B1012, ""zh"", ""en"")"),"Blue Asian equivalent of the child's choice s code m, but slightly longer")</f>
        <v>Blue Asian equivalent of the child's choice s code m, but slightly longer</v>
      </c>
    </row>
    <row r="1013">
      <c r="A1013" s="1">
        <v>5.0</v>
      </c>
      <c r="B1013" s="1" t="s">
        <v>1013</v>
      </c>
      <c r="C1013" t="str">
        <f>IFERROR(__xludf.DUMMYFUNCTION("GOOGLETRANSLATE(B1013, ""zh"", ""en"")"),"Very cheap comfortable wearing very comfortable, but as time members can not help but buy shipping, can prime a few days, and more than 80 out of the freight, but the price is very cheap")</f>
        <v>Very cheap comfortable wearing very comfortable, but as time members can not help but buy shipping, can prime a few days, and more than 80 out of the freight, but the price is very cheap</v>
      </c>
    </row>
    <row r="1014">
      <c r="A1014" s="1">
        <v>5.0</v>
      </c>
      <c r="B1014" s="1" t="s">
        <v>1014</v>
      </c>
      <c r="C1014" t="str">
        <f>IFERROR(__xludf.DUMMYFUNCTION("GOOGLETRANSLATE(B1014, ""zh"", ""en"")"),"Dual hard disk is to buy a little faster now also increasingly hard enough, and relatively long time, found 12T dual hard disk price is still possible. Transportation took a long time, but recently really have no alternative. After the hand then the compu"&amp;"ter lightning 3 interfaces, particularly slow, do not know why, and later research. Then connected to the usb3.0 interfaces, mobile hard disk from the hard disk to test up to 300M / S, speed is quite satisfied. 2 which is a hard disk WD red, a group shoul"&amp;"d be the default mode RAID0. Temporarily should be enough.")</f>
        <v>Dual hard disk is to buy a little faster now also increasingly hard enough, and relatively long time, found 12T dual hard disk price is still possible. Transportation took a long time, but recently really have no alternative. After the hand then the computer lightning 3 interfaces, particularly slow, do not know why, and later research. Then connected to the usb3.0 interfaces, mobile hard disk from the hard disk to test up to 300M / S, speed is quite satisfied. 2 which is a hard disk WD red, a group should be the default mode RAID0. Temporarily should be enough.</v>
      </c>
    </row>
    <row r="1015">
      <c r="A1015" s="1">
        <v>5.0</v>
      </c>
      <c r="B1015" s="1" t="s">
        <v>1015</v>
      </c>
      <c r="C1015" t="str">
        <f>IFERROR(__xludf.DUMMYFUNCTION("GOOGLETRANSLATE(B1015, ""zh"", ""en"")"),"Okay price is very affordable quality is okay")</f>
        <v>Okay price is very affordable quality is okay</v>
      </c>
    </row>
    <row r="1016">
      <c r="A1016" s="1">
        <v>5.0</v>
      </c>
      <c r="B1016" s="1" t="s">
        <v>1016</v>
      </c>
      <c r="C1016" t="str">
        <f>IFERROR(__xludf.DUMMYFUNCTION("GOOGLETRANSLATE(B1016, ""zh"", ""en"")"),"Good good clothes, good-looking, comfortable, fabric can be")</f>
        <v>Good good clothes, good-looking, comfortable, fabric can be</v>
      </c>
    </row>
    <row r="1017">
      <c r="A1017" s="1">
        <v>5.0</v>
      </c>
      <c r="B1017" s="1" t="s">
        <v>1017</v>
      </c>
      <c r="C1017" t="str">
        <f>IFERROR(__xludf.DUMMYFUNCTION("GOOGLETRANSLATE(B1017, ""zh"", ""en"")"),"Standard Size 36 (93cm) inch waist pants to buy 36 yards, just good, sort of a small.")</f>
        <v>Standard Size 36 (93cm) inch waist pants to buy 36 yards, just good, sort of a small.</v>
      </c>
    </row>
    <row r="1018">
      <c r="A1018" s="1">
        <v>5.0</v>
      </c>
      <c r="B1018" s="1" t="s">
        <v>1018</v>
      </c>
      <c r="C1018" t="str">
        <f>IFERROR(__xludf.DUMMYFUNCTION("GOOGLETRANSLATE(B1018, ""zh"", ""en"")"),"Just the right size 170cm, 74kg, just.")</f>
        <v>Just the right size 170cm, 74kg, just.</v>
      </c>
    </row>
    <row r="1019">
      <c r="A1019" s="1">
        <v>5.0</v>
      </c>
      <c r="B1019" s="1" t="s">
        <v>1019</v>
      </c>
      <c r="C1019" t="str">
        <f>IFERROR(__xludf.DUMMYFUNCTION("GOOGLETRANSLATE(B1019, ""zh"", ""en"")"),"Classic, not much to say classic, wild, cheap, Naicao. Full 5 stars")</f>
        <v>Classic, not much to say classic, wild, cheap, Naicao. Full 5 stars</v>
      </c>
    </row>
    <row r="1020">
      <c r="A1020" s="1">
        <v>5.0</v>
      </c>
      <c r="B1020" s="1" t="s">
        <v>1020</v>
      </c>
      <c r="C1020" t="str">
        <f>IFERROR(__xludf.DUMMYFUNCTION("GOOGLETRANSLATE(B1020, ""zh"", ""en"")"),"Behind the key to open the key to open the back did not seem to use, press no response, is not a decoration?")</f>
        <v>Behind the key to open the key to open the back did not seem to use, press no response, is not a decoration?</v>
      </c>
    </row>
    <row r="1021">
      <c r="A1021" s="1">
        <v>5.0</v>
      </c>
      <c r="B1021" s="1" t="s">
        <v>1021</v>
      </c>
      <c r="C1021" t="str">
        <f>IFERROR(__xludf.DUMMYFUNCTION("GOOGLETRANSLATE(B1021, ""zh"", ""en"")"),"Six cups of coffee is certainly not about the amount of liquid Starbucks four shot it, very beautiful")</f>
        <v>Six cups of coffee is certainly not about the amount of liquid Starbucks four shot it, very beautiful</v>
      </c>
    </row>
    <row r="1022">
      <c r="A1022" s="1">
        <v>5.0</v>
      </c>
      <c r="B1022" s="1" t="s">
        <v>1022</v>
      </c>
      <c r="C1022" t="str">
        <f>IFERROR(__xludf.DUMMYFUNCTION("GOOGLETRANSLATE(B1022, ""zh"", ""en"")"),"The pants are elastic title written Slim models, the arrival to know the fabric is elastic, so yardage selection may vary between twelve yards, a little loose you can choose the size usually wear jeans or freshman code, tight can choose a small one yard. "&amp;"wrangler jeans, this version is not bad.")</f>
        <v>The pants are elastic title written Slim models, the arrival to know the fabric is elastic, so yardage selection may vary between twelve yards, a little loose you can choose the size usually wear jeans or freshman code, tight can choose a small one yard. wrangler jeans, this version is not bad.</v>
      </c>
    </row>
    <row r="1023">
      <c r="A1023" s="1">
        <v>5.0</v>
      </c>
      <c r="B1023" s="1" t="s">
        <v>1023</v>
      </c>
      <c r="C1023" t="str">
        <f>IFERROR(__xludf.DUMMYFUNCTION("GOOGLETRANSLATE(B1023, ""zh"", ""en"")"),"Use good sense of toothbrush is very good, I heard that the charger can charge to X, as well as eighty percent power when the phone charge for a night without electricity to the discovery of X automatically shut down, put my phone battery charger suck fin"&amp;"ished? ? ?")</f>
        <v>Use good sense of toothbrush is very good, I heard that the charger can charge to X, as well as eighty percent power when the phone charge for a night without electricity to the discovery of X automatically shut down, put my phone battery charger suck finished? ? ?</v>
      </c>
    </row>
    <row r="1024">
      <c r="A1024" s="1">
        <v>5.0</v>
      </c>
      <c r="B1024" s="1" t="s">
        <v>1024</v>
      </c>
      <c r="C1024" t="str">
        <f>IFERROR(__xludf.DUMMYFUNCTION("GOOGLETRANSLATE(B1024, ""zh"", ""en"")"),"Quality T-shirt Quality T-shirt")</f>
        <v>Quality T-shirt Quality T-shirt</v>
      </c>
    </row>
    <row r="1025">
      <c r="A1025" s="1">
        <v>5.0</v>
      </c>
      <c r="B1025" s="1" t="s">
        <v>1025</v>
      </c>
      <c r="C1025" t="str">
        <f>IFERROR(__xludf.DUMMYFUNCTION("GOOGLETRANSLATE(B1025, ""zh"", ""en"")"),"Five-star praise upon returning home, tried the shoes, the right size. First time to buy ecco, do not know is not genuine, Amazon choose to believe. Amazon is a five-star service, mail call Amazon, will be taken seriously and responded to a hundred percen"&amp;"t, this must be the red five-star! !")</f>
        <v>Five-star praise upon returning home, tried the shoes, the right size. First time to buy ecco, do not know is not genuine, Amazon choose to believe. Amazon is a five-star service, mail call Amazon, will be taken seriously and responded to a hundred percent, this must be the red five-star! !</v>
      </c>
    </row>
    <row r="1026">
      <c r="A1026" s="1">
        <v>5.0</v>
      </c>
      <c r="B1026" s="1" t="s">
        <v>1026</v>
      </c>
      <c r="C1026" t="str">
        <f>IFERROR(__xludf.DUMMYFUNCTION("GOOGLETRANSLATE(B1026, ""zh"", ""en"")"),"5.11've been wearing, grinding ban, Naicao")</f>
        <v>5.11've been wearing, grinding ban, Naicao</v>
      </c>
    </row>
    <row r="1027">
      <c r="A1027" s="1">
        <v>5.0</v>
      </c>
      <c r="B1027" s="1" t="s">
        <v>1027</v>
      </c>
      <c r="C1027" t="str">
        <f>IFERROR(__xludf.DUMMYFUNCTION("GOOGLETRANSLATE(B1027, ""zh"", ""en"")"),"Underwear size just very good, lightweight and breathable. I liked it, and bought one.")</f>
        <v>Underwear size just very good, lightweight and breathable. I liked it, and bought one.</v>
      </c>
    </row>
    <row r="1028">
      <c r="A1028" s="1">
        <v>5.0</v>
      </c>
      <c r="B1028" s="1" t="s">
        <v>1028</v>
      </c>
      <c r="C1028" t="str">
        <f>IFERROR(__xludf.DUMMYFUNCTION("GOOGLETRANSLATE(B1028, ""zh"", ""en"")"),"Good Very Good, big discount efforts")</f>
        <v>Good Very Good, big discount efforts</v>
      </c>
    </row>
    <row r="1029">
      <c r="A1029" s="1">
        <v>2.0</v>
      </c>
      <c r="B1029" s="1" t="s">
        <v>1029</v>
      </c>
      <c r="C1029" t="str">
        <f>IFERROR(__xludf.DUMMYFUNCTION("GOOGLETRANSLATE(B1029, ""zh"", ""en"")"),"Size trouble to get an accurate number and the number is not accurate, can not buy clothes on Amazon, other categories of goods can be. Prior to the purchase of goods on Amazon customer service can not communicate, please improve!")</f>
        <v>Size trouble to get an accurate number and the number is not accurate, can not buy clothes on Amazon, other categories of goods can be. Prior to the purchase of goods on Amazon customer service can not communicate, please improve!</v>
      </c>
    </row>
    <row r="1030">
      <c r="A1030" s="1">
        <v>3.0</v>
      </c>
      <c r="B1030" s="1" t="s">
        <v>1030</v>
      </c>
      <c r="C1030" t="str">
        <f>IFERROR(__xludf.DUMMYFUNCTION("GOOGLETRANSLATE(B1030, ""zh"", ""en"")"),"Samsung to logistics packaging so bad things can be, is the logistics packaging is also environmentally friendly too, right? Logistics is not only the bag was poked a hole, even inside the box are rotten ...... This is really the first time I met such a l"&amp;"ow of packaging, fully replace the core being transferred packet may be - there is a British production, only pot that is produced in Germany")</f>
        <v>Samsung to logistics packaging so bad things can be, is the logistics packaging is also environmentally friendly too, right? Logistics is not only the bag was poked a hole, even inside the box are rotten ...... This is really the first time I met such a low of packaging, fully replace the core being transferred packet may be - there is a British production, only pot that is produced in Germany</v>
      </c>
    </row>
    <row r="1031">
      <c r="A1031" s="1">
        <v>3.0</v>
      </c>
      <c r="B1031" s="1" t="s">
        <v>1031</v>
      </c>
      <c r="C1031" t="str">
        <f>IFERROR(__xludf.DUMMYFUNCTION("GOOGLETRANSLATE(B1031, ""zh"", ""en"")"),"Long battery life, sound quality is also good buying price the next day, and immediately request a return or send back the results. Amazon user experience really bad, but fortunately good quality headphones, long battery life")</f>
        <v>Long battery life, sound quality is also good buying price the next day, and immediately request a return or send back the results. Amazon user experience really bad, but fortunately good quality headphones, long battery life</v>
      </c>
    </row>
    <row r="1032">
      <c r="A1032" s="1">
        <v>1.0</v>
      </c>
      <c r="B1032" s="1" t="s">
        <v>1032</v>
      </c>
      <c r="C1032" t="str">
        <f>IFERROR(__xludf.DUMMYFUNCTION("GOOGLETRANSLATE(B1032, ""zh"", ""en"")"),"Shoes are fake garbage shoes, very hard, a sense of where to step on feces? Just like before, like iron, overseas purchase less than five days actually received the goods, it is too fake, right")</f>
        <v>Shoes are fake garbage shoes, very hard, a sense of where to step on feces? Just like before, like iron, overseas purchase less than five days actually received the goods, it is too fake, right</v>
      </c>
    </row>
    <row r="1033">
      <c r="A1033" s="1">
        <v>1.0</v>
      </c>
      <c r="B1033" s="1" t="s">
        <v>1033</v>
      </c>
      <c r="C1033" t="str">
        <f>IFERROR(__xludf.DUMMYFUNCTION("GOOGLETRANSLATE(B1033, ""zh"", ""en"")"),"Disappointing shopping too loose, and not the same as described, but also to return 125 yuan freight, quality of service is poor. Do not say Jingdong, even Taobao 1🌟 businesses than not, sooner or later to close at Amazon")</f>
        <v>Disappointing shopping too loose, and not the same as described, but also to return 125 yuan freight, quality of service is poor. Do not say Jingdong, even Taobao 1🌟 businesses than not, sooner or later to close at Amazon</v>
      </c>
    </row>
    <row r="1034">
      <c r="A1034" s="1">
        <v>1.0</v>
      </c>
      <c r="B1034" s="1" t="s">
        <v>1034</v>
      </c>
      <c r="C1034" t="str">
        <f>IFERROR(__xludf.DUMMYFUNCTION("GOOGLETRANSLATE(B1034, ""zh"", ""en"")"),"Full of cheap sense of opening the package the moment it was 'spread the goods' have to feel like the odd lines get very poor, think about the previous CX200, Sennheiser is dead, poor sound odd, I feel like wrapped in the quilt of sound, ...... you can be"&amp;"ar it. Do something made in China began in the completely destroyed yet, Origin: China, I was scouring the sea of ​​American goods, but also pay a tariff ......")</f>
        <v>Full of cheap sense of opening the package the moment it was 'spread the goods' have to feel like the odd lines get very poor, think about the previous CX200, Sennheiser is dead, poor sound odd, I feel like wrapped in the quilt of sound, ...... you can bear it. Do something made in China began in the completely destroyed yet, Origin: China, I was scouring the sea of ​​American goods, but also pay a tariff ......</v>
      </c>
    </row>
    <row r="1035">
      <c r="A1035" s="1">
        <v>4.0</v>
      </c>
      <c r="B1035" s="1" t="s">
        <v>1035</v>
      </c>
      <c r="C1035" t="str">
        <f>IFERROR(__xludf.DUMMYFUNCTION("GOOGLETRANSLATE(B1035, ""zh"", ""en"")"),"Buy this belt long head is belt seam, buy long bad cut, only holes. Quality looks good, produced in India, oxen put on the body")</f>
        <v>Buy this belt long head is belt seam, buy long bad cut, only holes. Quality looks good, produced in India, oxen put on the body</v>
      </c>
    </row>
    <row r="1036">
      <c r="A1036" s="1">
        <v>4.0</v>
      </c>
      <c r="B1036" s="1" t="s">
        <v>1036</v>
      </c>
      <c r="C1036" t="str">
        <f>IFERROR(__xludf.DUMMYFUNCTION("GOOGLETRANSLATE(B1036, ""zh"", ""en"")"),"Generally good quality of some small.")</f>
        <v>Generally good quality of some small.</v>
      </c>
    </row>
    <row r="1037">
      <c r="A1037" s="1">
        <v>4.0</v>
      </c>
      <c r="B1037" s="1" t="s">
        <v>1037</v>
      </c>
      <c r="C1037" t="str">
        <f>IFERROR(__xludf.DUMMYFUNCTION("GOOGLETRANSLATE(B1037, ""zh"", ""en"")"),"Size is too large 186,80kg, buy XL is big")</f>
        <v>Size is too large 186,80kg, buy XL is big</v>
      </c>
    </row>
    <row r="1038">
      <c r="A1038" s="1">
        <v>4.0</v>
      </c>
      <c r="B1038" s="1" t="s">
        <v>1038</v>
      </c>
      <c r="C1038" t="str">
        <f>IFERROR(__xludf.DUMMYFUNCTION("GOOGLETRANSLATE(B1038, ""zh"", ""en"")"),"Color color looks good, and more good-looking than the picture")</f>
        <v>Color color looks good, and more good-looking than the picture</v>
      </c>
    </row>
    <row r="1039">
      <c r="A1039" s="1">
        <v>5.0</v>
      </c>
      <c r="B1039" s="1" t="s">
        <v>1039</v>
      </c>
      <c r="C1039" t="str">
        <f>IFERROR(__xludf.DUMMYFUNCTION("GOOGLETRANSLATE(B1039, ""zh"", ""en"")"),"Effective prenatal big leg pain, pubic pain mitigation is very obvious")</f>
        <v>Effective prenatal big leg pain, pubic pain mitigation is very obvious</v>
      </c>
    </row>
    <row r="1040">
      <c r="A1040" s="1">
        <v>5.0</v>
      </c>
      <c r="B1040" s="1" t="s">
        <v>1040</v>
      </c>
      <c r="C1040" t="str">
        <f>IFERROR(__xludf.DUMMYFUNCTION("GOOGLETRANSLATE(B1040, ""zh"", ""en"")"),"This cross praise how I feel sometimes brush is not clean ah, the best use of that money is still classic")</f>
        <v>This cross praise how I feel sometimes brush is not clean ah, the best use of that money is still classic</v>
      </c>
    </row>
    <row r="1041">
      <c r="A1041" s="1">
        <v>5.0</v>
      </c>
      <c r="B1041" s="1" t="s">
        <v>1041</v>
      </c>
      <c r="C1041" t="str">
        <f>IFERROR(__xludf.DUMMYFUNCTION("GOOGLETRANSLATE(B1041, ""zh"", ""en"")"),"Automatic, peace of mind, save time! Very satisfied, fully automatic coffee machine with automatic cleaning function. Since then, at home, you can drink a variety of coffee! ☕️")</f>
        <v>Automatic, peace of mind, save time! Very satisfied, fully automatic coffee machine with automatic cleaning function. Since then, at home, you can drink a variety of coffee! ☕️</v>
      </c>
    </row>
    <row r="1042">
      <c r="A1042" s="1">
        <v>5.0</v>
      </c>
      <c r="B1042" s="1" t="s">
        <v>1042</v>
      </c>
      <c r="C1042" t="str">
        <f>IFERROR(__xludf.DUMMYFUNCTION("GOOGLETRANSLATE(B1042, ""zh"", ""en"")"),"Baby assured that the outer plastic cutlery holding the baby is not hot, the physical contact with the inner layer of stainless steel, the water safer. A cost-effective, practical and convenient!")</f>
        <v>Baby assured that the outer plastic cutlery holding the baby is not hot, the physical contact with the inner layer of stainless steel, the water safer. A cost-effective, practical and convenient!</v>
      </c>
    </row>
    <row r="1043">
      <c r="A1043" s="1">
        <v>5.0</v>
      </c>
      <c r="B1043" s="1" t="s">
        <v>1043</v>
      </c>
      <c r="C1043" t="str">
        <f>IFERROR(__xludf.DUMMYFUNCTION("GOOGLETRANSLATE(B1043, ""zh"", ""en"")"),"This package is suitable cotton material, the price is more cost effective.")</f>
        <v>This package is suitable cotton material, the price is more cost effective.</v>
      </c>
    </row>
    <row r="1044">
      <c r="A1044" s="1">
        <v>5.0</v>
      </c>
      <c r="B1044" s="1" t="s">
        <v>1044</v>
      </c>
      <c r="C1044" t="str">
        <f>IFERROR(__xludf.DUMMYFUNCTION("GOOGLETRANSLATE(B1044, ""zh"", ""en"")"),"Very satisfied 2799 yuan into the watch is very beautiful, but Jining, Shandong automatic take-wave and wave are unsuccessful forced to close, I received Hong Kong purchasing a wave, no problem. After adjustment of China, 20 days after the closing wave su"&amp;"ccess.")</f>
        <v>Very satisfied 2799 yuan into the watch is very beautiful, but Jining, Shandong automatic take-wave and wave are unsuccessful forced to close, I received Hong Kong purchasing a wave, no problem. After adjustment of China, 20 days after the closing wave success.</v>
      </c>
    </row>
    <row r="1045">
      <c r="A1045" s="1">
        <v>5.0</v>
      </c>
      <c r="B1045" s="1" t="s">
        <v>1045</v>
      </c>
      <c r="C1045" t="str">
        <f>IFERROR(__xludf.DUMMYFUNCTION("GOOGLETRANSLATE(B1045, ""zh"", ""en"")"),"The size of the logistics just a few days earlier, than expected domestic 42 yards, just the size")</f>
        <v>The size of the logistics just a few days earlier, than expected domestic 42 yards, just the size</v>
      </c>
    </row>
    <row r="1046">
      <c r="A1046" s="1">
        <v>5.0</v>
      </c>
      <c r="B1046" s="1" t="s">
        <v>1046</v>
      </c>
      <c r="C1046" t="str">
        <f>IFERROR(__xludf.DUMMYFUNCTION("GOOGLETRANSLATE(B1046, ""zh"", ""en"")"),"Good very good very practical, go out with too convenient")</f>
        <v>Good very good very practical, go out with too convenient</v>
      </c>
    </row>
    <row r="1047">
      <c r="A1047" s="1">
        <v>5.0</v>
      </c>
      <c r="B1047" s="1" t="s">
        <v>1047</v>
      </c>
      <c r="C1047" t="str">
        <f>IFERROR(__xludf.DUMMYFUNCTION("GOOGLETRANSLATE(B1047, ""zh"", ""en"")"),"Good small cup this cup very, very small, very light, I have not thought about in the end when to use")</f>
        <v>Good small cup this cup very, very small, very light, I have not thought about in the end when to use</v>
      </c>
    </row>
    <row r="1048">
      <c r="A1048" s="1">
        <v>5.0</v>
      </c>
      <c r="B1048" s="1" t="s">
        <v>1048</v>
      </c>
      <c r="C1048" t="str">
        <f>IFERROR(__xludf.DUMMYFUNCTION("GOOGLETRANSLATE(B1048, ""zh"", ""en"")"),"Good color green color looks good, good quality")</f>
        <v>Good color green color looks good, good quality</v>
      </c>
    </row>
    <row r="1049">
      <c r="A1049" s="1">
        <v>5.0</v>
      </c>
      <c r="B1049" s="1" t="s">
        <v>1049</v>
      </c>
      <c r="C1049" t="str">
        <f>IFERROR(__xludf.DUMMYFUNCTION("GOOGLETRANSLATE(B1049, ""zh"", ""en"")"),"Good work is generally recommended the right size")</f>
        <v>Good work is generally recommended the right size</v>
      </c>
    </row>
    <row r="1050">
      <c r="A1050" s="1">
        <v>5.0</v>
      </c>
      <c r="B1050" s="1" t="s">
        <v>1050</v>
      </c>
      <c r="C1050" t="str">
        <f>IFERROR(__xludf.DUMMYFUNCTION("GOOGLETRANSLATE(B1050, ""zh"", ""en"")"),"Something good stuff this good, prices are very good")</f>
        <v>Something good stuff this good, prices are very good</v>
      </c>
    </row>
    <row r="1051">
      <c r="A1051" s="1">
        <v>5.0</v>
      </c>
      <c r="B1051" s="1" t="s">
        <v>1051</v>
      </c>
      <c r="C1051" t="str">
        <f>IFERROR(__xludf.DUMMYFUNCTION("GOOGLETRANSLATE(B1051, ""zh"", ""en"")"),"Bangladesh produced genuine, work can be. Large two yards than sports shoes, authentic")</f>
        <v>Bangladesh produced genuine, work can be. Large two yards than sports shoes, authentic</v>
      </c>
    </row>
    <row r="1052">
      <c r="A1052" s="1">
        <v>5.0</v>
      </c>
      <c r="B1052" s="1" t="s">
        <v>1052</v>
      </c>
      <c r="C1052" t="str">
        <f>IFERROR(__xludf.DUMMYFUNCTION("GOOGLETRANSLATE(B1052, ""zh"", ""en"")"),"Trusted brands like bought a lot of times, because they eat, the parents eat well, so they buy this brand of bone peacekeeping force.")</f>
        <v>Trusted brands like bought a lot of times, because they eat, the parents eat well, so they buy this brand of bone peacekeeping force.</v>
      </c>
    </row>
    <row r="1053">
      <c r="A1053" s="1">
        <v>5.0</v>
      </c>
      <c r="B1053" s="1" t="s">
        <v>1053</v>
      </c>
      <c r="C1053" t="str">
        <f>IFERROR(__xludf.DUMMYFUNCTION("GOOGLETRANSLATE(B1053, ""zh"", ""en"")"),"Then the tariff was expensive, the price further concessions like authentic Japanese goods as well as Japan invoice, hope to persevere effective")</f>
        <v>Then the tariff was expensive, the price further concessions like authentic Japanese goods as well as Japan invoice, hope to persevere effective</v>
      </c>
    </row>
    <row r="1054">
      <c r="A1054" s="1">
        <v>5.0</v>
      </c>
      <c r="B1054" s="1" t="s">
        <v>1054</v>
      </c>
      <c r="C1054" t="str">
        <f>IFERROR(__xludf.DUMMYFUNCTION("GOOGLETRANSLATE(B1054, ""zh"", ""en"")"),"Size is too large Japanese version of the clothes hear small half has bought a big One, the results of big, buy the normal code Jiuhaola")</f>
        <v>Size is too large Japanese version of the clothes hear small half has bought a big One, the results of big, buy the normal code Jiuhaola</v>
      </c>
    </row>
    <row r="1055">
      <c r="A1055" s="1">
        <v>5.0</v>
      </c>
      <c r="B1055" s="1" t="s">
        <v>1055</v>
      </c>
      <c r="C1055" t="str">
        <f>IFERROR(__xludf.DUMMYFUNCTION("GOOGLETRANSLATE(B1055, ""zh"", ""en"")"),"With the United States and Asia to buy, like, right size, texture is really good. Packaging is very good, even made a big night is coming hard, no other buyers say the case is open the package. S 160 45kg buy the right, wearing a very comfortable not tigh"&amp;"t. Something is genuine, and I bought before the United States and Asia is the same, the quality is excellent.")</f>
        <v>With the United States and Asia to buy, like, right size, texture is really good. Packaging is very good, even made a big night is coming hard, no other buyers say the case is open the package. S 160 45kg buy the right, wearing a very comfortable not tight. Something is genuine, and I bought before the United States and Asia is the same, the quality is excellent.</v>
      </c>
    </row>
    <row r="1056">
      <c r="A1056" s="1">
        <v>5.0</v>
      </c>
      <c r="B1056" s="1" t="s">
        <v>1056</v>
      </c>
      <c r="C1056" t="str">
        <f>IFERROR(__xludf.DUMMYFUNCTION("GOOGLETRANSLATE(B1056, ""zh"", ""en"")"),"Good capacity, high-capacity, speed is not bad. Lot cheaper than domestic. Amazon's service always good.")</f>
        <v>Good capacity, high-capacity, speed is not bad. Lot cheaper than domestic. Amazon's service always good.</v>
      </c>
    </row>
    <row r="1057">
      <c r="A1057" s="1">
        <v>5.0</v>
      </c>
      <c r="B1057" s="1" t="s">
        <v>1057</v>
      </c>
      <c r="C1057" t="str">
        <f>IFERROR(__xludf.DUMMYFUNCTION("GOOGLETRANSLATE(B1057, ""zh"", ""en"")"),"0.4L mug price a little expensive, good insulation effect")</f>
        <v>0.4L mug price a little expensive, good insulation effect</v>
      </c>
    </row>
    <row r="1058">
      <c r="A1058" s="1">
        <v>5.0</v>
      </c>
      <c r="B1058" s="1" t="s">
        <v>1058</v>
      </c>
      <c r="C1058" t="str">
        <f>IFERROR(__xludf.DUMMYFUNCTION("GOOGLETRANSLATE(B1058, ""zh"", ""en"")"),"Quality good quality is quite good spoon, polished quite beautiful, quite perfect spoon, I quite like it, I give praise!")</f>
        <v>Quality good quality is quite good spoon, polished quite beautiful, quite perfect spoon, I quite like it, I give praise!</v>
      </c>
    </row>
    <row r="1059">
      <c r="A1059" s="1">
        <v>5.0</v>
      </c>
      <c r="B1059" s="1" t="s">
        <v>1059</v>
      </c>
      <c r="C1059" t="str">
        <f>IFERROR(__xludf.DUMMYFUNCTION("GOOGLETRANSLATE(B1059, ""zh"", ""en"")"),"Good taste and easy to brew tastes really good - can be directly coupled with the white water as a drink. Personal experience is to drink in the morning before and after exercise, drink better at night.")</f>
        <v>Good taste and easy to brew tastes really good - can be directly coupled with the white water as a drink. Personal experience is to drink in the morning before and after exercise, drink better at night.</v>
      </c>
    </row>
    <row r="1060">
      <c r="A1060" s="1">
        <v>5.0</v>
      </c>
      <c r="B1060" s="1" t="s">
        <v>1060</v>
      </c>
      <c r="C1060" t="str">
        <f>IFERROR(__xludf.DUMMYFUNCTION("GOOGLETRANSLATE(B1060, ""zh"", ""en"")"),"Good style is partial fat type, but the fabric is really comfortable, recommended.")</f>
        <v>Good style is partial fat type, but the fabric is really comfortable, recommended.</v>
      </c>
    </row>
    <row r="1061">
      <c r="A1061" s="1">
        <v>2.0</v>
      </c>
      <c r="B1061" s="1" t="s">
        <v>1061</v>
      </c>
      <c r="C1061" t="str">
        <f>IFERROR(__xludf.DUMMYFUNCTION("GOOGLETRANSLATE(B1061, ""zh"", ""en"")"),"Return a lot of trouble, but also to print their own invoice and return label collar open and found bloodstains, decisive return!")</f>
        <v>Return a lot of trouble, but also to print their own invoice and return label collar open and found bloodstains, decisive return!</v>
      </c>
    </row>
    <row r="1062">
      <c r="A1062" s="1">
        <v>3.0</v>
      </c>
      <c r="B1062" s="1" t="s">
        <v>1062</v>
      </c>
      <c r="C1062" t="str">
        <f>IFERROR(__xludf.DUMMYFUNCTION("GOOGLETRANSLATE(B1062, ""zh"", ""en"")"),"XL bought a set before the wrong size, the repeat purchase, the result is much larger. Helpless buy a set of L.")</f>
        <v>XL bought a set before the wrong size, the repeat purchase, the result is much larger. Helpless buy a set of L.</v>
      </c>
    </row>
    <row r="1063">
      <c r="A1063" s="1">
        <v>3.0</v>
      </c>
      <c r="B1063" s="1" t="s">
        <v>1063</v>
      </c>
      <c r="C1063" t="str">
        <f>IFERROR(__xludf.DUMMYFUNCTION("GOOGLETRANSLATE(B1063, ""zh"", ""en"")"),"Multimedia listen to over 799 non struggling brand new, there are 702 low buy, order two days after prices rose to 1K, do not understand that the Amazon price movements, do not want to get our hands on the speaker anyway, determined to be licensed, each t"&amp;"erm performance is very good, with low frequency, like most people say it is not too cloudy boom ears. 20,150,524 additional low-frequency performance headache, back")</f>
        <v>Multimedia listen to over 799 non struggling brand new, there are 702 low buy, order two days after prices rose to 1K, do not understand that the Amazon price movements, do not want to get our hands on the speaker anyway, determined to be licensed, each term performance is very good, with low frequency, like most people say it is not too cloudy boom ears. 20,150,524 additional low-frequency performance headache, back</v>
      </c>
    </row>
    <row r="1064">
      <c r="A1064" s="1">
        <v>3.0</v>
      </c>
      <c r="B1064" s="1" t="s">
        <v>1064</v>
      </c>
      <c r="C1064" t="str">
        <f>IFERROR(__xludf.DUMMYFUNCTION("GOOGLETRANSLATE(B1064, ""zh"", ""en"")"),"When the price is too cheap to buy, but really great, absolutely can not wear")</f>
        <v>When the price is too cheap to buy, but really great, absolutely can not wear</v>
      </c>
    </row>
    <row r="1065">
      <c r="A1065" s="1">
        <v>1.0</v>
      </c>
      <c r="B1065" s="1" t="s">
        <v>1065</v>
      </c>
      <c r="C1065" t="str">
        <f>IFERROR(__xludf.DUMMYFUNCTION("GOOGLETRANSLATE(B1065, ""zh"", ""en"")"),"Mishap battery packaging is very good, the Japanese came in the mail, receipt of goods under trial, actually no electricity. . . First encounter new electronic products is actually no electricity. Spent two days, electricity is flawed, put useless day, at"&amp;" night to bring want to hear, actually dead. . . Also shut down power? ? ? Spit again bad life, full of electricity at night, then the next day, absolutely not boot, too much garbage")</f>
        <v>Mishap battery packaging is very good, the Japanese came in the mail, receipt of goods under trial, actually no electricity. . . First encounter new electronic products is actually no electricity. Spent two days, electricity is flawed, put useless day, at night to bring want to hear, actually dead. . . Also shut down power? ? ? Spit again bad life, full of electricity at night, then the next day, absolutely not boot, too much garbage</v>
      </c>
    </row>
    <row r="1066">
      <c r="A1066" s="1">
        <v>1.0</v>
      </c>
      <c r="B1066" s="1" t="s">
        <v>1066</v>
      </c>
      <c r="C1066" t="str">
        <f>IFERROR(__xludf.DUMMYFUNCTION("GOOGLETRANSLATE(B1066, ""zh"", ""en"")"),"You pay for leather shoes two are not the same, color color, work two are not the same, obviously a rough dry, wondering whether genuine, much worse quality than the domestic counter.")</f>
        <v>You pay for leather shoes two are not the same, color color, work two are not the same, obviously a rough dry, wondering whether genuine, much worse quality than the domestic counter.</v>
      </c>
    </row>
    <row r="1067">
      <c r="A1067" s="1">
        <v>4.0</v>
      </c>
      <c r="B1067" s="1" t="s">
        <v>1067</v>
      </c>
      <c r="C1067" t="str">
        <f>IFERROR(__xludf.DUMMYFUNCTION("GOOGLETRANSLATE(B1067, ""zh"", ""en"")"),"Some also can wear shoes slip sole is not thick, the general feeling of comfort, the overall feeling okay.")</f>
        <v>Some also can wear shoes slip sole is not thick, the general feeling of comfort, the overall feeling okay.</v>
      </c>
    </row>
    <row r="1068">
      <c r="A1068" s="1">
        <v>4.0</v>
      </c>
      <c r="B1068" s="1" t="s">
        <v>1068</v>
      </c>
      <c r="C1068" t="str">
        <f>IFERROR(__xludf.DUMMYFUNCTION("GOOGLETRANSLATE(B1068, ""zh"", ""en"")"),"T-shirts lenient than the domestic version of the US version to buy a T-shirt, is indeed better than expected large, I 173cm, 66-67kg, shoulder and chest clothes are too big. Usually the domestic version of adidasT shirt to wear M (175/96), nikeT shirt fi"&amp;"t to wear M, L loose, for friends as a reference.")</f>
        <v>T-shirts lenient than the domestic version of the US version to buy a T-shirt, is indeed better than expected large, I 173cm, 66-67kg, shoulder and chest clothes are too big. Usually the domestic version of adidasT shirt to wear M (175/96), nikeT shirt fit to wear M, L loose, for friends as a reference.</v>
      </c>
    </row>
    <row r="1069">
      <c r="A1069" s="1">
        <v>4.0</v>
      </c>
      <c r="B1069" s="1" t="s">
        <v>1069</v>
      </c>
      <c r="C1069" t="str">
        <f>IFERROR(__xludf.DUMMYFUNCTION("GOOGLETRANSLATE(B1069, ""zh"", ""en"")"),"Delivery speed is very fast, but the packaging a bit shabby cheap and affordable, is genuine")</f>
        <v>Delivery speed is very fast, but the packaging a bit shabby cheap and affordable, is genuine</v>
      </c>
    </row>
    <row r="1070">
      <c r="A1070" s="1">
        <v>4.0</v>
      </c>
      <c r="B1070" s="1" t="s">
        <v>1070</v>
      </c>
      <c r="C1070" t="str">
        <f>IFERROR(__xludf.DUMMYFUNCTION("GOOGLETRANSLATE(B1070, ""zh"", ""en"")"),"Light Light is really light, like wearing, but the front did a bump, not to wear tight outside. .")</f>
        <v>Light Light is really light, like wearing, but the front did a bump, not to wear tight outside. .</v>
      </c>
    </row>
    <row r="1071">
      <c r="A1071" s="1">
        <v>4.0</v>
      </c>
      <c r="B1071" s="1" t="s">
        <v>1071</v>
      </c>
      <c r="C1071" t="str">
        <f>IFERROR(__xludf.DUMMYFUNCTION("GOOGLETRANSLATE(B1071, ""zh"", ""en"")"),"Groin very fat leg type well, substantially straight legs. But a lot of thigh is too large, suitable for large buttocks, thighs thick root of people it ......")</f>
        <v>Groin very fat leg type well, substantially straight legs. But a lot of thigh is too large, suitable for large buttocks, thighs thick root of people it ......</v>
      </c>
    </row>
    <row r="1072">
      <c r="A1072" s="1">
        <v>5.0</v>
      </c>
      <c r="B1072" s="1" t="s">
        <v>1072</v>
      </c>
      <c r="C1072" t="str">
        <f>IFERROR(__xludf.DUMMYFUNCTION("GOOGLETRANSLATE(B1072, ""zh"", ""en"")"),"Recommendable down jacket to get our hands on feel not feel good, very light clothes, fabrics and domestic Down definitely not the same, delicate and flexible. Moderate size, 185/80, L code is appropriate, no bloated feeling.")</f>
        <v>Recommendable down jacket to get our hands on feel not feel good, very light clothes, fabrics and domestic Down definitely not the same, delicate and flexible. Moderate size, 185/80, L code is appropriate, no bloated feeling.</v>
      </c>
    </row>
    <row r="1073">
      <c r="A1073" s="1">
        <v>5.0</v>
      </c>
      <c r="B1073" s="1" t="s">
        <v>1073</v>
      </c>
      <c r="C1073" t="str">
        <f>IFERROR(__xludf.DUMMYFUNCTION("GOOGLETRANSLATE(B1073, ""zh"", ""en"")"),"Some say that they refer to: skinny legs, feet normal, flat shoes Clarks 4.5 yards; let me talk about shoes: quality is no problem, good shoes, seemed very thin legs, did not smooth and slightly in easy to wear off, but before also through similar shoes, "&amp;"so do not feel this is a problem, no foot wear phenomenon, this I bought five yards, the width of the right front shoe and slightly empty (a bit bigger)! Refer to like!")</f>
        <v>Some say that they refer to: skinny legs, feet normal, flat shoes Clarks 4.5 yards; let me talk about shoes: quality is no problem, good shoes, seemed very thin legs, did not smooth and slightly in easy to wear off, but before also through similar shoes, so do not feel this is a problem, no foot wear phenomenon, this I bought five yards, the width of the right front shoe and slightly empty (a bit bigger)! Refer to like!</v>
      </c>
    </row>
    <row r="1074">
      <c r="A1074" s="1">
        <v>5.0</v>
      </c>
      <c r="B1074" s="1" t="s">
        <v>1074</v>
      </c>
      <c r="C1074" t="str">
        <f>IFERROR(__xludf.DUMMYFUNCTION("GOOGLETRANSLATE(B1074, ""zh"", ""en"")"),"good-looking, practical, the price is too cheap")</f>
        <v>good-looking, practical, the price is too cheap</v>
      </c>
    </row>
    <row r="1075">
      <c r="A1075" s="1">
        <v>5.0</v>
      </c>
      <c r="B1075" s="1" t="s">
        <v>1075</v>
      </c>
      <c r="C1075" t="str">
        <f>IFERROR(__xludf.DUMMYFUNCTION("GOOGLETRANSLATE(B1075, ""zh"", ""en"")"),"Good good clothes, thick packaging carefully.")</f>
        <v>Good good clothes, thick packaging carefully.</v>
      </c>
    </row>
    <row r="1076">
      <c r="A1076" s="1">
        <v>5.0</v>
      </c>
      <c r="B1076" s="1" t="s">
        <v>1076</v>
      </c>
      <c r="C1076" t="str">
        <f>IFERROR(__xludf.DUMMYFUNCTION("GOOGLETRANSLATE(B1076, ""zh"", ""en"")"),"Pregnancy pretty good stockpile, has not yet begun to use, good packaging, logistics quickly.")</f>
        <v>Pregnancy pretty good stockpile, has not yet begun to use, good packaging, logistics quickly.</v>
      </c>
    </row>
    <row r="1077">
      <c r="A1077" s="1">
        <v>5.0</v>
      </c>
      <c r="B1077" s="1" t="s">
        <v>1077</v>
      </c>
      <c r="C1077" t="str">
        <f>IFERROR(__xludf.DUMMYFUNCTION("GOOGLETRANSLATE(B1077, ""zh"", ""en"")"),"Very good buy for his daughter's very nice")</f>
        <v>Very good buy for his daughter's very nice</v>
      </c>
    </row>
    <row r="1078">
      <c r="A1078" s="1">
        <v>5.0</v>
      </c>
      <c r="B1078" s="1" t="s">
        <v>1078</v>
      </c>
      <c r="C1078" t="str">
        <f>IFERROR(__xludf.DUMMYFUNCTION("GOOGLETRANSLATE(B1078, ""zh"", ""en"")"),"Reasonable price excellent, soft cotton series of small thickness, no fluorescent agent, together with very ease, though small thickness, winter use is also good, the price is right.")</f>
        <v>Reasonable price excellent, soft cotton series of small thickness, no fluorescent agent, together with very ease, though small thickness, winter use is also good, the price is right.</v>
      </c>
    </row>
    <row r="1079">
      <c r="A1079" s="1">
        <v>5.0</v>
      </c>
      <c r="B1079" s="1" t="s">
        <v>1079</v>
      </c>
      <c r="C1079" t="str">
        <f>IFERROR(__xludf.DUMMYFUNCTION("GOOGLETRANSLATE(B1079, ""zh"", ""en"")"),"Do not evaluate the quality from the past, do not know how many wasted points, points can change money now know, they should look carefully evaluated, then I put these words to copy to go, both to earn points, but also the easy way, where are copied to wh"&amp;"ich, most importantly, do not seriously review, do not think how much worse word, sent directly to it, recommend it to everyone")</f>
        <v>Do not evaluate the quality from the past, do not know how many wasted points, points can change money now know, they should look carefully evaluated, then I put these words to copy to go, both to earn points, but also the easy way, where are copied to which, most importantly, do not seriously review, do not think how much worse word, sent directly to it, recommend it to everyone</v>
      </c>
    </row>
    <row r="1080">
      <c r="A1080" s="1">
        <v>5.0</v>
      </c>
      <c r="B1080" s="1" t="s">
        <v>1080</v>
      </c>
      <c r="C1080" t="str">
        <f>IFERROR(__xludf.DUMMYFUNCTION("GOOGLETRANSLATE(B1080, ""zh"", ""en"")"),"In fact, the liner can be with the same brand of jacket to cover, in fact, is very soft and comfortable interior with the same brand can Jackets for cover, very soft and comfortable")</f>
        <v>In fact, the liner can be with the same brand of jacket to cover, in fact, is very soft and comfortable interior with the same brand can Jackets for cover, very soft and comfortable</v>
      </c>
    </row>
    <row r="1081">
      <c r="A1081" s="1">
        <v>5.0</v>
      </c>
      <c r="B1081" s="1" t="s">
        <v>1081</v>
      </c>
      <c r="C1081" t="str">
        <f>IFERROR(__xludf.DUMMYFUNCTION("GOOGLETRANSLATE(B1081, ""zh"", ""en"")"),"Something good used once, and face the results were good. However socket have to change my own, or do not have a ground wire leakage protection.")</f>
        <v>Something good used once, and face the results were good. However socket have to change my own, or do not have a ground wire leakage protection.</v>
      </c>
    </row>
    <row r="1082">
      <c r="A1082" s="1">
        <v>5.0</v>
      </c>
      <c r="B1082" s="1" t="s">
        <v>1082</v>
      </c>
      <c r="C1082" t="str">
        <f>IFERROR(__xludf.DUMMYFUNCTION("GOOGLETRANSLATE(B1082, ""zh"", ""en"")"),"Good to help people buy, the European version number or a big point, the packaging is not damaged, no creases shoes, wear comfortable, also looked quite nice, quite handsome")</f>
        <v>Good to help people buy, the European version number or a big point, the packaging is not damaged, no creases shoes, wear comfortable, also looked quite nice, quite handsome</v>
      </c>
    </row>
    <row r="1083">
      <c r="A1083" s="1">
        <v>5.0</v>
      </c>
      <c r="B1083" s="1" t="s">
        <v>1083</v>
      </c>
      <c r="C1083" t="str">
        <f>IFERROR(__xludf.DUMMYFUNCTION("GOOGLETRANSLATE(B1083, ""zh"", ""en"")"),"Oh good very light, comfortable to wear which, 173/62 S code for wear")</f>
        <v>Oh good very light, comfortable to wear which, 173/62 S code for wear</v>
      </c>
    </row>
    <row r="1084">
      <c r="A1084" s="1">
        <v>5.0</v>
      </c>
      <c r="B1084" s="1" t="s">
        <v>1084</v>
      </c>
      <c r="C1084" t="str">
        <f>IFERROR(__xludf.DUMMYFUNCTION("GOOGLETRANSLATE(B1084, ""zh"", ""en"")"),"Good color beautiful, like daughter")</f>
        <v>Good color beautiful, like daughter</v>
      </c>
    </row>
    <row r="1085">
      <c r="A1085" s="1">
        <v>5.0</v>
      </c>
      <c r="B1085" s="1" t="s">
        <v>1085</v>
      </c>
      <c r="C1085" t="str">
        <f>IFERROR(__xludf.DUMMYFUNCTION("GOOGLETRANSLATE(B1085, ""zh"", ""en"")"),"No outdoor 2-12 degrees, not Wu feet. But the number of large and small shoes.")</f>
        <v>No outdoor 2-12 degrees, not Wu feet. But the number of large and small shoes.</v>
      </c>
    </row>
    <row r="1086">
      <c r="A1086" s="1">
        <v>5.0</v>
      </c>
      <c r="B1086" s="1" t="s">
        <v>1086</v>
      </c>
      <c r="C1086" t="str">
        <f>IFERROR(__xludf.DUMMYFUNCTION("GOOGLETRANSLATE(B1086, ""zh"", ""en"")"),"Braun cutter head is useful, razor and the new has come, thumbs up! !")</f>
        <v>Braun cutter head is useful, razor and the new has come, thumbs up! !</v>
      </c>
    </row>
    <row r="1087">
      <c r="A1087" s="1">
        <v>5.0</v>
      </c>
      <c r="B1087" s="1" t="s">
        <v>1087</v>
      </c>
      <c r="C1087" t="str">
        <f>IFERROR(__xludf.DUMMYFUNCTION("GOOGLETRANSLATE(B1087, ""zh"", ""en"")"),"Version looks good ah very appropriate size, China bought 36 yards of 4.5M US Big Kid just right, very comfortable, just do not know will not be too hot in summer wear ha, is not easy to take the dark green uniforms, everything else well.")</f>
        <v>Version looks good ah very appropriate size, China bought 36 yards of 4.5M US Big Kid just right, very comfortable, just do not know will not be too hot in summer wear ha, is not easy to take the dark green uniforms, everything else well.</v>
      </c>
    </row>
    <row r="1088">
      <c r="A1088" s="1">
        <v>5.0</v>
      </c>
      <c r="B1088" s="1" t="s">
        <v>1088</v>
      </c>
      <c r="C1088" t="str">
        <f>IFERROR(__xludf.DUMMYFUNCTION("GOOGLETRANSLATE(B1088, ""zh"", ""en"")"),"Yes NB10.5 appropriate, before puma10.5 palm a little tight, wear will be good, second time to buy.")</f>
        <v>Yes NB10.5 appropriate, before puma10.5 palm a little tight, wear will be good, second time to buy.</v>
      </c>
    </row>
    <row r="1089">
      <c r="A1089" s="1">
        <v>5.0</v>
      </c>
      <c r="B1089" s="1" t="s">
        <v>1089</v>
      </c>
      <c r="C1089" t="str">
        <f>IFERROR(__xludf.DUMMYFUNCTION("GOOGLETRANSLATE(B1089, ""zh"", ""en"")"),"Darker kind. Physical color dark gray, shoe a little frosted effect.")</f>
        <v>Darker kind. Physical color dark gray, shoe a little frosted effect.</v>
      </c>
    </row>
    <row r="1090">
      <c r="A1090" s="1">
        <v>5.0</v>
      </c>
      <c r="B1090" s="1" t="s">
        <v>1090</v>
      </c>
      <c r="C1090" t="str">
        <f>IFERROR(__xludf.DUMMYFUNCTION("GOOGLETRANSLATE(B1090, ""zh"", ""en"")"),"Very worthwhile! Buy two! 300 bought both pretty good like a good deal!")</f>
        <v>Very worthwhile! Buy two! 300 bought both pretty good like a good deal!</v>
      </c>
    </row>
    <row r="1091">
      <c r="A1091" s="1">
        <v>5.0</v>
      </c>
      <c r="B1091" s="1" t="s">
        <v>1091</v>
      </c>
      <c r="C1091" t="str">
        <f>IFERROR(__xludf.DUMMYFUNCTION("GOOGLETRANSLATE(B1091, ""zh"", ""en"")"),"Very very comfortable proper fit, workout wear very fit!")</f>
        <v>Very very comfortable proper fit, workout wear very fit!</v>
      </c>
    </row>
    <row r="1092">
      <c r="A1092" s="1">
        <v>5.0</v>
      </c>
      <c r="B1092" s="1" t="s">
        <v>1092</v>
      </c>
      <c r="C1092" t="str">
        <f>IFERROR(__xludf.DUMMYFUNCTION("GOOGLETRANSLATE(B1092, ""zh"", ""en"")"),"Very nice-kind look good, high cost of transportation quickly, received a week, Le bid very high")</f>
        <v>Very nice-kind look good, high cost of transportation quickly, received a week, Le bid very high</v>
      </c>
    </row>
    <row r="1093">
      <c r="A1093" s="1">
        <v>5.0</v>
      </c>
      <c r="B1093" s="1" t="s">
        <v>1093</v>
      </c>
      <c r="C1093" t="str">
        <f>IFERROR(__xludf.DUMMYFUNCTION("GOOGLETRANSLATE(B1093, ""zh"", ""en"")"),"Wear very comfortable shoes are very light, very comfortable to wear")</f>
        <v>Wear very comfortable shoes are very light, very comfortable to wear</v>
      </c>
    </row>
    <row r="1094">
      <c r="A1094" s="1">
        <v>2.0</v>
      </c>
      <c r="B1094" s="1" t="s">
        <v>1094</v>
      </c>
      <c r="C1094" t="str">
        <f>IFERROR(__xludf.DUMMYFUNCTION("GOOGLETRANSLATE(B1094, ""zh"", ""en"")"),"Suitable for small wave of people do not sling police, not suitable for large waves, not quite")</f>
        <v>Suitable for small wave of people do not sling police, not suitable for large waves, not quite</v>
      </c>
    </row>
    <row r="1095">
      <c r="A1095" s="1">
        <v>3.0</v>
      </c>
      <c r="B1095" s="1" t="s">
        <v>1095</v>
      </c>
      <c r="C1095" t="str">
        <f>IFERROR(__xludf.DUMMYFUNCTION("GOOGLETRANSLATE(B1095, ""zh"", ""en"")"),"Packaging bad packaging is too simple, do not have any additional packaging to direct a cardboard box. , While there have been pressed, not round. Pot handle too loose, and they have tightened the screws.")</f>
        <v>Packaging bad packaging is too simple, do not have any additional packaging to direct a cardboard box. , While there have been pressed, not round. Pot handle too loose, and they have tightened the screws.</v>
      </c>
    </row>
    <row r="1096">
      <c r="A1096" s="1">
        <v>3.0</v>
      </c>
      <c r="B1096" s="1" t="s">
        <v>1096</v>
      </c>
      <c r="C1096" t="str">
        <f>IFERROR(__xludf.DUMMYFUNCTION("GOOGLETRANSLATE(B1096, ""zh"", ""en"")"),"Quality is generally very good looking hat is not wearing a long red sun may sweat")</f>
        <v>Quality is generally very good looking hat is not wearing a long red sun may sweat</v>
      </c>
    </row>
    <row r="1097">
      <c r="A1097" s="1">
        <v>1.0</v>
      </c>
      <c r="B1097" s="1" t="s">
        <v>1097</v>
      </c>
      <c r="C1097" t="str">
        <f>IFERROR(__xludf.DUMMYFUNCTION("GOOGLETRANSLATE(B1097, ""zh"", ""en"")"),"Bluetooth can not search! Various attempts have Bluetooth are not search, can not find a place to ask customer service, a large head.")</f>
        <v>Bluetooth can not search! Various attempts have Bluetooth are not search, can not find a place to ask customer service, a large head.</v>
      </c>
    </row>
    <row r="1098">
      <c r="A1098" s="1">
        <v>1.0</v>
      </c>
      <c r="B1098" s="1" t="s">
        <v>1098</v>
      </c>
      <c r="C1098" t="str">
        <f>IFERROR(__xludf.DUMMYFUNCTION("GOOGLETRANSLATE(B1098, ""zh"", ""en"")"),"Nobody got nothing to feel lights shine it? Lighting function obvious defects, can not see the time in a dark place.")</f>
        <v>Nobody got nothing to feel lights shine it? Lighting function obvious defects, can not see the time in a dark place.</v>
      </c>
    </row>
    <row r="1099">
      <c r="A1099" s="1">
        <v>4.0</v>
      </c>
      <c r="B1099" s="1" t="s">
        <v>1099</v>
      </c>
      <c r="C1099" t="str">
        <f>IFERROR(__xludf.DUMMYFUNCTION("GOOGLETRANSLATE(B1099, ""zh"", ""en"")"),"This retro fancy table for a long time! + Easy to use, retro styling, especially like spring bracelet. - glass surface is not easily scratched.")</f>
        <v>This retro fancy table for a long time! + Easy to use, retro styling, especially like spring bracelet. - glass surface is not easily scratched.</v>
      </c>
    </row>
    <row r="1100">
      <c r="A1100" s="1">
        <v>4.0</v>
      </c>
      <c r="B1100" s="1" t="s">
        <v>1100</v>
      </c>
      <c r="C1100" t="str">
        <f>IFERROR(__xludf.DUMMYFUNCTION("GOOGLETRANSLATE(B1100, ""zh"", ""en"")"),"It can also be used with ...... can be. Is a little bit small, enough for two people. No lid ......")</f>
        <v>It can also be used with ...... can be. Is a little bit small, enough for two people. No lid ......</v>
      </c>
    </row>
    <row r="1101">
      <c r="A1101" s="1">
        <v>4.0</v>
      </c>
      <c r="B1101" s="1" t="s">
        <v>1101</v>
      </c>
      <c r="C1101" t="str">
        <f>IFERROR(__xludf.DUMMYFUNCTION("GOOGLETRANSLATE(B1101, ""zh"", ""en"")"),"Yan high-value, high-quality color value is slightly flawed, but still have the flavor, burn 4,5 times dare to drink water.")</f>
        <v>Yan high-value, high-quality color value is slightly flawed, but still have the flavor, burn 4,5 times dare to drink water.</v>
      </c>
    </row>
    <row r="1102">
      <c r="A1102" s="1">
        <v>4.0</v>
      </c>
      <c r="B1102" s="1" t="s">
        <v>1102</v>
      </c>
      <c r="C1102" t="str">
        <f>IFERROR(__xludf.DUMMYFUNCTION("GOOGLETRANSLATE(B1102, ""zh"", ""en"")"),"Good quality too large, cost-effective - is beautiful code is too large, domestic wear m, s have to buy the US version of")</f>
        <v>Good quality too large, cost-effective - is beautiful code is too large, domestic wear m, s have to buy the US version of</v>
      </c>
    </row>
    <row r="1103">
      <c r="A1103" s="1">
        <v>4.0</v>
      </c>
      <c r="B1103" s="1" t="s">
        <v>1103</v>
      </c>
      <c r="C1103" t="str">
        <f>IFERROR(__xludf.DUMMYFUNCTION("GOOGLETRANSLATE(B1103, ""zh"", ""en"")"),"Can also be good quality, cost-effective")</f>
        <v>Can also be good quality, cost-effective</v>
      </c>
    </row>
    <row r="1104">
      <c r="A1104" s="1">
        <v>5.0</v>
      </c>
      <c r="B1104" s="1" t="s">
        <v>1104</v>
      </c>
      <c r="C1104" t="str">
        <f>IFERROR(__xludf.DUMMYFUNCTION("GOOGLETRANSLATE(B1104, ""zh"", ""en"")"),"Good use really good, great, it is genuine")</f>
        <v>Good use really good, great, it is genuine</v>
      </c>
    </row>
    <row r="1105">
      <c r="A1105" s="1">
        <v>5.0</v>
      </c>
      <c r="B1105" s="1" t="s">
        <v>1105</v>
      </c>
      <c r="C1105" t="str">
        <f>IFERROR(__xludf.DUMMYFUNCTION("GOOGLETRANSLATE(B1105, ""zh"", ""en"")"),"Rapid delivery of goods shipped quickly satisfied Amazon courier service is good, the color of the pants a little bit deep, but the size is very appropriate, I 176 high 195 pounds heavier short legs ha ha, 38W30 just")</f>
        <v>Rapid delivery of goods shipped quickly satisfied Amazon courier service is good, the color of the pants a little bit deep, but the size is very appropriate, I 176 high 195 pounds heavier short legs ha ha, 38W30 just</v>
      </c>
    </row>
    <row r="1106">
      <c r="A1106" s="1">
        <v>5.0</v>
      </c>
      <c r="B1106" s="1" t="s">
        <v>1106</v>
      </c>
      <c r="C1106" t="str">
        <f>IFERROR(__xludf.DUMMYFUNCTION("GOOGLETRANSLATE(B1106, ""zh"", ""en"")"),"Kitchen artifact! Pretty easy to use! Regret not buying earlier, it will save a lot of things. Only the United States is not in place is a bit of a machine in the details, such as when there are manufacturing parts of the residual metal chips, etc., be su"&amp;"re to carefully clean up")</f>
        <v>Kitchen artifact! Pretty easy to use! Regret not buying earlier, it will save a lot of things. Only the United States is not in place is a bit of a machine in the details, such as when there are manufacturing parts of the residual metal chips, etc., be sure to carefully clean up</v>
      </c>
    </row>
    <row r="1107">
      <c r="A1107" s="1">
        <v>5.0</v>
      </c>
      <c r="B1107" s="1" t="s">
        <v>1107</v>
      </c>
      <c r="C1107" t="str">
        <f>IFERROR(__xludf.DUMMYFUNCTION("GOOGLETRANSLATE(B1107, ""zh"", ""en"")"),"Well I tried, beat flour, powdered sugar is to force.")</f>
        <v>Well I tried, beat flour, powdered sugar is to force.</v>
      </c>
    </row>
    <row r="1108">
      <c r="A1108" s="1">
        <v>5.0</v>
      </c>
      <c r="B1108" s="1" t="s">
        <v>1108</v>
      </c>
      <c r="C1108" t="str">
        <f>IFERROR(__xludf.DUMMYFUNCTION("GOOGLETRANSLATE(B1108, ""zh"", ""en"")"),"Big looks good, but wearing big 37")</f>
        <v>Big looks good, but wearing big 37</v>
      </c>
    </row>
    <row r="1109">
      <c r="A1109" s="1">
        <v>5.0</v>
      </c>
      <c r="B1109" s="1" t="s">
        <v>1109</v>
      </c>
      <c r="C1109" t="str">
        <f>IFERROR(__xludf.DUMMYFUNCTION("GOOGLETRANSLATE(B1109, ""zh"", ""en"")"),"Good value for money, slender type are, 192 / 68kg, wearing appropriate")</f>
        <v>Good value for money, slender type are, 192 / 68kg, wearing appropriate</v>
      </c>
    </row>
    <row r="1110">
      <c r="A1110" s="1">
        <v>5.0</v>
      </c>
      <c r="B1110" s="1" t="s">
        <v>1110</v>
      </c>
      <c r="C1110" t="str">
        <f>IFERROR(__xludf.DUMMYFUNCTION("GOOGLETRANSLATE(B1110, ""zh"", ""en"")"),"Quite comfortable 173,170LBS, often Jianli, you can completely control the US version. recommend")</f>
        <v>Quite comfortable 173,170LBS, often Jianli, you can completely control the US version. recommend</v>
      </c>
    </row>
    <row r="1111">
      <c r="A1111" s="1">
        <v>5.0</v>
      </c>
      <c r="B1111" s="1" t="s">
        <v>1111</v>
      </c>
      <c r="C1111" t="str">
        <f>IFERROR(__xludf.DUMMYFUNCTION("GOOGLETRANSLATE(B1111, ""zh"", ""en"")"),"Very satisfied, in addition to significant net stroke do not understand the logistics head is quite big, express slightly faster than the website shows, but the site shows the delivery trip is incomplete, do not understand why. Fast copy speeds of 40 a fe"&amp;"w times, when 20 a few slow, other capacity more than 2.7 point, nothing else satisfied. When the video resource library, and slowly with, come back to comment.")</f>
        <v>Very satisfied, in addition to significant net stroke do not understand the logistics head is quite big, express slightly faster than the website shows, but the site shows the delivery trip is incomplete, do not understand why. Fast copy speeds of 40 a few times, when 20 a few slow, other capacity more than 2.7 point, nothing else satisfied. When the video resource library, and slowly with, come back to comment.</v>
      </c>
    </row>
    <row r="1112">
      <c r="A1112" s="1">
        <v>5.0</v>
      </c>
      <c r="B1112" s="1" t="s">
        <v>1112</v>
      </c>
      <c r="C1112" t="str">
        <f>IFERROR(__xludf.DUMMYFUNCTION("GOOGLETRANSLATE(B1112, ""zh"", ""en"")"),"Value for money! ! ! 1 F sharp, smooth writing, do not scrape on plain paper of A4 paper. I used before 78G, feeling too fine nib, some Zhise writing. This is not such a problem, but also the United States and Ling area around a bunch of separate, really "&amp;"very good.")</f>
        <v>Value for money! ! ! 1 F sharp, smooth writing, do not scrape on plain paper of A4 paper. I used before 78G, feeling too fine nib, some Zhise writing. This is not such a problem, but also the United States and Ling area around a bunch of separate, really very good.</v>
      </c>
    </row>
    <row r="1113">
      <c r="A1113" s="1">
        <v>5.0</v>
      </c>
      <c r="B1113" s="1" t="s">
        <v>1113</v>
      </c>
      <c r="C1113" t="str">
        <f>IFERROR(__xludf.DUMMYFUNCTION("GOOGLETRANSLATE(B1113, ""zh"", ""en"")"),"Big quality good, is too big, her husband 170cm, 70kg, buy M size, big in big trouble, trousers buy into 110 yuan, 120 yuan to send back freight needs, only to give fat father wore, the sum down, buy European version must wear their own country than usual"&amp;" small one yards")</f>
        <v>Big quality good, is too big, her husband 170cm, 70kg, buy M size, big in big trouble, trousers buy into 110 yuan, 120 yuan to send back freight needs, only to give fat father wore, the sum down, buy European version must wear their own country than usual small one yards</v>
      </c>
    </row>
    <row r="1114">
      <c r="A1114" s="1">
        <v>5.0</v>
      </c>
      <c r="B1114" s="1" t="s">
        <v>1114</v>
      </c>
      <c r="C1114" t="str">
        <f>IFERROR(__xludf.DUMMYFUNCTION("GOOGLETRANSLATE(B1114, ""zh"", ""en"")"),"Black snow red table, with play")</f>
        <v>Black snow red table, with play</v>
      </c>
    </row>
    <row r="1115">
      <c r="A1115" s="1">
        <v>5.0</v>
      </c>
      <c r="B1115" s="1" t="s">
        <v>1115</v>
      </c>
      <c r="C1115" t="str">
        <f>IFERROR(__xludf.DUMMYFUNCTION("GOOGLETRANSLATE(B1115, ""zh"", ""en"")"),"Yes, the value of the price of none, workmanship are good.")</f>
        <v>Yes, the value of the price of none, workmanship are good.</v>
      </c>
    </row>
    <row r="1116">
      <c r="A1116" s="1">
        <v>5.0</v>
      </c>
      <c r="B1116" s="1" t="s">
        <v>1116</v>
      </c>
      <c r="C1116" t="str">
        <f>IFERROR(__xludf.DUMMYFUNCTION("GOOGLETRANSLATE(B1116, ""zh"", ""en"")"),"Bought a lot of good times, the right size, the price is")</f>
        <v>Bought a lot of good times, the right size, the price is</v>
      </c>
    </row>
    <row r="1117">
      <c r="A1117" s="1">
        <v>5.0</v>
      </c>
      <c r="B1117" s="1" t="s">
        <v>1117</v>
      </c>
      <c r="C1117" t="str">
        <f>IFERROR(__xludf.DUMMYFUNCTION("GOOGLETRANSLATE(B1117, ""zh"", ""en"")"),"Japanese products are assured: &lt;div id = ""video-block-R2KJLXIAS4UA27"" class = ""a-section a-spacing-small a-spacing-top-mini video-block""&gt; &lt;/ div&gt; &lt;input type = ""hidden ""name ="" ""value ="" https://images-cn.ssl-images-amazon.com/images/I/91j82nCr5Q"&amp;"S.mp4 ""class ="" video-url ""&gt; &lt;input type ="" hidden ""name ="" ""value ="" https://images-cn.ssl-images-amazon.com/images/I/71ufSZZdkhS.png ""class ="" video-slate-img-url ""&gt; &amp; nbsp; shipping slightly faster installation cost point of mind I am a happ"&amp;"y man woman 😃")</f>
        <v>Japanese products are assured: &lt;div id = "video-block-R2KJLXIAS4UA27" class = "a-section a-spacing-small a-spacing-top-mini video-block"&gt; &lt;/ div&gt; &lt;input type = "hidden "name =" "value =" https://images-cn.ssl-images-amazon.com/images/I/91j82nCr5QS.mp4 "class =" video-url "&gt; &lt;input type =" hidden "name =" "value =" https://images-cn.ssl-images-amazon.com/images/I/71ufSZZdkhS.png "class =" video-slate-img-url "&gt; &amp; nbsp; shipping slightly faster installation cost point of mind I am a happy man woman 😃</v>
      </c>
    </row>
    <row r="1118">
      <c r="A1118" s="1">
        <v>5.0</v>
      </c>
      <c r="B1118" s="1" t="s">
        <v>1118</v>
      </c>
      <c r="C1118" t="str">
        <f>IFERROR(__xludf.DUMMYFUNCTION("GOOGLETRANSLATE(B1118, ""zh"", ""en"")"),"Good soles very soft, comfortable is very comfortable, a little stone hit the foot slightly")</f>
        <v>Good soles very soft, comfortable is very comfortable, a little stone hit the foot slightly</v>
      </c>
    </row>
    <row r="1119">
      <c r="A1119" s="1">
        <v>5.0</v>
      </c>
      <c r="B1119" s="1" t="s">
        <v>1119</v>
      </c>
      <c r="C1119" t="str">
        <f>IFERROR(__xludf.DUMMYFUNCTION("GOOGLETRANSLATE(B1119, ""zh"", ""en"")"),"Very heavy machines, color is very bright. It has helped, and face save a great deal. But no hook and surface coating, can not wash into a dishwasher.")</f>
        <v>Very heavy machines, color is very bright. It has helped, and face save a great deal. But no hook and surface coating, can not wash into a dishwasher.</v>
      </c>
    </row>
    <row r="1120">
      <c r="A1120" s="1">
        <v>5.0</v>
      </c>
      <c r="B1120" s="1" t="s">
        <v>1120</v>
      </c>
      <c r="C1120" t="str">
        <f>IFERROR(__xludf.DUMMYFUNCTION("GOOGLETRANSLATE(B1120, ""zh"", ""en"")"),"This package is good quality is very good, the right size.")</f>
        <v>This package is good quality is very good, the right size.</v>
      </c>
    </row>
    <row r="1121">
      <c r="A1121" s="1">
        <v>5.0</v>
      </c>
      <c r="B1121" s="1" t="s">
        <v>1121</v>
      </c>
      <c r="C1121" t="str">
        <f>IFERROR(__xludf.DUMMYFUNCTION("GOOGLETRANSLATE(B1121, ""zh"", ""en"")"),"satisfaction! Very much! Fine leather! Generous style was thin! Do not wear the foot!")</f>
        <v>satisfaction! Very much! Fine leather! Generous style was thin! Do not wear the foot!</v>
      </c>
    </row>
    <row r="1122">
      <c r="A1122" s="1">
        <v>5.0</v>
      </c>
      <c r="B1122" s="1" t="s">
        <v>1122</v>
      </c>
      <c r="C1122" t="str">
        <f>IFERROR(__xludf.DUMMYFUNCTION("GOOGLETRANSLATE(B1122, ""zh"", ""en"")"),"Perfect shopping very much, the price is right, a little bit small, is not the main xxl")</f>
        <v>Perfect shopping very much, the price is right, a little bit small, is not the main xxl</v>
      </c>
    </row>
    <row r="1123">
      <c r="A1123" s="1">
        <v>5.0</v>
      </c>
      <c r="B1123" s="1" t="s">
        <v>1123</v>
      </c>
      <c r="C1123" t="str">
        <f>IFERROR(__xludf.DUMMYFUNCTION("GOOGLETRANSLATE(B1123, ""zh"", ""en"")"),"Using the experience to buy a third. Because had periodontitis, so buy in units, with red teeth after a meal. Rechargeable batteries may be used, 1900mAh Panasonic battery, a full month use (red teeth twice a day).")</f>
        <v>Using the experience to buy a third. Because had periodontitis, so buy in units, with red teeth after a meal. Rechargeable batteries may be used, 1900mAh Panasonic battery, a full month use (red teeth twice a day).</v>
      </c>
    </row>
    <row r="1124">
      <c r="A1124" s="1">
        <v>5.0</v>
      </c>
      <c r="B1124" s="1" t="s">
        <v>1124</v>
      </c>
      <c r="C1124" t="str">
        <f>IFERROR(__xludf.DUMMYFUNCTION("GOOGLETRANSLATE(B1124, ""zh"", ""en"")"),"Recommended to buy with two friends, feeling and Japan did not buy the poor, but more expensive than Japan.")</f>
        <v>Recommended to buy with two friends, feeling and Japan did not buy the poor, but more expensive than Japan.</v>
      </c>
    </row>
    <row r="1125">
      <c r="A1125" s="1">
        <v>5.0</v>
      </c>
      <c r="B1125" s="1" t="s">
        <v>1125</v>
      </c>
      <c r="C1125" t="str">
        <f>IFERROR(__xludf.DUMMYFUNCTION("GOOGLETRANSLATE(B1125, ""zh"", ""en"")"),"Good packaging good Japanese pen, the pen is also good, as a gift best")</f>
        <v>Good packaging good Japanese pen, the pen is also good, as a gift best</v>
      </c>
    </row>
    <row r="1126">
      <c r="A1126" s="1">
        <v>2.0</v>
      </c>
      <c r="B1126" s="1" t="s">
        <v>1126</v>
      </c>
      <c r="C1126" t="str">
        <f>IFERROR(__xludf.DUMMYFUNCTION("GOOGLETRANSLATE(B1126, ""zh"", ""en"")"),"First time to buy overseas, overseas shopping are similar to those streams. But then, after the goods arrived, very disappointed! Dominican shoes are produced. There are a lot of scratches several perforation! Return too much trouble, and later apply for "&amp;"compensation. Say really, I processing speed as well as the policy of the Amazon is still unsatisfactory, but dissatisfied with the product!")</f>
        <v>First time to buy overseas, overseas shopping are similar to those streams. But then, after the goods arrived, very disappointed! Dominican shoes are produced. There are a lot of scratches several perforation! Return too much trouble, and later apply for compensation. Say really, I processing speed as well as the policy of the Amazon is still unsatisfactory, but dissatisfied with the product!</v>
      </c>
    </row>
    <row r="1127">
      <c r="A1127" s="1">
        <v>3.0</v>
      </c>
      <c r="B1127" s="1" t="s">
        <v>1127</v>
      </c>
      <c r="C1127" t="str">
        <f>IFERROR(__xludf.DUMMYFUNCTION("GOOGLETRANSLATE(B1127, ""zh"", ""en"")"),"Strawberry taste bad bad bad! Strawberry really does not taste good, to October 15 before the arrival of No. No. September 28 payment, too slow is too slow is too slow! ! ! Disappointed! ! !")</f>
        <v>Strawberry taste bad bad bad! Strawberry really does not taste good, to October 15 before the arrival of No. No. September 28 payment, too slow is too slow is too slow! ! ! Disappointed! ! !</v>
      </c>
    </row>
    <row r="1128">
      <c r="A1128" s="1">
        <v>3.0</v>
      </c>
      <c r="B1128" s="1" t="s">
        <v>1128</v>
      </c>
      <c r="C1128" t="str">
        <f>IFERROR(__xludf.DUMMYFUNCTION("GOOGLETRANSLATE(B1128, ""zh"", ""en"")"),"Legs are too fat to wear that type are not as big buttocks Tuicu me, Mrs. legs really too fat. If only for movement, without considering the nice words to buy. Not recommended")</f>
        <v>Legs are too fat to wear that type are not as big buttocks Tuicu me, Mrs. legs really too fat. If only for movement, without considering the nice words to buy. Not recommended</v>
      </c>
    </row>
    <row r="1129">
      <c r="A1129" s="1">
        <v>1.0</v>
      </c>
      <c r="B1129" s="1" t="s">
        <v>1129</v>
      </c>
      <c r="C1129" t="str">
        <f>IFERROR(__xludf.DUMMYFUNCTION("GOOGLETRANSLATE(B1129, ""zh"", ""en"")"),"Poor quality, with a month of bad quality is poor, with a bad month, but also their own freight Post a past repair. Customer service said they are not responsible for the warranty of goods purchased abroad so that they find businesses. After no longer buy"&amp;" things abroad in the purchase.")</f>
        <v>Poor quality, with a month of bad quality is poor, with a bad month, but also their own freight Post a past repair. Customer service said they are not responsible for the warranty of goods purchased abroad so that they find businesses. After no longer buy things abroad in the purchase.</v>
      </c>
    </row>
    <row r="1130">
      <c r="A1130" s="1">
        <v>1.0</v>
      </c>
      <c r="B1130" s="1" t="s">
        <v>1130</v>
      </c>
      <c r="C1130" t="str">
        <f>IFERROR(__xludf.DUMMYFUNCTION("GOOGLETRANSLATE(B1130, ""zh"", ""en"")"),"Leaking water tank with less than six months to start leaking tank, the bottom of the switch interface simply does not close tightly, we have a pool of water on the table after each use. Warranty can not can not replace the tank, can only make do with.")</f>
        <v>Leaking water tank with less than six months to start leaking tank, the bottom of the switch interface simply does not close tightly, we have a pool of water on the table after each use. Warranty can not can not replace the tank, can only make do with.</v>
      </c>
    </row>
    <row r="1131">
      <c r="A1131" s="1">
        <v>1.0</v>
      </c>
      <c r="B1131" s="1" t="s">
        <v>1131</v>
      </c>
      <c r="C1131" t="str">
        <f>IFERROR(__xludf.DUMMYFUNCTION("GOOGLETRANSLATE(B1131, ""zh"", ""en"")"),"Pacifier soft baby to accept it well with soft baby pacifier easy to accept what")</f>
        <v>Pacifier soft baby to accept it well with soft baby pacifier easy to accept what</v>
      </c>
    </row>
    <row r="1132">
      <c r="A1132" s="1">
        <v>4.0</v>
      </c>
      <c r="B1132" s="1" t="s">
        <v>1132</v>
      </c>
      <c r="C1132" t="str">
        <f>IFERROR(__xludf.DUMMYFUNCTION("GOOGLETRANSLATE(B1132, ""zh"", ""en"")"),"Overall looks pretty good. There was a very good friend to leave, bought a pen to send him; pen appearance looked very fine, plastic feel strong, thin carton feeling was not very good; he did not go with the hope that easy to use, he likes ; overall prett"&amp;"y good!")</f>
        <v>Overall looks pretty good. There was a very good friend to leave, bought a pen to send him; pen appearance looked very fine, plastic feel strong, thin carton feeling was not very good; he did not go with the hope that easy to use, he likes ; overall pretty good!</v>
      </c>
    </row>
    <row r="1133">
      <c r="A1133" s="1">
        <v>4.0</v>
      </c>
      <c r="B1133" s="1" t="s">
        <v>1133</v>
      </c>
      <c r="C1133" t="str">
        <f>IFERROR(__xludf.DUMMYFUNCTION("GOOGLETRANSLATE(B1133, ""zh"", ""en"")"),"Size is too large, trained, trained, trained, buy big friends, men and 180,140 votes in the upper body strong buy L, you should buy M's")</f>
        <v>Size is too large, trained, trained, trained, buy big friends, men and 180,140 votes in the upper body strong buy L, you should buy M's</v>
      </c>
    </row>
    <row r="1134">
      <c r="A1134" s="1">
        <v>4.0</v>
      </c>
      <c r="B1134" s="1" t="s">
        <v>1134</v>
      </c>
      <c r="C1134" t="str">
        <f>IFERROR(__xludf.DUMMYFUNCTION("GOOGLETRANSLATE(B1134, ""zh"", ""en"")"),"Wearing feel is not suitable for high instep, the shoes a little darker than the picture on the")</f>
        <v>Wearing feel is not suitable for high instep, the shoes a little darker than the picture on the</v>
      </c>
    </row>
    <row r="1135">
      <c r="A1135" s="1">
        <v>4.0</v>
      </c>
      <c r="B1135" s="1" t="s">
        <v>1135</v>
      </c>
      <c r="C1135" t="str">
        <f>IFERROR(__xludf.DUMMYFUNCTION("GOOGLETRANSLATE(B1135, ""zh"", ""en"")"),"Size suitable sleeve length, shoulder width a little wide, the length of the body, such that the waist! I 180 height, weight 75kg, belongs to the muscular body, for your reference")</f>
        <v>Size suitable sleeve length, shoulder width a little wide, the length of the body, such that the waist! I 180 height, weight 75kg, belongs to the muscular body, for your reference</v>
      </c>
    </row>
    <row r="1136">
      <c r="A1136" s="1">
        <v>4.0</v>
      </c>
      <c r="B1136" s="1" t="s">
        <v>1136</v>
      </c>
      <c r="C1136" t="str">
        <f>IFERROR(__xludf.DUMMYFUNCTION("GOOGLETRANSLATE(B1136, ""zh"", ""en"")"),"Can also be right, some thin material")</f>
        <v>Can also be right, some thin material</v>
      </c>
    </row>
    <row r="1137">
      <c r="A1137" s="1">
        <v>5.0</v>
      </c>
      <c r="B1137" s="1" t="s">
        <v>1137</v>
      </c>
      <c r="C1137" t="str">
        <f>IFERROR(__xludf.DUMMYFUNCTION("GOOGLETRANSLATE(B1137, ""zh"", ""en"")"),"Very good bright color, good quality. Children like.")</f>
        <v>Very good bright color, good quality. Children like.</v>
      </c>
    </row>
    <row r="1138">
      <c r="A1138" s="1">
        <v>5.0</v>
      </c>
      <c r="B1138" s="1" t="s">
        <v>1138</v>
      </c>
      <c r="C1138" t="str">
        <f>IFERROR(__xludf.DUMMYFUNCTION("GOOGLETRANSLATE(B1138, ""zh"", ""en"")"),"Things received, very little light! ! ! I do not know is not no foreign security patch? ? ? There are no big Diao explain! ! ! As! ! ! ! ! ! ! ! ! ! ! ! ! ! ! ! !")</f>
        <v>Things received, very little light! ! ! I do not know is not no foreign security patch? ? ? There are no big Diao explain! ! ! As! ! ! ! ! ! ! ! ! ! ! ! ! ! ! ! !</v>
      </c>
    </row>
    <row r="1139">
      <c r="A1139" s="1">
        <v>5.0</v>
      </c>
      <c r="B1139" s="1" t="s">
        <v>1139</v>
      </c>
      <c r="C1139" t="str">
        <f>IFERROR(__xludf.DUMMYFUNCTION("GOOGLETRANSLATE(B1139, ""zh"", ""en"")"),"I have been using this brand of scissors to the baby, practical and safe!")</f>
        <v>I have been using this brand of scissors to the baby, practical and safe!</v>
      </c>
    </row>
    <row r="1140">
      <c r="A1140" s="1">
        <v>5.0</v>
      </c>
      <c r="B1140" s="1" t="s">
        <v>1140</v>
      </c>
      <c r="C1140" t="str">
        <f>IFERROR(__xludf.DUMMYFUNCTION("GOOGLETRANSLATE(B1140, ""zh"", ""en"")"),"Smooth operation, the installation needs to move it slightly heavy weight hand, sending a particularly large number of accessories, but in addition to the water inlet and outlet pipes have not used, bought for himself two effluent pipe used. The assembly "&amp;"process is very smooth, the water began to come out of a little yellow, drain off the water for some time to normal, there should be a machine's sake sediment. Installation Notes: A total of four ports need to take over the child, export six points of inl"&amp;"et and outlet, and a 2.5 cm row wastewater outfall and a little smaller, and finally this drain is only at the beginning of the machine time is running out over the water, usually not had, do not know is not normal. Need to measure before running the mach"&amp;"ine comes with a tool to measure water quality look ppm, based on the results need to adjust the parameters measured after running up, or it is possible the machine out of the water is too soft, slip a little bit too much. The first time such a serious ev"&amp;"aluation, but also because this machine handy, but other than domestic models much cheaper, thanks Amazon!")</f>
        <v>Smooth operation, the installation needs to move it slightly heavy weight hand, sending a particularly large number of accessories, but in addition to the water inlet and outlet pipes have not used, bought for himself two effluent pipe used. The assembly process is very smooth, the water began to come out of a little yellow, drain off the water for some time to normal, there should be a machine's sake sediment. Installation Notes: A total of four ports need to take over the child, export six points of inlet and outlet, and a 2.5 cm row wastewater outfall and a little smaller, and finally this drain is only at the beginning of the machine time is running out over the water, usually not had, do not know is not normal. Need to measure before running the machine comes with a tool to measure water quality look ppm, based on the results need to adjust the parameters measured after running up, or it is possible the machine out of the water is too soft, slip a little bit too much. The first time such a serious evaluation, but also because this machine handy, but other than domestic models much cheaper, thanks Amazon!</v>
      </c>
    </row>
    <row r="1141">
      <c r="A1141" s="1">
        <v>5.0</v>
      </c>
      <c r="B1141" s="1" t="s">
        <v>1141</v>
      </c>
      <c r="C1141" t="str">
        <f>IFERROR(__xludf.DUMMYFUNCTION("GOOGLETRANSLATE(B1141, ""zh"", ""en"")"),"Shoes is really too large in terms of overall pretty good, shoe size is too large, I usually wear size 44 shoes, 43 shoes, but shoes are 42.5, actually also a little bigger, it touches on the right. Just received the goods because the reason laces tied, n"&amp;"o shoes inside, once thought is to buy small, and later the laces untied a try, a little bigger, just right.")</f>
        <v>Shoes is really too large in terms of overall pretty good, shoe size is too large, I usually wear size 44 shoes, 43 shoes, but shoes are 42.5, actually also a little bigger, it touches on the right. Just received the goods because the reason laces tied, no shoes inside, once thought is to buy small, and later the laces untied a try, a little bigger, just right.</v>
      </c>
    </row>
    <row r="1142">
      <c r="A1142" s="1">
        <v>5.0</v>
      </c>
      <c r="B1142" s="1" t="s">
        <v>1142</v>
      </c>
      <c r="C1142" t="str">
        <f>IFERROR(__xludf.DUMMYFUNCTION("GOOGLETRANSLATE(B1142, ""zh"", ""en"")"),"Buy a second! ! ! Very good 👍 usually wear 38 yards to buy 7.5 very appropriate! Is the second time to buy, very significant foot thin, wild white shoes - but prices fluctuated, like you can pay more attention to, direct start")</f>
        <v>Buy a second! ! ! Very good 👍 usually wear 38 yards to buy 7.5 very appropriate! Is the second time to buy, very significant foot thin, wild white shoes - but prices fluctuated, like you can pay more attention to, direct start</v>
      </c>
    </row>
    <row r="1143">
      <c r="A1143" s="1">
        <v>5.0</v>
      </c>
      <c r="B1143" s="1" t="s">
        <v>1143</v>
      </c>
      <c r="C1143" t="str">
        <f>IFERROR(__xludf.DUMMYFUNCTION("GOOGLETRANSLATE(B1143, ""zh"", ""en"")"),"Comfortable walking shoes code suitable, comfortable, lightweight, slim-type shoes.")</f>
        <v>Comfortable walking shoes code suitable, comfortable, lightweight, slim-type shoes.</v>
      </c>
    </row>
    <row r="1144">
      <c r="A1144" s="1">
        <v>5.0</v>
      </c>
      <c r="B1144" s="1" t="s">
        <v>1144</v>
      </c>
      <c r="C1144" t="str">
        <f>IFERROR(__xludf.DUMMYFUNCTION("GOOGLETRANSLATE(B1144, ""zh"", ""en"")"),"Very very suitable origin of Thailand, usually to buy 41.5, ecco buy 41 just want to buy double goretex, look at this double good price, ecco foot feeling okay, I start with the")</f>
        <v>Very very suitable origin of Thailand, usually to buy 41.5, ecco buy 41 just want to buy double goretex, look at this double good price, ecco foot feeling okay, I start with the</v>
      </c>
    </row>
    <row r="1145">
      <c r="A1145" s="1">
        <v>5.0</v>
      </c>
      <c r="B1145" s="1" t="s">
        <v>1145</v>
      </c>
      <c r="C1145" t="str">
        <f>IFERROR(__xludf.DUMMYFUNCTION("GOOGLETRANSLATE(B1145, ""zh"", ""en"")"),"Buy buy buy go precise, high color value, very satisfied.")</f>
        <v>Buy buy buy go precise, high color value, very satisfied.</v>
      </c>
    </row>
    <row r="1146">
      <c r="A1146" s="1">
        <v>5.0</v>
      </c>
      <c r="B1146" s="1" t="s">
        <v>1146</v>
      </c>
      <c r="C1146" t="str">
        <f>IFERROR(__xludf.DUMMYFUNCTION("GOOGLETRANSLATE(B1146, ""zh"", ""en"")"),"Possible value for money")</f>
        <v>Possible value for money</v>
      </c>
    </row>
    <row r="1147">
      <c r="A1147" s="1">
        <v>5.0</v>
      </c>
      <c r="B1147" s="1" t="s">
        <v>1147</v>
      </c>
      <c r="C1147" t="str">
        <f>IFERROR(__xludf.DUMMYFUNCTION("GOOGLETRANSLATE(B1147, ""zh"", ""en"")"),"Sound quality is good, the rotary knob tight sound quality is also good, tight button")</f>
        <v>Sound quality is good, the rotary knob tight sound quality is also good, tight button</v>
      </c>
    </row>
    <row r="1148">
      <c r="A1148" s="1">
        <v>5.0</v>
      </c>
      <c r="B1148" s="1" t="s">
        <v>1148</v>
      </c>
      <c r="C1148" t="str">
        <f>IFERROR(__xludf.DUMMYFUNCTION("GOOGLETRANSLATE(B1148, ""zh"", ""en"")"),"Well-deserved reputation JBL sound quality, well-deserved reputation, express also responsible for carefully.")</f>
        <v>Well-deserved reputation JBL sound quality, well-deserved reputation, express also responsible for carefully.</v>
      </c>
    </row>
    <row r="1149">
      <c r="A1149" s="1">
        <v>5.0</v>
      </c>
      <c r="B1149" s="1" t="s">
        <v>1149</v>
      </c>
      <c r="C1149" t="str">
        <f>IFERROR(__xludf.DUMMYFUNCTION("GOOGLETRANSLATE(B1149, ""zh"", ""en"")"),"Your side, affecting the water pressure great enough cheap points")</f>
        <v>Your side, affecting the water pressure great enough cheap points</v>
      </c>
    </row>
    <row r="1150">
      <c r="A1150" s="1">
        <v>5.0</v>
      </c>
      <c r="B1150" s="1" t="s">
        <v>1150</v>
      </c>
      <c r="C1150" t="str">
        <f>IFERROR(__xludf.DUMMYFUNCTION("GOOGLETRANSLATE(B1150, ""zh"", ""en"")"),"Tube does not really did not see it, I was back with a comment! It was comfortable, buy dogs main side effects are not afraid of India, used a few times with the pelvis, abdomen with did not feel much effect")</f>
        <v>Tube does not really did not see it, I was back with a comment! It was comfortable, buy dogs main side effects are not afraid of India, used a few times with the pelvis, abdomen with did not feel much effect</v>
      </c>
    </row>
    <row r="1151">
      <c r="A1151" s="1">
        <v>5.0</v>
      </c>
      <c r="B1151" s="1" t="s">
        <v>1151</v>
      </c>
      <c r="C1151" t="str">
        <f>IFERROR(__xludf.DUMMYFUNCTION("GOOGLETRANSLATE(B1151, ""zh"", ""en"")"),"Too large, too large beautiful numbers, usually 44 to wear Adidas, which bought 42.5 double, put on just right. Amazon now express soon, he received four or five days, to the force.")</f>
        <v>Too large, too large beautiful numbers, usually 44 to wear Adidas, which bought 42.5 double, put on just right. Amazon now express soon, he received four or five days, to the force.</v>
      </c>
    </row>
    <row r="1152">
      <c r="A1152" s="1">
        <v>5.0</v>
      </c>
      <c r="B1152" s="1" t="s">
        <v>1152</v>
      </c>
      <c r="C1152" t="str">
        <f>IFERROR(__xludf.DUMMYFUNCTION("GOOGLETRANSLATE(B1152, ""zh"", ""en"")"),"Pleasant shopping experience foot feeling between the range of dress shoes and sports shoes, you can buy a single shoe in accordance with the daily number. Just wear some tightening sense, but also that the small size, then wear a few times much more comf"&amp;"ortable, because it is new shoes sake. Color liked, improved ""old music"" ""Moccasin"" feeling. Permeability is very good, indeed toughness!")</f>
        <v>Pleasant shopping experience foot feeling between the range of dress shoes and sports shoes, you can buy a single shoe in accordance with the daily number. Just wear some tightening sense, but also that the small size, then wear a few times much more comfortable, because it is new shoes sake. Color liked, improved "old music" "Moccasin" feeling. Permeability is very good, indeed toughness!</v>
      </c>
    </row>
    <row r="1153">
      <c r="A1153" s="1">
        <v>5.0</v>
      </c>
      <c r="B1153" s="1" t="s">
        <v>1153</v>
      </c>
      <c r="C1153" t="str">
        <f>IFERROR(__xludf.DUMMYFUNCTION("GOOGLETRANSLATE(B1153, ""zh"", ""en"")"),"Small box hand great, Casio bought so many, it will eventually have to start with the classic box.")</f>
        <v>Small box hand great, Casio bought so many, it will eventually have to start with the classic box.</v>
      </c>
    </row>
    <row r="1154">
      <c r="A1154" s="1">
        <v>5.0</v>
      </c>
      <c r="B1154" s="1" t="s">
        <v>1154</v>
      </c>
      <c r="C1154" t="str">
        <f>IFERROR(__xludf.DUMMYFUNCTION("GOOGLETRANSLATE(B1154, ""zh"", ""en"")"),"493 Shannon really dial a little crooked, the other good, search wave stand outside almost two minutes it successfully, classic ????")</f>
        <v>493 Shannon really dial a little crooked, the other good, search wave stand outside almost two minutes it successfully, classic ????</v>
      </c>
    </row>
    <row r="1155">
      <c r="A1155" s="1">
        <v>5.0</v>
      </c>
      <c r="B1155" s="1" t="s">
        <v>1155</v>
      </c>
      <c r="C1155" t="str">
        <f>IFERROR(__xludf.DUMMYFUNCTION("GOOGLETRANSLATE(B1155, ""zh"", ""en"")"),"skiphop very good, the right size spoon holding a baby, spoon mouth is too large, more than one year old baby with them a little big!")</f>
        <v>skiphop very good, the right size spoon holding a baby, spoon mouth is too large, more than one year old baby with them a little big!</v>
      </c>
    </row>
    <row r="1156">
      <c r="A1156" s="1">
        <v>5.0</v>
      </c>
      <c r="B1156" s="1" t="s">
        <v>1156</v>
      </c>
      <c r="C1156" t="str">
        <f>IFERROR(__xludf.DUMMYFUNCTION("GOOGLETRANSLATE(B1156, ""zh"", ""en"")"),"Lovely small bowl bowl love children very cute! After what snacks to decorate the baby is very convenient, sealing good, that is to fasten the lid a little bit of trouble!")</f>
        <v>Lovely small bowl bowl love children very cute! After what snacks to decorate the baby is very convenient, sealing good, that is to fasten the lid a little bit of trouble!</v>
      </c>
    </row>
    <row r="1157">
      <c r="A1157" s="1">
        <v>5.0</v>
      </c>
      <c r="B1157" s="1" t="s">
        <v>1157</v>
      </c>
      <c r="C1157" t="str">
        <f>IFERROR(__xludf.DUMMYFUNCTION("GOOGLETRANSLATE(B1157, ""zh"", ""en"")"),"Inside is a thick section plus thick section of cotton in the picture and description does not show up. Style is very good, the right size, wear is not suitable now, keep wear it in the second half")</f>
        <v>Inside is a thick section plus thick section of cotton in the picture and description does not show up. Style is very good, the right size, wear is not suitable now, keep wear it in the second half</v>
      </c>
    </row>
    <row r="1158">
      <c r="A1158" s="1">
        <v>5.0</v>
      </c>
      <c r="B1158" s="1" t="s">
        <v>1158</v>
      </c>
      <c r="C1158" t="str">
        <f>IFERROR(__xludf.DUMMYFUNCTION("GOOGLETRANSLATE(B1158, ""zh"", ""en"")"),"Comfort has been in the comfort of socks to wear 👍")</f>
        <v>Comfort has been in the comfort of socks to wear 👍</v>
      </c>
    </row>
    <row r="1159">
      <c r="A1159" s="1">
        <v>2.0</v>
      </c>
      <c r="B1159" s="1" t="s">
        <v>1159</v>
      </c>
      <c r="C1159" t="str">
        <f>IFERROR(__xludf.DUMMYFUNCTION("GOOGLETRANSLATE(B1159, ""zh"", ""en"")"),"Period is too short toothpaste itself is large enough, and very easy to use without having to squeeze, the quality of the product itself should be no problem. But I was 17 years in December of goods received, valid until 18 December, only about a year, th"&amp;"e production date is 15 years, one year is not possible to run out of six, asked the customer service, he said no expired on normal, I do not know if today the receipt, valid for tomorrow is not expired can be considered normal. Amazon hopes to do for thi"&amp;"s commodity marked expiration date in order to prevent misleading consumers in the United States and Asia to buy several things are satisfied, the difference in assessment!")</f>
        <v>Period is too short toothpaste itself is large enough, and very easy to use without having to squeeze, the quality of the product itself should be no problem. But I was 17 years in December of goods received, valid until 18 December, only about a year, the production date is 15 years, one year is not possible to run out of six, asked the customer service, he said no expired on normal, I do not know if today the receipt, valid for tomorrow is not expired can be considered normal. Amazon hopes to do for this commodity marked expiration date in order to prevent misleading consumers in the United States and Asia to buy several things are satisfied, the difference in assessment!</v>
      </c>
    </row>
    <row r="1160">
      <c r="A1160" s="1">
        <v>3.0</v>
      </c>
      <c r="B1160" s="1" t="s">
        <v>1160</v>
      </c>
      <c r="C1160" t="str">
        <f>IFERROR(__xludf.DUMMYFUNCTION("GOOGLETRANSLATE(B1160, ""zh"", ""en"")"),"Fade, fade fade fade ...... actually ...... Oh da")</f>
        <v>Fade, fade fade fade ...... actually ...... Oh da</v>
      </c>
    </row>
    <row r="1161">
      <c r="A1161" s="1">
        <v>3.0</v>
      </c>
      <c r="B1161" s="1" t="s">
        <v>1161</v>
      </c>
      <c r="C1161" t="str">
        <f>IFERROR(__xludf.DUMMYFUNCTION("GOOGLETRANSLATE(B1161, ""zh"", ""en"")"),"low-waist slim fit low waist paragraph slim fit personal 180 88kg legs a little thin")</f>
        <v>low-waist slim fit low waist paragraph slim fit personal 180 88kg legs a little thin</v>
      </c>
    </row>
    <row r="1162">
      <c r="A1162" s="1">
        <v>3.0</v>
      </c>
      <c r="B1162" s="1" t="s">
        <v>1162</v>
      </c>
      <c r="C1162" t="str">
        <f>IFERROR(__xludf.DUMMYFUNCTION("GOOGLETRANSLATE(B1162, ""zh"", ""en"")"),"Some stains shoes, is not expected good, but can also accept it just received the goods, shoe size is slightly bigger, instant a look MADE IN CHINA, shoelaces and left foot at the top of some oil or glue stains can not say, near stains workmanship is not "&amp;"very neat, I do not know true and false, and looks directly in the United States and Asia to buy their own goods are not the same, I hope nothing issues now behind wearing")</f>
        <v>Some stains shoes, is not expected good, but can also accept it just received the goods, shoe size is slightly bigger, instant a look MADE IN CHINA, shoelaces and left foot at the top of some oil or glue stains can not say, near stains workmanship is not very neat, I do not know true and false, and looks directly in the United States and Asia to buy their own goods are not the same, I hope nothing issues now behind wearing</v>
      </c>
    </row>
    <row r="1163">
      <c r="A1163" s="1">
        <v>1.0</v>
      </c>
      <c r="B1163" s="1" t="s">
        <v>1163</v>
      </c>
      <c r="C1163" t="str">
        <f>IFERROR(__xludf.DUMMYFUNCTION("GOOGLETRANSLATE(B1163, ""zh"", ""en"")"),"S number is too big to be just the right height around 173")</f>
        <v>S number is too big to be just the right height around 173</v>
      </c>
    </row>
    <row r="1164">
      <c r="A1164" s="1">
        <v>1.0</v>
      </c>
      <c r="B1164" s="1" t="s">
        <v>1164</v>
      </c>
      <c r="C1164" t="str">
        <f>IFERROR(__xludf.DUMMYFUNCTION("GOOGLETRANSLATE(B1164, ""zh"", ""en"")"),"Flash back, flash back can not be used, can not be used")</f>
        <v>Flash back, flash back can not be used, can not be used</v>
      </c>
    </row>
    <row r="1165">
      <c r="A1165" s="1">
        <v>1.0</v>
      </c>
      <c r="B1165" s="1" t="s">
        <v>1165</v>
      </c>
      <c r="C1165" t="str">
        <f>IFERROR(__xludf.DUMMYFUNCTION("GOOGLETRANSLATE(B1165, ""zh"", ""en"")"),"Clothes dimensioning and the actual size of the deviation is too large. Size mark and the actual size of the clothes too much difference. Leading to buy clothes size is too large. The return costs are too high, to bad bad bad comment.")</f>
        <v>Clothes dimensioning and the actual size of the deviation is too large. Size mark and the actual size of the clothes too much difference. Leading to buy clothes size is too large. The return costs are too high, to bad bad bad comment.</v>
      </c>
    </row>
    <row r="1166">
      <c r="A1166" s="1">
        <v>4.0</v>
      </c>
      <c r="B1166" s="1" t="s">
        <v>1166</v>
      </c>
      <c r="C1166" t="str">
        <f>IFERROR(__xludf.DUMMYFUNCTION("GOOGLETRANSLATE(B1166, ""zh"", ""en"")"),"Satisfaction logistics is very fast, about a week to. Attractive table, pinholes hybrid fabric band, a plastic housing. Small table plan for a little thin of people. After a year and four months of mild to moderate use, the strap broke.")</f>
        <v>Satisfaction logistics is very fast, about a week to. Attractive table, pinholes hybrid fabric band, a plastic housing. Small table plan for a little thin of people. After a year and four months of mild to moderate use, the strap broke.</v>
      </c>
    </row>
    <row r="1167">
      <c r="A1167" s="1">
        <v>4.0</v>
      </c>
      <c r="B1167" s="1" t="s">
        <v>1167</v>
      </c>
      <c r="C1167" t="str">
        <f>IFERROR(__xludf.DUMMYFUNCTION("GOOGLETRANSLATE(B1167, ""zh"", ""en"")"),"there is a problem. . . why? Less than a year on the problem. . Fortunately, less than a year on the problem, still in the warranty period, the question is who told me where the warranty?")</f>
        <v>there is a problem. . . why? Less than a year on the problem. . Fortunately, less than a year on the problem, still in the warranty period, the question is who told me where the warranty?</v>
      </c>
    </row>
    <row r="1168">
      <c r="A1168" s="1">
        <v>4.0</v>
      </c>
      <c r="B1168" s="1" t="s">
        <v>1168</v>
      </c>
      <c r="C1168" t="str">
        <f>IFERROR(__xludf.DUMMYFUNCTION("GOOGLETRANSLATE(B1168, ""zh"", ""en"")"),"Fortunately, a sub-price goods")</f>
        <v>Fortunately, a sub-price goods</v>
      </c>
    </row>
    <row r="1169">
      <c r="A1169" s="1">
        <v>4.0</v>
      </c>
      <c r="B1169" s="1" t="s">
        <v>1169</v>
      </c>
      <c r="C1169" t="str">
        <f>IFERROR(__xludf.DUMMYFUNCTION("GOOGLETRANSLATE(B1169, ""zh"", ""en"")"),"Price changes and some large price changes fast, black five 3820 orders, to on Monday 35xx, as people say, the sound is very ecstasy")</f>
        <v>Price changes and some large price changes fast, black five 3820 orders, to on Monday 35xx, as people say, the sound is very ecstasy</v>
      </c>
    </row>
    <row r="1170">
      <c r="A1170" s="1">
        <v>4.0</v>
      </c>
      <c r="B1170" s="1" t="s">
        <v>1170</v>
      </c>
      <c r="C1170" t="str">
        <f>IFERROR(__xludf.DUMMYFUNCTION("GOOGLETRANSLATE(B1170, ""zh"", ""en"")"),"Began to smell, after a great packaging good enough to start the taste, after taste clean after two days gone, the children generally like, but eat when the angle of the eye to the problem occasionally tie")</f>
        <v>Began to smell, after a great packaging good enough to start the taste, after taste clean after two days gone, the children generally like, but eat when the angle of the eye to the problem occasionally tie</v>
      </c>
    </row>
    <row r="1171">
      <c r="A1171" s="1">
        <v>5.0</v>
      </c>
      <c r="B1171" s="1" t="s">
        <v>1171</v>
      </c>
      <c r="C1171" t="str">
        <f>IFERROR(__xludf.DUMMYFUNCTION("GOOGLETRANSLATE(B1171, ""zh"", ""en"")"),"Amazon to buy things cheaper overseas! First time to buy a green T-shirt, good, very nice. Price beautiful, down to 92, to start immediately. Standard size, height 173, weight 83 kg, L code is very fit.")</f>
        <v>Amazon to buy things cheaper overseas! First time to buy a green T-shirt, good, very nice. Price beautiful, down to 92, to start immediately. Standard size, height 173, weight 83 kg, L code is very fit.</v>
      </c>
    </row>
    <row r="1172">
      <c r="A1172" s="1">
        <v>5.0</v>
      </c>
      <c r="B1172" s="1" t="s">
        <v>1172</v>
      </c>
      <c r="C1172" t="str">
        <f>IFERROR(__xludf.DUMMYFUNCTION("GOOGLETRANSLATE(B1172, ""zh"", ""en"")"),"Rain wear is also very good 👌! Full leather, a good unbiased yards! The normal code as usual size to buy enough.")</f>
        <v>Rain wear is also very good 👌! Full leather, a good unbiased yards! The normal code as usual size to buy enough.</v>
      </c>
    </row>
    <row r="1173">
      <c r="A1173" s="1">
        <v>5.0</v>
      </c>
      <c r="B1173" s="1" t="s">
        <v>1173</v>
      </c>
      <c r="C1173" t="str">
        <f>IFERROR(__xludf.DUMMYFUNCTION("GOOGLETRANSLATE(B1173, ""zh"", ""en"")"),"Suitable girls 160,51 kg, bought a men's XS, very suitable, comfortable fabric, is what I want.")</f>
        <v>Suitable girls 160,51 kg, bought a men's XS, very suitable, comfortable fabric, is what I want.</v>
      </c>
    </row>
    <row r="1174">
      <c r="A1174" s="1">
        <v>5.0</v>
      </c>
      <c r="B1174" s="1" t="s">
        <v>1174</v>
      </c>
      <c r="C1174" t="str">
        <f>IFERROR(__xludf.DUMMYFUNCTION("GOOGLETRANSLATE(B1174, ""zh"", ""en"")"),"Cheap shelf life of May 2021, large amount of cheap")</f>
        <v>Cheap shelf life of May 2021, large amount of cheap</v>
      </c>
    </row>
    <row r="1175">
      <c r="A1175" s="1">
        <v>5.0</v>
      </c>
      <c r="B1175" s="1" t="s">
        <v>1175</v>
      </c>
      <c r="C1175" t="str">
        <f>IFERROR(__xludf.DUMMYFUNCTION("GOOGLETRANSLATE(B1175, ""zh"", ""en"")"),"Good quality. Best buy s code size is too large, it was not by the country code to buy big, but elastic, okay")</f>
        <v>Good quality. Best buy s code size is too large, it was not by the country code to buy big, but elastic, okay</v>
      </c>
    </row>
    <row r="1176">
      <c r="A1176" s="1">
        <v>5.0</v>
      </c>
      <c r="B1176" s="1" t="s">
        <v>1176</v>
      </c>
      <c r="C1176" t="str">
        <f>IFERROR(__xludf.DUMMYFUNCTION("GOOGLETRANSLATE(B1176, ""zh"", ""en"")"),"Size is too large at least a number of big size, at least a large number")</f>
        <v>Size is too large at least a number of big size, at least a large number</v>
      </c>
    </row>
    <row r="1177">
      <c r="A1177" s="1">
        <v>5.0</v>
      </c>
      <c r="B1177" s="1" t="s">
        <v>1177</v>
      </c>
      <c r="C1177" t="str">
        <f>IFERROR(__xludf.DUMMYFUNCTION("GOOGLETRANSLATE(B1177, ""zh"", ""en"")"),"Right size, style like &lt;div id = ""video-block-R1ZXSN9XG0RFVU"" class = ""a-section a-spacing-small a-spacing-top-mini video-block""&gt; &lt;/ div&gt; &lt;input type = ""hidden"" name = """" value = ""https://images-cn.ssl-images-amazon.com/images/I/81srCMrwGFS.mp4"""&amp;" class = ""video-url""&gt; &lt;input type = ""hidden"" name = """" value = ""https://images-cn.ssl-images-amazon.com/images/I/71w4SDWNRUS.png"" class = ""video-slate-img-url""&gt; &amp; nbsp; 36 biased pin 35. Option three yards just right. Really like ah. Faster than"&amp;" expected ~ ~ Attractive Attractive")</f>
        <v>Right size, style like &lt;div id = "video-block-R1ZXSN9XG0RFVU" class = "a-section a-spacing-small a-spacing-top-mini video-block"&gt; &lt;/ div&gt; &lt;input type = "hidden" name = "" value = "https://images-cn.ssl-images-amazon.com/images/I/81srCMrwGFS.mp4" class = "video-url"&gt; &lt;input type = "hidden" name = "" value = "https://images-cn.ssl-images-amazon.com/images/I/71w4SDWNRUS.png" class = "video-slate-img-url"&gt; &amp; nbsp; 36 biased pin 35. Option three yards just right. Really like ah. Faster than expected ~ ~ Attractive Attractive</v>
      </c>
    </row>
    <row r="1178">
      <c r="A1178" s="1">
        <v>5.0</v>
      </c>
      <c r="B1178" s="1" t="s">
        <v>1178</v>
      </c>
      <c r="C1178" t="str">
        <f>IFERROR(__xludf.DUMMYFUNCTION("GOOGLETRANSLATE(B1178, ""zh"", ""en"")"),"Price too high point size perfectly appropriate")</f>
        <v>Price too high point size perfectly appropriate</v>
      </c>
    </row>
    <row r="1179">
      <c r="A1179" s="1">
        <v>5.0</v>
      </c>
      <c r="B1179" s="1" t="s">
        <v>1179</v>
      </c>
      <c r="C1179" t="str">
        <f>IFERROR(__xludf.DUMMYFUNCTION("GOOGLETRANSLATE(B1179, ""zh"", ""en"")"),"Suitable husband to buy, height 181, weight 85 kg, large belly, wearing L code, just right")</f>
        <v>Suitable husband to buy, height 181, weight 85 kg, large belly, wearing L code, just right</v>
      </c>
    </row>
    <row r="1180">
      <c r="A1180" s="1">
        <v>5.0</v>
      </c>
      <c r="B1180" s="1" t="s">
        <v>1180</v>
      </c>
      <c r="C1180" t="str">
        <f>IFERROR(__xludf.DUMMYFUNCTION("GOOGLETRANSLATE(B1180, ""zh"", ""en"")"),"Wrench when installing the pad cloth is very beautiful, exquisite workmanship, details of the experience is very good, but when installed their own, using the wrench to tighten the nut spent (which is pure copper). Massage mode is simply to stimulate the "&amp;"ha ha")</f>
        <v>Wrench when installing the pad cloth is very beautiful, exquisite workmanship, details of the experience is very good, but when installed their own, using the wrench to tighten the nut spent (which is pure copper). Massage mode is simply to stimulate the ha ha</v>
      </c>
    </row>
    <row r="1181">
      <c r="A1181" s="1">
        <v>5.0</v>
      </c>
      <c r="B1181" s="1" t="s">
        <v>1181</v>
      </c>
      <c r="C1181" t="str">
        <f>IFERROR(__xludf.DUMMYFUNCTION("GOOGLETRANSLATE(B1181, ""zh"", ""en"")"),"Well I am so thin people wear trumpet also a big problem sleeve length Well also supposed to pull on the lap just")</f>
        <v>Well I am so thin people wear trumpet also a big problem sleeve length Well also supposed to pull on the lap just</v>
      </c>
    </row>
    <row r="1182">
      <c r="A1182" s="1">
        <v>5.0</v>
      </c>
      <c r="B1182" s="1" t="s">
        <v>1182</v>
      </c>
      <c r="C1182" t="str">
        <f>IFERROR(__xludf.DUMMYFUNCTION("GOOGLETRANSLATE(B1182, ""zh"", ""en"")"),"Like in love, happy mood when to use it to improve the quality of life of a good thing. But after a few days of use, and found good irrigation water bottle, Hudi rest of that little water, there is an odor. Little skeptical kettle material, not so good in"&amp;" the introduction.")</f>
        <v>Like in love, happy mood when to use it to improve the quality of life of a good thing. But after a few days of use, and found good irrigation water bottle, Hudi rest of that little water, there is an odor. Little skeptical kettle material, not so good in the introduction.</v>
      </c>
    </row>
    <row r="1183">
      <c r="A1183" s="1">
        <v>5.0</v>
      </c>
      <c r="B1183" s="1" t="s">
        <v>1183</v>
      </c>
      <c r="C1183" t="str">
        <f>IFERROR(__xludf.DUMMYFUNCTION("GOOGLETRANSLATE(B1183, ""zh"", ""en"")"),"Convenient tax increases over 90, very convenient, but doctors do not recommend the country, I do not know why.")</f>
        <v>Convenient tax increases over 90, very convenient, but doctors do not recommend the country, I do not know why.</v>
      </c>
    </row>
    <row r="1184">
      <c r="A1184" s="1">
        <v>5.0</v>
      </c>
      <c r="B1184" s="1" t="s">
        <v>1184</v>
      </c>
      <c r="C1184" t="str">
        <f>IFERROR(__xludf.DUMMYFUNCTION("GOOGLETRANSLATE(B1184, ""zh"", ""en"")"),"Affordable easy to use the express delivery soon, the baby has been like to use it")</f>
        <v>Affordable easy to use the express delivery soon, the baby has been like to use it</v>
      </c>
    </row>
    <row r="1185">
      <c r="A1185" s="1">
        <v>5.0</v>
      </c>
      <c r="B1185" s="1" t="s">
        <v>1185</v>
      </c>
      <c r="C1185" t="str">
        <f>IFERROR(__xludf.DUMMYFUNCTION("GOOGLETRANSLATE(B1185, ""zh"", ""en"")"),"Satisfaction I 162,84 pounds, to buy 0 long appropriate. There are 0 short time before the regret did not buy, then the price is cheaper than it is now dozens of blocks. 0 short and we have found that there is no hurry to buy 0 long, but also the results "&amp;"of their own money to make them shorter, because almost twice the volume. Good quality, no color, wear comfortable! lee pants in the United States and Asia this is the second buy, and wear 0 yards, fit, and good quality, very satisfied.")</f>
        <v>Satisfaction I 162,84 pounds, to buy 0 long appropriate. There are 0 short time before the regret did not buy, then the price is cheaper than it is now dozens of blocks. 0 short and we have found that there is no hurry to buy 0 long, but also the results of their own money to make them shorter, because almost twice the volume. Good quality, no color, wear comfortable! lee pants in the United States and Asia this is the second buy, and wear 0 yards, fit, and good quality, very satisfied.</v>
      </c>
    </row>
    <row r="1186">
      <c r="A1186" s="1">
        <v>5.0</v>
      </c>
      <c r="B1186" s="1" t="s">
        <v>1186</v>
      </c>
      <c r="C1186" t="str">
        <f>IFERROR(__xludf.DUMMYFUNCTION("GOOGLETRANSLATE(B1186, ""zh"", ""en"")"),"Good good warmth, thin, dark blue color was white, hand 470, one meter sixty-three, 60kg, s number is appropriate")</f>
        <v>Good good warmth, thin, dark blue color was white, hand 470, one meter sixty-three, 60kg, s number is appropriate</v>
      </c>
    </row>
    <row r="1187">
      <c r="A1187" s="1">
        <v>5.0</v>
      </c>
      <c r="B1187" s="1" t="s">
        <v>1187</v>
      </c>
      <c r="C1187" t="str">
        <f>IFERROR(__xludf.DUMMYFUNCTION("GOOGLETRANSLATE(B1187, ""zh"", ""en"")"),"It will buy back the baby to eat hope is genuine,")</f>
        <v>It will buy back the baby to eat hope is genuine,</v>
      </c>
    </row>
    <row r="1188">
      <c r="A1188" s="1">
        <v>5.0</v>
      </c>
      <c r="B1188" s="1" t="s">
        <v>1188</v>
      </c>
      <c r="C1188" t="str">
        <f>IFERROR(__xludf.DUMMYFUNCTION("GOOGLETRANSLATE(B1188, ""zh"", ""en"")"),"Satisfaction very good experience, success make bread.")</f>
        <v>Satisfaction very good experience, success make bread.</v>
      </c>
    </row>
    <row r="1189">
      <c r="A1189" s="1">
        <v>5.0</v>
      </c>
      <c r="B1189" s="1" t="s">
        <v>1189</v>
      </c>
      <c r="C1189" t="str">
        <f>IFERROR(__xludf.DUMMYFUNCTION("GOOGLETRANSLATE(B1189, ""zh"", ""en"")"),"Lee bought the brand before sprinkling, 34X32, feeling the waist slightly larger point, the length is just right. Height 180, weight 70 kg. Want to try another brand, are American brands, we chose the size 33X32, the arrival found that waist circumference"&amp;" is just, long pants but a long one, the subsequent purchase someone to pay attention to it. Pants quality okay, this dress suitable for spring and autumn days.")</f>
        <v>Lee bought the brand before sprinkling, 34X32, feeling the waist slightly larger point, the length is just right. Height 180, weight 70 kg. Want to try another brand, are American brands, we chose the size 33X32, the arrival found that waist circumference is just, long pants but a long one, the subsequent purchase someone to pay attention to it. Pants quality okay, this dress suitable for spring and autumn days.</v>
      </c>
    </row>
    <row r="1190">
      <c r="A1190" s="1">
        <v>5.0</v>
      </c>
      <c r="B1190" s="1" t="s">
        <v>1190</v>
      </c>
      <c r="C1190" t="str">
        <f>IFERROR(__xludf.DUMMYFUNCTION("GOOGLETRANSLATE(B1190, ""zh"", ""en"")"),"Genuine Genuine Tiger mug Tiger mug, quick open, the color looks good!")</f>
        <v>Genuine Genuine Tiger mug Tiger mug, quick open, the color looks good!</v>
      </c>
    </row>
    <row r="1191">
      <c r="A1191" s="1">
        <v>5.0</v>
      </c>
      <c r="B1191" s="1" t="s">
        <v>1191</v>
      </c>
      <c r="C1191" t="str">
        <f>IFERROR(__xludf.DUMMYFUNCTION("GOOGLETRANSLATE(B1191, ""zh"", ""en"")"),"Very good very good quality, belt slightly narrower point.")</f>
        <v>Very good very good quality, belt slightly narrower point.</v>
      </c>
    </row>
    <row r="1192">
      <c r="A1192" s="1">
        <v>2.0</v>
      </c>
      <c r="B1192" s="1" t="s">
        <v>1192</v>
      </c>
      <c r="C1192" t="str">
        <f>IFERROR(__xludf.DUMMYFUNCTION("GOOGLETRANSLATE(B1192, ""zh"", ""en"")"),"And so on for ten days, six days earlier than expected delivery box intact, pen is also complete, really worried at first, not use, should be no problem")</f>
        <v>And so on for ten days, six days earlier than expected delivery box intact, pen is also complete, really worried at first, not use, should be no problem</v>
      </c>
    </row>
    <row r="1193">
      <c r="A1193" s="1">
        <v>3.0</v>
      </c>
      <c r="B1193" s="1" t="s">
        <v>1193</v>
      </c>
      <c r="C1193" t="str">
        <f>IFERROR(__xludf.DUMMYFUNCTION("GOOGLETRANSLATE(B1193, ""zh"", ""en"")"),"Pants too long too long over at least 10 cm")</f>
        <v>Pants too long too long over at least 10 cm</v>
      </c>
    </row>
    <row r="1194">
      <c r="A1194" s="1">
        <v>3.0</v>
      </c>
      <c r="B1194" s="1" t="s">
        <v>1194</v>
      </c>
      <c r="C1194" t="str">
        <f>IFERROR(__xludf.DUMMYFUNCTION("GOOGLETRANSLATE(B1194, ""zh"", ""en"")"),"The sound quality is generally thought that the sound quality will be good, I did not think in general, with the sound of loud cell phone almost.")</f>
        <v>The sound quality is generally thought that the sound quality will be good, I did not think in general, with the sound of loud cell phone almost.</v>
      </c>
    </row>
    <row r="1195">
      <c r="A1195" s="1">
        <v>3.0</v>
      </c>
      <c r="B1195" s="1" t="s">
        <v>1195</v>
      </c>
      <c r="C1195" t="str">
        <f>IFERROR(__xludf.DUMMYFUNCTION("GOOGLETRANSLATE(B1195, ""zh"", ""en"")"),"Will begin after the foot wear wet shoes feel very good, I did not expect the shoes wet water, wearing too long inside thread joints will wear the foot, also skinned, poor")</f>
        <v>Will begin after the foot wear wet shoes feel very good, I did not expect the shoes wet water, wearing too long inside thread joints will wear the foot, also skinned, poor</v>
      </c>
    </row>
    <row r="1196">
      <c r="A1196" s="1">
        <v>1.0</v>
      </c>
      <c r="B1196" s="1" t="s">
        <v>1196</v>
      </c>
      <c r="C1196" t="str">
        <f>IFERROR(__xludf.DUMMYFUNCTION("GOOGLETRANSLATE(B1196, ""zh"", ""en"")"),"Software spicy chicken spicy chicken thing, not use, spicy chicken software is domestic stuff, go logistics, returns regardless, is a liar, and quickly unload it")</f>
        <v>Software spicy chicken spicy chicken thing, not use, spicy chicken software is domestic stuff, go logistics, returns regardless, is a liar, and quickly unload it</v>
      </c>
    </row>
    <row r="1197">
      <c r="A1197" s="1">
        <v>1.0</v>
      </c>
      <c r="B1197" s="1" t="s">
        <v>1197</v>
      </c>
      <c r="C1197" t="str">
        <f>IFERROR(__xludf.DUMMYFUNCTION("GOOGLETRANSLATE(B1197, ""zh"", ""en"")"),"Wearing no way to wear, fabrics too hard.")</f>
        <v>Wearing no way to wear, fabrics too hard.</v>
      </c>
    </row>
    <row r="1198">
      <c r="A1198" s="1">
        <v>4.0</v>
      </c>
      <c r="B1198" s="1" t="s">
        <v>1198</v>
      </c>
      <c r="C1198" t="str">
        <f>IFERROR(__xludf.DUMMYFUNCTION("GOOGLETRANSLATE(B1198, ""zh"", ""en"")"),"Recommended for four stars very thick socks for winter")</f>
        <v>Recommended for four stars very thick socks for winter</v>
      </c>
    </row>
    <row r="1199">
      <c r="A1199" s="1">
        <v>4.0</v>
      </c>
      <c r="B1199" s="1" t="s">
        <v>1199</v>
      </c>
      <c r="C1199" t="str">
        <f>IFERROR(__xludf.DUMMYFUNCTION("GOOGLETRANSLATE(B1199, ""zh"", ""en"")"),"Very good underwear good, but do not like too much pattern")</f>
        <v>Very good underwear good, but do not like too much pattern</v>
      </c>
    </row>
    <row r="1200">
      <c r="A1200" s="1">
        <v>4.0</v>
      </c>
      <c r="B1200" s="1" t="s">
        <v>1200</v>
      </c>
      <c r="C1200" t="str">
        <f>IFERROR(__xludf.DUMMYFUNCTION("GOOGLETRANSLATE(B1200, ""zh"", ""en"")"),"Good quality, fit height 176, weight 60, S number right length sleeves very fat, top quality, it just got finished lower fifty dollars, seems that the future need to wait and see wait and see and then shot")</f>
        <v>Good quality, fit height 176, weight 60, S number right length sleeves very fat, top quality, it just got finished lower fifty dollars, seems that the future need to wait and see wait and see and then shot</v>
      </c>
    </row>
    <row r="1201">
      <c r="A1201" s="1">
        <v>4.0</v>
      </c>
      <c r="B1201" s="1" t="s">
        <v>1201</v>
      </c>
      <c r="C1201" t="str">
        <f>IFERROR(__xludf.DUMMYFUNCTION("GOOGLETRANSLATE(B1201, ""zh"", ""en"")"),"Soles very wear-resistant soles do not wear, shoes to wear for a day a lot of wear on the outside of the heel,")</f>
        <v>Soles very wear-resistant soles do not wear, shoes to wear for a day a lot of wear on the outside of the heel,</v>
      </c>
    </row>
    <row r="1202">
      <c r="A1202" s="1">
        <v>5.0</v>
      </c>
      <c r="B1202" s="1" t="s">
        <v>1202</v>
      </c>
      <c r="C1202" t="str">
        <f>IFERROR(__xludf.DUMMYFUNCTION("GOOGLETRANSLATE(B1202, ""zh"", ""en"")"),"Good quality cost-effective, appropriate size.")</f>
        <v>Good quality cost-effective, appropriate size.</v>
      </c>
    </row>
    <row r="1203">
      <c r="A1203" s="1">
        <v>5.0</v>
      </c>
      <c r="B1203" s="1" t="s">
        <v>1203</v>
      </c>
      <c r="C1203" t="str">
        <f>IFERROR(__xludf.DUMMYFUNCTION("GOOGLETRANSLATE(B1203, ""zh"", ""en"")"),"Good grinding bowl grinding bowl grind very fine, with them also save energy")</f>
        <v>Good grinding bowl grinding bowl grind very fine, with them also save energy</v>
      </c>
    </row>
    <row r="1204">
      <c r="A1204" s="1">
        <v>5.0</v>
      </c>
      <c r="B1204" s="1" t="s">
        <v>1204</v>
      </c>
      <c r="C1204" t="str">
        <f>IFERROR(__xludf.DUMMYFUNCTION("GOOGLETRANSLATE(B1204, ""zh"", ""en"")"),"Good cost-effective, good quality, worthy of the big brands")</f>
        <v>Good cost-effective, good quality, worthy of the big brands</v>
      </c>
    </row>
    <row r="1205">
      <c r="A1205" s="1">
        <v>5.0</v>
      </c>
      <c r="B1205" s="1" t="s">
        <v>1205</v>
      </c>
      <c r="C1205" t="str">
        <f>IFERROR(__xludf.DUMMYFUNCTION("GOOGLETRANSLATE(B1205, ""zh"", ""en"")"),"It looks great. Good height 171mm Weight 63 kg S code just right clothes.")</f>
        <v>It looks great. Good height 171mm Weight 63 kg S code just right clothes.</v>
      </c>
    </row>
    <row r="1206">
      <c r="A1206" s="1">
        <v>5.0</v>
      </c>
      <c r="B1206" s="1" t="s">
        <v>1206</v>
      </c>
      <c r="C1206" t="str">
        <f>IFERROR(__xludf.DUMMYFUNCTION("GOOGLETRANSLATE(B1206, ""zh"", ""en"")"),"The price is right, the shoes also good, I feel no need to tangle package, and I usually 38.5, this because it bought only 38 yards, you can wear the price is right, the shoes also good, I feel no need to tangle package, I usually 38.5 this so because onl"&amp;"y 38 yards to buy, you can wear")</f>
        <v>The price is right, the shoes also good, I feel no need to tangle package, and I usually 38.5, this because it bought only 38 yards, you can wear the price is right, the shoes also good, I feel no need to tangle package, I usually 38.5 this so because only 38 yards to buy, you can wear</v>
      </c>
    </row>
    <row r="1207">
      <c r="A1207" s="1">
        <v>5.0</v>
      </c>
      <c r="B1207" s="1" t="s">
        <v>1207</v>
      </c>
      <c r="C1207" t="str">
        <f>IFERROR(__xludf.DUMMYFUNCTION("GOOGLETRANSLATE(B1207, ""zh"", ""en"")"),"US looks good quality size is too large to buy 39EU, the shoe box is 6, but the models is too large, the actual suitable for 40,40.5, to buy time to pay attention to size. Style, leather, really did not have to say, very good quality.")</f>
        <v>US looks good quality size is too large to buy 39EU, the shoe box is 6, but the models is too large, the actual suitable for 40,40.5, to buy time to pay attention to size. Style, leather, really did not have to say, very good quality.</v>
      </c>
    </row>
    <row r="1208">
      <c r="A1208" s="1">
        <v>5.0</v>
      </c>
      <c r="B1208" s="1" t="s">
        <v>1208</v>
      </c>
      <c r="C1208" t="str">
        <f>IFERROR(__xludf.DUMMYFUNCTION("GOOGLETRANSLATE(B1208, ""zh"", ""en"")"),"Before the good do not understand why there is such a combination of four or more to spend honestly did not know the baby will not take hold in hand on the throw 😭")</f>
        <v>Before the good do not understand why there is such a combination of four or more to spend honestly did not know the baby will not take hold in hand on the throw 😭</v>
      </c>
    </row>
    <row r="1209">
      <c r="A1209" s="1">
        <v>5.0</v>
      </c>
      <c r="B1209" s="1" t="s">
        <v>1209</v>
      </c>
      <c r="C1209" t="str">
        <f>IFERROR(__xludf.DUMMYFUNCTION("GOOGLETRANSLATE(B1209, ""zh"", ""en"")"),"y word teat 3-6 months in the box has two nipple, from Japan to return shipment is crushed, but no deformation of the nipple, the nipple is y-shaped")</f>
        <v>y word teat 3-6 months in the box has two nipple, from Japan to return shipment is crushed, but no deformation of the nipple, the nipple is y-shaped</v>
      </c>
    </row>
    <row r="1210">
      <c r="A1210" s="1">
        <v>5.0</v>
      </c>
      <c r="B1210" s="1" t="s">
        <v>1210</v>
      </c>
      <c r="C1210" t="str">
        <f>IFERROR(__xludf.DUMMYFUNCTION("GOOGLETRANSLATE(B1210, ""zh"", ""en"")"),"Very comfortable size is appropriate than a small one yard sneakers buy buy buy buy ha ha ha")</f>
        <v>Very comfortable size is appropriate than a small one yard sneakers buy buy buy buy ha ha ha</v>
      </c>
    </row>
    <row r="1211">
      <c r="A1211" s="1">
        <v>5.0</v>
      </c>
      <c r="B1211" s="1" t="s">
        <v>1211</v>
      </c>
      <c r="C1211" t="str">
        <f>IFERROR(__xludf.DUMMYFUNCTION("GOOGLETRANSLATE(B1211, ""zh"", ""en"")"),"Very good very good, no trace models, wild and convenient ......")</f>
        <v>Very good very good, no trace models, wild and convenient ......</v>
      </c>
    </row>
    <row r="1212">
      <c r="A1212" s="1">
        <v>5.0</v>
      </c>
      <c r="B1212" s="1" t="s">
        <v>1212</v>
      </c>
      <c r="C1212" t="str">
        <f>IFERROR(__xludf.DUMMYFUNCTION("GOOGLETRANSLATE(B1212, ""zh"", ""en"")"),"Smoothly write up is very smooth, the next day without a beginning and no signs of broken ink and very satisfactory product")</f>
        <v>Smoothly write up is very smooth, the next day without a beginning and no signs of broken ink and very satisfactory product</v>
      </c>
    </row>
    <row r="1213">
      <c r="A1213" s="1">
        <v>5.0</v>
      </c>
      <c r="B1213" s="1" t="s">
        <v>1213</v>
      </c>
      <c r="C1213" t="str">
        <f>IFERROR(__xludf.DUMMYFUNCTION("GOOGLETRANSLATE(B1213, ""zh"", ""en"")"),"No comfort are comfortable to wear without feeling totally agree, especially back")</f>
        <v>No comfort are comfortable to wear without feeling totally agree, especially back</v>
      </c>
    </row>
    <row r="1214">
      <c r="A1214" s="1">
        <v>5.0</v>
      </c>
      <c r="B1214" s="1" t="s">
        <v>1214</v>
      </c>
      <c r="C1214" t="str">
        <f>IFERROR(__xludf.DUMMYFUNCTION("GOOGLETRANSLATE(B1214, ""zh"", ""en"")"),"well! Well, not from the previous evaluation, I do not know how many wasted points, points can change money now know, they should look carefully evaluated, then I put these words to copy to go, both to earn points, but also the easy way, where are copy wh"&amp;"ere, most importantly, do not seriously review, do not think how much worse word, sent directly to it, recommend it to everyone! !")</f>
        <v>well! Well, not from the previous evaluation, I do not know how many wasted points, points can change money now know, they should look carefully evaluated, then I put these words to copy to go, both to earn points, but also the easy way, where are copy where, most importantly, do not seriously review, do not think how much worse word, sent directly to it, recommend it to everyone! !</v>
      </c>
    </row>
    <row r="1215">
      <c r="A1215" s="1">
        <v>5.0</v>
      </c>
      <c r="B1215" s="1" t="s">
        <v>1215</v>
      </c>
      <c r="C1215" t="str">
        <f>IFERROR(__xludf.DUMMYFUNCTION("GOOGLETRANSLATE(B1215, ""zh"", ""en"")"),"Very satisfied very comfortable, good quality, free shipping new users, it is worth")</f>
        <v>Very satisfied very comfortable, good quality, free shipping new users, it is worth</v>
      </c>
    </row>
    <row r="1216">
      <c r="A1216" s="1">
        <v>5.0</v>
      </c>
      <c r="B1216" s="1" t="s">
        <v>1216</v>
      </c>
      <c r="C1216" t="str">
        <f>IFERROR(__xludf.DUMMYFUNCTION("GOOGLETRANSLATE(B1216, ""zh"", ""en"")"),"Good buy big, but the quality is good, wear loose is also very good looking.")</f>
        <v>Good buy big, but the quality is good, wear loose is also very good looking.</v>
      </c>
    </row>
    <row r="1217">
      <c r="A1217" s="1">
        <v>5.0</v>
      </c>
      <c r="B1217" s="1" t="s">
        <v>1217</v>
      </c>
      <c r="C1217" t="str">
        <f>IFERROR(__xludf.DUMMYFUNCTION("GOOGLETRANSLATE(B1217, ""zh"", ""en"")"),"Good 👌 underwear materials smooth and soft, good texture, and EA is the same texture underwear")</f>
        <v>Good 👌 underwear materials smooth and soft, good texture, and EA is the same texture underwear</v>
      </c>
    </row>
    <row r="1218">
      <c r="A1218" s="1">
        <v>5.0</v>
      </c>
      <c r="B1218" s="1" t="s">
        <v>1218</v>
      </c>
      <c r="C1218" t="str">
        <f>IFERROR(__xludf.DUMMYFUNCTION("GOOGLETRANSLATE(B1218, ""zh"", ""en"")"),"Nice pants pants texture good, I believe this brand, can withstand some cold, but Great Northern cold, or not ah, overall satisfaction")</f>
        <v>Nice pants pants texture good, I believe this brand, can withstand some cold, but Great Northern cold, or not ah, overall satisfaction</v>
      </c>
    </row>
    <row r="1219">
      <c r="A1219" s="1">
        <v>5.0</v>
      </c>
      <c r="B1219" s="1" t="s">
        <v>1219</v>
      </c>
      <c r="C1219" t="str">
        <f>IFERROR(__xludf.DUMMYFUNCTION("GOOGLETRANSLATE(B1219, ""zh"", ""en"")"),"Kids love to eat, bought before the parents at ease, just in time for the event. Kids love to eat.")</f>
        <v>Kids love to eat, bought before the parents at ease, just in time for the event. Kids love to eat.</v>
      </c>
    </row>
    <row r="1220">
      <c r="A1220" s="1">
        <v>5.0</v>
      </c>
      <c r="B1220" s="1" t="s">
        <v>1220</v>
      </c>
      <c r="C1220" t="str">
        <f>IFERROR(__xludf.DUMMYFUNCTION("GOOGLETRANSLATE(B1220, ""zh"", ""en"")"),"First-hand experience of the product packaging is slightly squashed, as if the product is not used, because there are gray border on the headset? . . . Have not used half an hour, the sound and feel no different phone comes with headphones. . . It could b"&amp;"e no comparison. .")</f>
        <v>First-hand experience of the product packaging is slightly squashed, as if the product is not used, because there are gray border on the headset? . . . Have not used half an hour, the sound and feel no different phone comes with headphones. . . It could be no comparison. .</v>
      </c>
    </row>
    <row r="1221">
      <c r="A1221" s="1">
        <v>5.0</v>
      </c>
      <c r="B1221" s="1" t="s">
        <v>1221</v>
      </c>
      <c r="C1221" t="str">
        <f>IFERROR(__xludf.DUMMYFUNCTION("GOOGLETRANSLATE(B1221, ""zh"", ""en"")"),"perfect very comfortable, rare fashion styles")</f>
        <v>perfect very comfortable, rare fashion styles</v>
      </c>
    </row>
    <row r="1222">
      <c r="A1222" s="1">
        <v>5.0</v>
      </c>
      <c r="B1222" s="1" t="s">
        <v>1222</v>
      </c>
      <c r="C1222" t="str">
        <f>IFERROR(__xludf.DUMMYFUNCTION("GOOGLETRANSLATE(B1222, ""zh"", ""en"")"),"I consult the domestic shoe number 40 to wear shoes, sports shoes 41. Can I wear the appropriate number how much?")</f>
        <v>I consult the domestic shoe number 40 to wear shoes, sports shoes 41. Can I wear the appropriate number how much?</v>
      </c>
    </row>
    <row r="1223">
      <c r="A1223" s="1">
        <v>5.0</v>
      </c>
      <c r="B1223" s="1" t="s">
        <v>1223</v>
      </c>
      <c r="C1223" t="str">
        <f>IFERROR(__xludf.DUMMYFUNCTION("GOOGLETRANSLATE(B1223, ""zh"", ""en"")"),"Good shoes really good, put on foot as root, especially solid")</f>
        <v>Good shoes really good, put on foot as root, especially solid</v>
      </c>
    </row>
    <row r="1224">
      <c r="A1224" s="1">
        <v>2.0</v>
      </c>
      <c r="B1224" s="1" t="s">
        <v>1224</v>
      </c>
      <c r="C1224" t="str">
        <f>IFERROR(__xludf.DUMMYFUNCTION("GOOGLETRANSLATE(B1224, ""zh"", ""en"")"),"How seals are generally sealed edge closure could not, can overflow")</f>
        <v>How seals are generally sealed edge closure could not, can overflow</v>
      </c>
    </row>
    <row r="1225">
      <c r="A1225" s="1">
        <v>3.0</v>
      </c>
      <c r="B1225" s="1" t="s">
        <v>1225</v>
      </c>
      <c r="C1225" t="str">
        <f>IFERROR(__xludf.DUMMYFUNCTION("GOOGLETRANSLATE(B1225, ""zh"", ""en"")"),"Pilling version material is very good, 181,83kgM code appropriate, a little pilling, treasure Zhendian buy, the price of beauty")</f>
        <v>Pilling version material is very good, 181,83kgM code appropriate, a little pilling, treasure Zhendian buy, the price of beauty</v>
      </c>
    </row>
    <row r="1226">
      <c r="A1226" s="1">
        <v>3.0</v>
      </c>
      <c r="B1226" s="1" t="s">
        <v>1226</v>
      </c>
      <c r="C1226" t="str">
        <f>IFERROR(__xludf.DUMMYFUNCTION("GOOGLETRANSLATE(B1226, ""zh"", ""en"")"),"Girls buy appropriate. Girls, six meters, 135 pounds, wearing appropriate, in the long section.")</f>
        <v>Girls buy appropriate. Girls, six meters, 135 pounds, wearing appropriate, in the long section.</v>
      </c>
    </row>
    <row r="1227">
      <c r="A1227" s="1">
        <v>1.0</v>
      </c>
      <c r="B1227" s="1" t="s">
        <v>1227</v>
      </c>
      <c r="C1227" t="str">
        <f>IFERROR(__xludf.DUMMYFUNCTION("GOOGLETRANSLATE(B1227, ""zh"", ""en"")"),"Describes how inconsistent is matte leather")</f>
        <v>Describes how inconsistent is matte leather</v>
      </c>
    </row>
    <row r="1228">
      <c r="A1228" s="1">
        <v>1.0</v>
      </c>
      <c r="B1228" s="1" t="s">
        <v>1228</v>
      </c>
      <c r="C1228" t="str">
        <f>IFERROR(__xludf.DUMMYFUNCTION("GOOGLETRANSLATE(B1228, ""zh"", ""en"")"),"Hanging paper! ! second hand! ! Of course, it is second-hand goods, have been used on the tip of the nose to buy blue water stains, which also put up, most dissatisfied with it and then hang the paper, really depressed ah, for the first time to buy an exp"&amp;"ensive pen, years ago buy the company sent today to work before the next trial, we can not return, and hey. . . Nothing with")</f>
        <v>Hanging paper! ! second hand! ! Of course, it is second-hand goods, have been used on the tip of the nose to buy blue water stains, which also put up, most dissatisfied with it and then hang the paper, really depressed ah, for the first time to buy an expensive pen, years ago buy the company sent today to work before the next trial, we can not return, and hey. . . Nothing with</v>
      </c>
    </row>
    <row r="1229">
      <c r="A1229" s="1">
        <v>4.0</v>
      </c>
      <c r="B1229" s="1" t="s">
        <v>1229</v>
      </c>
      <c r="C1229" t="str">
        <f>IFERROR(__xludf.DUMMYFUNCTION("GOOGLETRANSLATE(B1229, ""zh"", ""en"")"),"The taste of seafood flavor of the strawberry began to drink feels a bit strange")</f>
        <v>The taste of seafood flavor of the strawberry began to drink feels a bit strange</v>
      </c>
    </row>
    <row r="1230">
      <c r="A1230" s="1">
        <v>4.0</v>
      </c>
      <c r="B1230" s="1" t="s">
        <v>1230</v>
      </c>
      <c r="C1230" t="str">
        <f>IFERROR(__xludf.DUMMYFUNCTION("GOOGLETRANSLATE(B1230, ""zh"", ""en"")"),"Size is too large and a half yards, 42 yards foot feeling okay, slightly larger, overall satisfaction, to the left there is no wear wrinkled.")</f>
        <v>Size is too large and a half yards, 42 yards foot feeling okay, slightly larger, overall satisfaction, to the left there is no wear wrinkled.</v>
      </c>
    </row>
    <row r="1231">
      <c r="A1231" s="1">
        <v>4.0</v>
      </c>
      <c r="B1231" s="1" t="s">
        <v>1231</v>
      </c>
      <c r="C1231" t="str">
        <f>IFERROR(__xludf.DUMMYFUNCTION("GOOGLETRANSLATE(B1231, ""zh"", ""en"")"),"Very thick, very thick, the general feeling cloth.")</f>
        <v>Very thick, very thick, the general feeling cloth.</v>
      </c>
    </row>
    <row r="1232">
      <c r="A1232" s="1">
        <v>4.0</v>
      </c>
      <c r="B1232" s="1" t="s">
        <v>1232</v>
      </c>
      <c r="C1232" t="str">
        <f>IFERROR(__xludf.DUMMYFUNCTION("GOOGLETRANSLATE(B1232, ""zh"", ""en"")"),"No color code number is too large, thin. 176,74 kg, just a small yard.")</f>
        <v>No color code number is too large, thin. 176,74 kg, just a small yard.</v>
      </c>
    </row>
    <row r="1233">
      <c r="A1233" s="1">
        <v>4.0</v>
      </c>
      <c r="B1233" s="1" t="s">
        <v>1233</v>
      </c>
      <c r="C1233" t="str">
        <f>IFERROR(__xludf.DUMMYFUNCTION("GOOGLETRANSLATE(B1233, ""zh"", ""en"")"),"It will shrink will shrink, shrink, shrink, important things to say three times! A little fat people do not buy. Clothes quality is no problem, the problem is the numbers, I bought the L No. feel after shrink fit 170-175cm, weight between 60-70kg wear")</f>
        <v>It will shrink will shrink, shrink, shrink, important things to say three times! A little fat people do not buy. Clothes quality is no problem, the problem is the numbers, I bought the L No. feel after shrink fit 170-175cm, weight between 60-70kg wear</v>
      </c>
    </row>
    <row r="1234">
      <c r="A1234" s="1">
        <v>5.0</v>
      </c>
      <c r="B1234" s="1" t="s">
        <v>1234</v>
      </c>
      <c r="C1234" t="str">
        <f>IFERROR(__xludf.DUMMYFUNCTION("GOOGLETRANSLATE(B1234, ""zh"", ""en"")"),"Inexpensive and durable waterproof really nice ......")</f>
        <v>Inexpensive and durable waterproof really nice ......</v>
      </c>
    </row>
    <row r="1235">
      <c r="A1235" s="1">
        <v>5.0</v>
      </c>
      <c r="B1235" s="1" t="s">
        <v>1235</v>
      </c>
      <c r="C1235" t="str">
        <f>IFERROR(__xludf.DUMMYFUNCTION("GOOGLETRANSLATE(B1235, ""zh"", ""en"")"),"Good thin cashmere for spring and autumn days, size is too large.")</f>
        <v>Good thin cashmere for spring and autumn days, size is too large.</v>
      </c>
    </row>
    <row r="1236">
      <c r="A1236" s="1">
        <v>5.0</v>
      </c>
      <c r="B1236" s="1" t="s">
        <v>1236</v>
      </c>
      <c r="C1236" t="str">
        <f>IFERROR(__xludf.DUMMYFUNCTION("GOOGLETRANSLATE(B1236, ""zh"", ""en"")"),"Product experience good first impression is light, feel good to put a water, insulation can, seven hours is still hot, details of the deal of good.")</f>
        <v>Product experience good first impression is light, feel good to put a water, insulation can, seven hours is still hot, details of the deal of good.</v>
      </c>
    </row>
    <row r="1237">
      <c r="A1237" s="1">
        <v>5.0</v>
      </c>
      <c r="B1237" s="1" t="s">
        <v>1237</v>
      </c>
      <c r="C1237" t="str">
        <f>IFERROR(__xludf.DUMMYFUNCTION("GOOGLETRANSLATE(B1237, ""zh"", ""en"")"),"Convenient, practical good, very practical. You can hold food supplement, soups, snacks.")</f>
        <v>Convenient, practical good, very practical. You can hold food supplement, soups, snacks.</v>
      </c>
    </row>
    <row r="1238">
      <c r="A1238" s="1">
        <v>5.0</v>
      </c>
      <c r="B1238" s="1" t="s">
        <v>1238</v>
      </c>
      <c r="C1238" t="str">
        <f>IFERROR(__xludf.DUMMYFUNCTION("GOOGLETRANSLATE(B1238, ""zh"", ""en"")"),"Too large, good quality! &lt;Div id = ""video-block-R150A6X6QRXGKL"" class = ""a-section a-spacing-small a-spacing-top-mini video-block""&gt; &lt;/ div&gt; &lt;input type = ""hidden"" name = """" value = ""https://images-cn.ssl-images-amazon.com/images/I/918G6rMQs3S.mp4"&amp;""" class = ""video-url""&gt; &lt;input type = ""hidden"" name = """" value = ""https: //images-cn.ssl-images-amazon.com/images/I/A1gHSHiUuwS.png ""class ="" video-slate-img-url ""&gt; &amp; nbsp; s buy green and gray codes of m symbols, feeling s code is China's m cod"&amp;"e is too large! But the quality of Leverage, very soft and comfortable, self-cultivation.")</f>
        <v>Too large, good quality! &lt;Div id = "video-block-R150A6X6QRXGKL" class = "a-section a-spacing-small a-spacing-top-mini video-block"&gt; &lt;/ div&gt; &lt;input type = "hidden" name = "" value = "https://images-cn.ssl-images-amazon.com/images/I/918G6rMQs3S.mp4" class = "video-url"&gt; &lt;input type = "hidden" name = "" value = "https: //images-cn.ssl-images-amazon.com/images/I/A1gHSHiUuwS.png "class =" video-slate-img-url "&gt; &amp; nbsp; s buy green and gray codes of m symbols, feeling s code is China's m code is too large! But the quality of Leverage, very soft and comfortable, self-cultivation.</v>
      </c>
    </row>
    <row r="1239">
      <c r="A1239" s="1">
        <v>5.0</v>
      </c>
      <c r="B1239" s="1" t="s">
        <v>1239</v>
      </c>
      <c r="C1239" t="str">
        <f>IFERROR(__xludf.DUMMYFUNCTION("GOOGLETRANSLATE(B1239, ""zh"", ""en"")"),"Well first overseas purchase orders of Prime membership benefits. Cheaper than purchasing, the key is to guarantee genuine, especially at ease. Good quality shoes, the classic wild style. like very much! Want to buy overseas products may be more abundant")</f>
        <v>Well first overseas purchase orders of Prime membership benefits. Cheaper than purchasing, the key is to guarantee genuine, especially at ease. Good quality shoes, the classic wild style. like very much! Want to buy overseas products may be more abundant</v>
      </c>
    </row>
    <row r="1240">
      <c r="A1240" s="1">
        <v>5.0</v>
      </c>
      <c r="B1240" s="1" t="s">
        <v>1240</v>
      </c>
      <c r="C1240" t="str">
        <f>IFERROR(__xludf.DUMMYFUNCTION("GOOGLETRANSLATE(B1240, ""zh"", ""en"")"),"Good to wear very comfortable, wearing no sense. Become a fan of the brand directly")</f>
        <v>Good to wear very comfortable, wearing no sense. Become a fan of the brand directly</v>
      </c>
    </row>
    <row r="1241">
      <c r="A1241" s="1">
        <v>5.0</v>
      </c>
      <c r="B1241" s="1" t="s">
        <v>1241</v>
      </c>
      <c r="C1241" t="str">
        <f>IFERROR(__xludf.DUMMYFUNCTION("GOOGLETRANSLATE(B1241, ""zh"", ""en"")"),"Bad things good, quality can be.")</f>
        <v>Bad things good, quality can be.</v>
      </c>
    </row>
    <row r="1242">
      <c r="A1242" s="1">
        <v>5.0</v>
      </c>
      <c r="B1242" s="1" t="s">
        <v>1242</v>
      </c>
      <c r="C1242" t="str">
        <f>IFERROR(__xludf.DUMMYFUNCTION("GOOGLETRANSLATE(B1242, ""zh"", ""en"")"),"So good comfort to her mother buy a very satisfied")</f>
        <v>So good comfort to her mother buy a very satisfied</v>
      </c>
    </row>
    <row r="1243">
      <c r="A1243" s="1">
        <v>5.0</v>
      </c>
      <c r="B1243" s="1" t="s">
        <v>1243</v>
      </c>
      <c r="C1243" t="str">
        <f>IFERROR(__xludf.DUMMYFUNCTION("GOOGLETRANSLATE(B1243, ""zh"", ""en"")"),"Quality and feel good thick fabric, feel very good, it 173cm / 80kg, the yardage a little loose, is typical of the clothes!")</f>
        <v>Quality and feel good thick fabric, feel very good, it 173cm / 80kg, the yardage a little loose, is typical of the clothes!</v>
      </c>
    </row>
    <row r="1244">
      <c r="A1244" s="1">
        <v>5.0</v>
      </c>
      <c r="B1244" s="1" t="s">
        <v>1244</v>
      </c>
      <c r="C1244" t="str">
        <f>IFERROR(__xludf.DUMMYFUNCTION("GOOGLETRANSLATE(B1244, ""zh"", ""en"")"),"Z value of the cost-effective to buy, so the value, stronger than the 2.1 subwoofer too much,")</f>
        <v>Z value of the cost-effective to buy, so the value, stronger than the 2.1 subwoofer too much,</v>
      </c>
    </row>
    <row r="1245">
      <c r="A1245" s="1">
        <v>5.0</v>
      </c>
      <c r="B1245" s="1" t="s">
        <v>1245</v>
      </c>
      <c r="C1245" t="str">
        <f>IFERROR(__xludf.DUMMYFUNCTION("GOOGLETRANSLATE(B1245, ""zh"", ""en"")"),"Real have to buy good quality, very light, good size just right, come back next time")</f>
        <v>Real have to buy good quality, very light, good size just right, come back next time</v>
      </c>
    </row>
    <row r="1246">
      <c r="A1246" s="1">
        <v>5.0</v>
      </c>
      <c r="B1246" s="1" t="s">
        <v>1246</v>
      </c>
      <c r="C1246" t="str">
        <f>IFERROR(__xludf.DUMMYFUNCTION("GOOGLETRANSLATE(B1246, ""zh"", ""en"")"),"Comfortable fit with elastic personally prefer immediately order another color.")</f>
        <v>Comfortable fit with elastic personally prefer immediately order another color.</v>
      </c>
    </row>
    <row r="1247">
      <c r="A1247" s="1">
        <v>5.0</v>
      </c>
      <c r="B1247" s="1" t="s">
        <v>1247</v>
      </c>
      <c r="C1247" t="str">
        <f>IFERROR(__xludf.DUMMYFUNCTION("GOOGLETRANSLATE(B1247, ""zh"", ""en"")"),"The headset is very good, sound good, bass full thickness")</f>
        <v>The headset is very good, sound good, bass full thickness</v>
      </c>
    </row>
    <row r="1248">
      <c r="A1248" s="1">
        <v>5.0</v>
      </c>
      <c r="B1248" s="1" t="s">
        <v>1248</v>
      </c>
      <c r="C1248" t="str">
        <f>IFERROR(__xludf.DUMMYFUNCTION("GOOGLETRANSLATE(B1248, ""zh"", ""en"")"),"made in tailand [now stronger than before WD lot ~] [previously bought a large noise WD book series, and now there is no new noise, but also to turn Paul, WD getting a cow! WD] used to buy much time, and more time to buy Seagate, WD now the advantage of n"&amp;"ot using any problems than Seagate's current strong ~.")</f>
        <v>made in tailand [now stronger than before WD lot ~] [previously bought a large noise WD book series, and now there is no new noise, but also to turn Paul, WD getting a cow! WD] used to buy much time, and more time to buy Seagate, WD now the advantage of not using any problems than Seagate's current strong ~.</v>
      </c>
    </row>
    <row r="1249">
      <c r="A1249" s="1">
        <v>5.0</v>
      </c>
      <c r="B1249" s="1" t="s">
        <v>1249</v>
      </c>
      <c r="C1249" t="str">
        <f>IFERROR(__xludf.DUMMYFUNCTION("GOOGLETRANSLATE(B1249, ""zh"", ""en"")"),"Suitable size, style style Attractive Attractive")</f>
        <v>Suitable size, style style Attractive Attractive</v>
      </c>
    </row>
    <row r="1250">
      <c r="A1250" s="1">
        <v>5.0</v>
      </c>
      <c r="B1250" s="1" t="s">
        <v>1250</v>
      </c>
      <c r="C1250" t="str">
        <f>IFERROR(__xludf.DUMMYFUNCTION("GOOGLETRANSLATE(B1250, ""zh"", ""en"")"),"Comfortable good fabric is very comfortable! worth buying")</f>
        <v>Comfortable good fabric is very comfortable! worth buying</v>
      </c>
    </row>
    <row r="1251">
      <c r="A1251" s="1">
        <v>5.0</v>
      </c>
      <c r="B1251" s="1" t="s">
        <v>1251</v>
      </c>
      <c r="C1251" t="str">
        <f>IFERROR(__xludf.DUMMYFUNCTION("GOOGLETRANSLATE(B1251, ""zh"", ""en"")"),"Good quality, comfortable, this election number too appropriate election code good fit, quality stuff, personal comfort")</f>
        <v>Good quality, comfortable, this election number too appropriate election code good fit, quality stuff, personal comfort</v>
      </c>
    </row>
    <row r="1252">
      <c r="A1252" s="1">
        <v>5.0</v>
      </c>
      <c r="B1252" s="1" t="s">
        <v>1252</v>
      </c>
      <c r="C1252" t="str">
        <f>IFERROR(__xludf.DUMMYFUNCTION("GOOGLETRANSLATE(B1252, ""zh"", ""en"")"),"Very, very good, very fit, very comfortable")</f>
        <v>Very, very good, very fit, very comfortable</v>
      </c>
    </row>
    <row r="1253">
      <c r="A1253" s="1">
        <v>5.0</v>
      </c>
      <c r="B1253" s="1" t="s">
        <v>1253</v>
      </c>
      <c r="C1253" t="str">
        <f>IFERROR(__xludf.DUMMYFUNCTION("GOOGLETRANSLATE(B1253, ""zh"", ""en"")"),"v-moda headphones first start, still burn, the sound quality is also OK, praise be to develop decorations")</f>
        <v>v-moda headphones first start, still burn, the sound quality is also OK, praise be to develop decorations</v>
      </c>
    </row>
    <row r="1254">
      <c r="A1254" s="1">
        <v>5.0</v>
      </c>
      <c r="B1254" s="1" t="s">
        <v>1254</v>
      </c>
      <c r="C1254" t="str">
        <f>IFERROR(__xludf.DUMMYFUNCTION("GOOGLETRANSLATE(B1254, ""zh"", ""en"")"),"Comfortable little bar code number is too large, I usually wear shoes 40 yards. Ouma is estimated to be too large a number to wear shoelaces tied it just right. Walk or wear very comfortable, cheaper to buy than in the country too much, and certainly genu"&amp;"ine. Only a little more than 500 hand, domestic motionless 2000 up and down, just terrible.")</f>
        <v>Comfortable little bar code number is too large, I usually wear shoes 40 yards. Ouma is estimated to be too large a number to wear shoelaces tied it just right. Walk or wear very comfortable, cheaper to buy than in the country too much, and certainly genuine. Only a little more than 500 hand, domestic motionless 2000 up and down, just terrible.</v>
      </c>
    </row>
    <row r="1255">
      <c r="A1255" s="1">
        <v>5.0</v>
      </c>
      <c r="B1255" s="1" t="s">
        <v>1255</v>
      </c>
      <c r="C1255" t="str">
        <f>IFERROR(__xludf.DUMMYFUNCTION("GOOGLETRANSLATE(B1255, ""zh"", ""en"")"),"Affordable cheap, very comfortable to wear")</f>
        <v>Affordable cheap, very comfortable to wear</v>
      </c>
    </row>
    <row r="1256">
      <c r="A1256" s="1">
        <v>2.0</v>
      </c>
      <c r="B1256" s="1" t="s">
        <v>1256</v>
      </c>
      <c r="C1256" t="str">
        <f>IFERROR(__xludf.DUMMYFUNCTION("GOOGLETRANSLATE(B1256, ""zh"", ""en"")"),"logo fade thick material, but once on the chest logo wash fade, and cynicism, suspicion brand")</f>
        <v>logo fade thick material, but once on the chest logo wash fade, and cynicism, suspicion brand</v>
      </c>
    </row>
    <row r="1257">
      <c r="A1257" s="1">
        <v>3.0</v>
      </c>
      <c r="B1257" s="1" t="s">
        <v>1257</v>
      </c>
      <c r="C1257" t="str">
        <f>IFERROR(__xludf.DUMMYFUNCTION("GOOGLETRANSLATE(B1257, ""zh"", ""en"")"),"Quality is no problem too small, 177cm, 75kg small No. 1 and a half feeling.")</f>
        <v>Quality is no problem too small, 177cm, 75kg small No. 1 and a half feeling.</v>
      </c>
    </row>
    <row r="1258">
      <c r="A1258" s="1">
        <v>3.0</v>
      </c>
      <c r="B1258" s="1" t="s">
        <v>1258</v>
      </c>
      <c r="C1258" t="str">
        <f>IFERROR(__xludf.DUMMYFUNCTION("GOOGLETRANSLATE(B1258, ""zh"", ""en"")"),"Key stuck to the upper left corner flaw, flawed, with the counter wearing a slightly different texture, feel less fit the wrist.")</f>
        <v>Key stuck to the upper left corner flaw, flawed, with the counter wearing a slightly different texture, feel less fit the wrist.</v>
      </c>
    </row>
    <row r="1259">
      <c r="A1259" s="1">
        <v>1.0</v>
      </c>
      <c r="B1259" s="1" t="s">
        <v>1259</v>
      </c>
      <c r="C1259" t="str">
        <f>IFERROR(__xludf.DUMMYFUNCTION("GOOGLETRANSLATE(B1259, ""zh"", ""en"")"),"The first bad review all missed")</f>
        <v>The first bad review all missed</v>
      </c>
    </row>
    <row r="1260">
      <c r="A1260" s="1">
        <v>1.0</v>
      </c>
      <c r="B1260" s="1" t="s">
        <v>1260</v>
      </c>
      <c r="C1260" t="str">
        <f>IFERROR(__xludf.DUMMYFUNCTION("GOOGLETRANSLATE(B1260, ""zh"", ""en"")"),"The worst thing did not buy the Amazon side of something like $ 20 Taobao want to return to 125 yuan is really no different from stealing money and what difference")</f>
        <v>The worst thing did not buy the Amazon side of something like $ 20 Taobao want to return to 125 yuan is really no different from stealing money and what difference</v>
      </c>
    </row>
    <row r="1261">
      <c r="A1261" s="1">
        <v>1.0</v>
      </c>
      <c r="B1261" s="1" t="s">
        <v>1261</v>
      </c>
      <c r="C1261" t="str">
        <f>IFERROR(__xludf.DUMMYFUNCTION("GOOGLETRANSLATE(B1261, ""zh"", ""en"")"),"Base uneven across the sea, on the broken packaging, the great weight, but the base is uneven, there is always a side tilt! !")</f>
        <v>Base uneven across the sea, on the broken packaging, the great weight, but the base is uneven, there is always a side tilt! !</v>
      </c>
    </row>
    <row r="1262">
      <c r="A1262" s="1">
        <v>4.0</v>
      </c>
      <c r="B1262" s="1" t="s">
        <v>1262</v>
      </c>
      <c r="C1262" t="str">
        <f>IFERROR(__xludf.DUMMYFUNCTION("GOOGLETRANSLATE(B1262, ""zh"", ""en"")"),"Received something a little color, a little color, no pictures on the depth, height 168, S number, and a little long, others are very good")</f>
        <v>Received something a little color, a little color, no pictures on the depth, height 168, S number, and a little long, others are very good</v>
      </c>
    </row>
    <row r="1263">
      <c r="A1263" s="1">
        <v>4.0</v>
      </c>
      <c r="B1263" s="1" t="s">
        <v>1263</v>
      </c>
      <c r="C1263" t="str">
        <f>IFERROR(__xludf.DUMMYFUNCTION("GOOGLETRANSLATE(B1263, ""zh"", ""en"")"),"Noise, 10t cost generally less cost-effective over the same period, and the noise is really big, but if there is no comparison at this price is also quite good, the first experience of logistics is really fast")</f>
        <v>Noise, 10t cost generally less cost-effective over the same period, and the noise is really big, but if there is no comparison at this price is also quite good, the first experience of logistics is really fast</v>
      </c>
    </row>
    <row r="1264">
      <c r="A1264" s="1">
        <v>4.0</v>
      </c>
      <c r="B1264" s="1" t="s">
        <v>1264</v>
      </c>
      <c r="C1264" t="str">
        <f>IFERROR(__xludf.DUMMYFUNCTION("GOOGLETRANSLATE(B1264, ""zh"", ""en"")"),"This small spoon baby spoon is more trumpet. Maybe we are more anxious, I hope with a spoon, feed a little faster")</f>
        <v>This small spoon baby spoon is more trumpet. Maybe we are more anxious, I hope with a spoon, feed a little faster</v>
      </c>
    </row>
    <row r="1265">
      <c r="A1265" s="1">
        <v>4.0</v>
      </c>
      <c r="B1265" s="1" t="s">
        <v>1265</v>
      </c>
      <c r="C1265" t="str">
        <f>IFERROR(__xludf.DUMMYFUNCTION("GOOGLETRANSLATE(B1265, ""zh"", ""en"")"),"Crude ore, solid usually are 36 to buy, this time to buy 35, the waist is very fit, a little fat legs, place of origin in Mexico, a lot of work coarse ore thread, strong enough. Height 173cm, weight 80kg. British-arrival rate faster than the United States"&amp;" and Asia better days, while wearing shorts to buy this dry wash it to.")</f>
        <v>Crude ore, solid usually are 36 to buy, this time to buy 35, the waist is very fit, a little fat legs, place of origin in Mexico, a lot of work coarse ore thread, strong enough. Height 173cm, weight 80kg. British-arrival rate faster than the United States and Asia better days, while wearing shorts to buy this dry wash it to.</v>
      </c>
    </row>
    <row r="1266">
      <c r="A1266" s="1">
        <v>4.0</v>
      </c>
      <c r="B1266" s="1" t="s">
        <v>1266</v>
      </c>
      <c r="C1266" t="str">
        <f>IFERROR(__xludf.DUMMYFUNCTION("GOOGLETRANSLATE(B1266, ""zh"", ""en"")"),"But like feeling slightly larger shoe size is too large to wear socks or empty general wear Nike Elite socks wrapped a lot of sense no less than 37 chose to stay right 😊")</f>
        <v>But like feeling slightly larger shoe size is too large to wear socks or empty general wear Nike Elite socks wrapped a lot of sense no less than 37 chose to stay right 😊</v>
      </c>
    </row>
    <row r="1267">
      <c r="A1267" s="1">
        <v>5.0</v>
      </c>
      <c r="B1267" s="1" t="s">
        <v>1267</v>
      </c>
      <c r="C1267" t="str">
        <f>IFERROR(__xludf.DUMMYFUNCTION("GOOGLETRANSLATE(B1267, ""zh"", ""en"")"),"Exquisite good to see a small bowl, very delicate!")</f>
        <v>Exquisite good to see a small bowl, very delicate!</v>
      </c>
    </row>
    <row r="1268">
      <c r="A1268" s="1">
        <v>5.0</v>
      </c>
      <c r="B1268" s="1" t="s">
        <v>1268</v>
      </c>
      <c r="C1268" t="str">
        <f>IFERROR(__xludf.DUMMYFUNCTION("GOOGLETRANSLATE(B1268, ""zh"", ""en"")"),"awesome! Better than his wife on a treasure to buy a million times.")</f>
        <v>awesome! Better than his wife on a treasure to buy a million times.</v>
      </c>
    </row>
    <row r="1269">
      <c r="A1269" s="1">
        <v>5.0</v>
      </c>
      <c r="B1269" s="1" t="s">
        <v>1269</v>
      </c>
      <c r="C1269" t="str">
        <f>IFERROR(__xludf.DUMMYFUNCTION("GOOGLETRANSLATE(B1269, ""zh"", ""en"")"),"Appropriate, the right size satisfaction, overall satisfaction.")</f>
        <v>Appropriate, the right size satisfaction, overall satisfaction.</v>
      </c>
    </row>
    <row r="1270">
      <c r="A1270" s="1">
        <v>5.0</v>
      </c>
      <c r="B1270" s="1" t="s">
        <v>1270</v>
      </c>
      <c r="C1270" t="str">
        <f>IFERROR(__xludf.DUMMYFUNCTION("GOOGLETRANSLATE(B1270, ""zh"", ""en"")"),"Good quality, fluffy love with this jacket, size is too large one yard abroad, trumpet just right. Hangzhou winter, wore one is enough, my Bosideng also wore two cold, ha ha. Down or professional outdoor sports ah!")</f>
        <v>Good quality, fluffy love with this jacket, size is too large one yard abroad, trumpet just right. Hangzhou winter, wore one is enough, my Bosideng also wore two cold, ha ha. Down or professional outdoor sports ah!</v>
      </c>
    </row>
    <row r="1271">
      <c r="A1271" s="1">
        <v>5.0</v>
      </c>
      <c r="B1271" s="1" t="s">
        <v>1271</v>
      </c>
      <c r="C1271" t="str">
        <f>IFERROR(__xludf.DUMMYFUNCTION("GOOGLETRANSLATE(B1271, ""zh"", ""en"")"),"good quality! good quality! Fit and comfortable to wear.")</f>
        <v>good quality! good quality! Fit and comfortable to wear.</v>
      </c>
    </row>
    <row r="1272">
      <c r="A1272" s="1">
        <v>5.0</v>
      </c>
      <c r="B1272" s="1" t="s">
        <v>1272</v>
      </c>
      <c r="C1272" t="str">
        <f>IFERROR(__xludf.DUMMYFUNCTION("GOOGLETRANSLATE(B1272, ""zh"", ""en"")"),"Never go to a good evaluation of the goods before, do not know how many wasted points, points can change money now know, they should look carefully evaluated, then I put these words to copy to go, both to earn points, but also save trouble, where one copy"&amp;" where, most importantly, do not seriously review, do not think how much worse word, sent directly to it, recommend it to everyone! !")</f>
        <v>Never go to a good evaluation of the goods before, do not know how many wasted points, points can change money now know, they should look carefully evaluated, then I put these words to copy to go, both to earn points, but also save trouble, where one copy where, most importantly, do not seriously review, do not think how much worse word, sent directly to it, recommend it to everyone! !</v>
      </c>
    </row>
    <row r="1273">
      <c r="A1273" s="1">
        <v>5.0</v>
      </c>
      <c r="B1273" s="1" t="s">
        <v>1273</v>
      </c>
      <c r="C1273" t="str">
        <f>IFERROR(__xludf.DUMMYFUNCTION("GOOGLETRANSLATE(B1273, ""zh"", ""en"")"),"Good good quality, the price is little expensive, draw a picture of the effect of leverage, to save the point with, coupled with energy like a pencil sharpener")</f>
        <v>Good good quality, the price is little expensive, draw a picture of the effect of leverage, to save the point with, coupled with energy like a pencil sharpener</v>
      </c>
    </row>
    <row r="1274">
      <c r="A1274" s="1">
        <v>5.0</v>
      </c>
      <c r="B1274" s="1" t="s">
        <v>1274</v>
      </c>
      <c r="C1274" t="str">
        <f>IFERROR(__xludf.DUMMYFUNCTION("GOOGLETRANSLATE(B1274, ""zh"", ""en"")"),"It looks good logistics and good speed, faster than expected. Cheap; if there is no quality issues need to follow the words of the warranty, cost-effective. Currently in use, everything is normal.")</f>
        <v>It looks good logistics and good speed, faster than expected. Cheap; if there is no quality issues need to follow the words of the warranty, cost-effective. Currently in use, everything is normal.</v>
      </c>
    </row>
    <row r="1275">
      <c r="A1275" s="1">
        <v>5.0</v>
      </c>
      <c r="B1275" s="1" t="s">
        <v>1275</v>
      </c>
      <c r="C1275" t="str">
        <f>IFERROR(__xludf.DUMMYFUNCTION("GOOGLETRANSLATE(B1275, ""zh"", ""en"")"),"Very convenient overseas shopping is really very convenient, you can buy first-hand electronic products. Very fond of, new unopened, the trek is also intact! White is very beautiful ...")</f>
        <v>Very convenient overseas shopping is really very convenient, you can buy first-hand electronic products. Very fond of, new unopened, the trek is also intact! White is very beautiful ...</v>
      </c>
    </row>
    <row r="1276">
      <c r="A1276" s="1">
        <v>5.0</v>
      </c>
      <c r="B1276" s="1" t="s">
        <v>1276</v>
      </c>
      <c r="C1276" t="str">
        <f>IFERROR(__xludf.DUMMYFUNCTION("GOOGLETRANSLATE(B1276, ""zh"", ""en"")"),"Very good buy for the first time more than 200 ...... headphones listening to feel worthy of its price")</f>
        <v>Very good buy for the first time more than 200 ...... headphones listening to feel worthy of its price</v>
      </c>
    </row>
    <row r="1277">
      <c r="A1277" s="1">
        <v>5.0</v>
      </c>
      <c r="B1277" s="1" t="s">
        <v>1277</v>
      </c>
      <c r="C1277" t="str">
        <f>IFERROR(__xludf.DUMMYFUNCTION("GOOGLETRANSLATE(B1277, ""zh"", ""en"")"),"171/69, M code is appropriate, particularly comfortable to wear comfortable genuine, 171/69, M code number appropriate, quality assurance, Vietnamese, it seems that Chinese labor costs more expensive.")</f>
        <v>171/69, M code is appropriate, particularly comfortable to wear comfortable genuine, 171/69, M code number appropriate, quality assurance, Vietnamese, it seems that Chinese labor costs more expensive.</v>
      </c>
    </row>
    <row r="1278">
      <c r="A1278" s="1">
        <v>5.0</v>
      </c>
      <c r="B1278" s="1" t="s">
        <v>1278</v>
      </c>
      <c r="C1278" t="str">
        <f>IFERROR(__xludf.DUMMYFUNCTION("GOOGLETRANSLATE(B1278, ""zh"", ""en"")"),"Did not pay attention when buying disposable ink pen that is the kind of gall ink can be on, get a one-time only to find, a little disappointed. . .")</f>
        <v>Did not pay attention when buying disposable ink pen that is the kind of gall ink can be on, get a one-time only to find, a little disappointed. . .</v>
      </c>
    </row>
    <row r="1279">
      <c r="A1279" s="1">
        <v>5.0</v>
      </c>
      <c r="B1279" s="1" t="s">
        <v>1279</v>
      </c>
      <c r="C1279" t="str">
        <f>IFERROR(__xludf.DUMMYFUNCTION("GOOGLETRANSLATE(B1279, ""zh"", ""en"")"),"Multidimensional essential complement SWISSE big brands, this vitamin tablets before eating small can be bought, this time simply to buy a large pot, eat slowly.")</f>
        <v>Multidimensional essential complement SWISSE big brands, this vitamin tablets before eating small can be bought, this time simply to buy a large pot, eat slowly.</v>
      </c>
    </row>
    <row r="1280">
      <c r="A1280" s="1">
        <v>5.0</v>
      </c>
      <c r="B1280" s="1" t="s">
        <v>1280</v>
      </c>
      <c r="C1280" t="str">
        <f>IFERROR(__xludf.DUMMYFUNCTION("GOOGLETRANSLATE(B1280, ""zh"", ""en"")"),"Aisi good quality and size are very positive, very high price")</f>
        <v>Aisi good quality and size are very positive, very high price</v>
      </c>
    </row>
    <row r="1281">
      <c r="A1281" s="1">
        <v>5.0</v>
      </c>
      <c r="B1281" s="1" t="s">
        <v>1281</v>
      </c>
      <c r="C1281" t="str">
        <f>IFERROR(__xludf.DUMMYFUNCTION("GOOGLETRANSLATE(B1281, ""zh"", ""en"")"),"We will continue to use, but also good very good, will continue to use")</f>
        <v>We will continue to use, but also good very good, will continue to use</v>
      </c>
    </row>
    <row r="1282">
      <c r="A1282" s="1">
        <v>5.0</v>
      </c>
      <c r="B1282" s="1" t="s">
        <v>1282</v>
      </c>
      <c r="C1282" t="str">
        <f>IFERROR(__xludf.DUMMYFUNCTION("GOOGLETRANSLATE(B1282, ""zh"", ""en"")"),"Very good red wine is very beautiful, the insulation capability Leverage, put boiling water the night, still hot, just drink directly. Amazon recognition speed, single No. 16, to No. 20. Read the small ticket, indeed Japanese direct mail.")</f>
        <v>Very good red wine is very beautiful, the insulation capability Leverage, put boiling water the night, still hot, just drink directly. Amazon recognition speed, single No. 16, to No. 20. Read the small ticket, indeed Japanese direct mail.</v>
      </c>
    </row>
    <row r="1283">
      <c r="A1283" s="1">
        <v>5.0</v>
      </c>
      <c r="B1283" s="1" t="s">
        <v>1283</v>
      </c>
      <c r="C1283" t="str">
        <f>IFERROR(__xludf.DUMMYFUNCTION("GOOGLETRANSLATE(B1283, ""zh"", ""en"")"),"Products can also be good, but when you receive the goods, bags no problem, but the box is broken.")</f>
        <v>Products can also be good, but when you receive the goods, bags no problem, but the box is broken.</v>
      </c>
    </row>
    <row r="1284">
      <c r="A1284" s="1">
        <v>5.0</v>
      </c>
      <c r="B1284" s="1" t="s">
        <v>1284</v>
      </c>
      <c r="C1284" t="str">
        <f>IFERROR(__xludf.DUMMYFUNCTION("GOOGLETRANSLATE(B1284, ""zh"", ""en"")"),"Warm the normal size to buy, fit, very warm")</f>
        <v>Warm the normal size to buy, fit, very warm</v>
      </c>
    </row>
    <row r="1285">
      <c r="A1285" s="1">
        <v>5.0</v>
      </c>
      <c r="B1285" s="1" t="s">
        <v>1285</v>
      </c>
      <c r="C1285" t="str">
        <f>IFERROR(__xludf.DUMMYFUNCTION("GOOGLETRANSLATE(B1285, ""zh"", ""en"")"),"The fabric is thick fabrics relatively thick but feel very good, very comfortable to wear, size is normal.")</f>
        <v>The fabric is thick fabrics relatively thick but feel very good, very comfortable to wear, size is normal.</v>
      </c>
    </row>
    <row r="1286">
      <c r="A1286" s="1">
        <v>5.0</v>
      </c>
      <c r="B1286" s="1" t="s">
        <v>1286</v>
      </c>
      <c r="C1286" t="str">
        <f>IFERROR(__xludf.DUMMYFUNCTION("GOOGLETRANSLATE(B1286, ""zh"", ""en"")"),"What is worth buying dry goods, this would value")</f>
        <v>What is worth buying dry goods, this would value</v>
      </c>
    </row>
    <row r="1287">
      <c r="A1287" s="1">
        <v>5.0</v>
      </c>
      <c r="B1287" s="1" t="s">
        <v>1287</v>
      </c>
      <c r="C1287" t="str">
        <f>IFERROR(__xludf.DUMMYFUNCTION("GOOGLETRANSLATE(B1287, ""zh"", ""en"")"),"Upper body good, affordable Height 180cm Weight 75KG, bought 3232, a finger width slightly larger waistline bar, which sets winter pants just, if the summer would be best to buy 31, 32. Read previous comments by mail really came when pants are wrinkled, n"&amp;"eed to wash wear, 334 to buy the right!")</f>
        <v>Upper body good, affordable Height 180cm Weight 75KG, bought 3232, a finger width slightly larger waistline bar, which sets winter pants just, if the summer would be best to buy 31, 32. Read previous comments by mail really came when pants are wrinkled, need to wash wear, 334 to buy the right!</v>
      </c>
    </row>
    <row r="1288">
      <c r="A1288" s="1">
        <v>5.0</v>
      </c>
      <c r="B1288" s="1" t="s">
        <v>1288</v>
      </c>
      <c r="C1288" t="str">
        <f>IFERROR(__xludf.DUMMYFUNCTION("GOOGLETRANSLATE(B1288, ""zh"", ""en"")"),"Under Armour Under Armor Men's UA Performance Polo shirt -... clothes large 2 yards than the normal dress code, wear thick summer")</f>
        <v>Under Armour Under Armor Men's UA Performance Polo shirt -... clothes large 2 yards than the normal dress code, wear thick summer</v>
      </c>
    </row>
    <row r="1289">
      <c r="A1289" s="1">
        <v>2.0</v>
      </c>
      <c r="B1289" s="1" t="s">
        <v>1289</v>
      </c>
      <c r="C1289" t="str">
        <f>IFERROR(__xludf.DUMMYFUNCTION("GOOGLETRANSLATE(B1289, ""zh"", ""en"")"),"Physical and photos colors serious discrepancies, two fitted pencil fit two Pelikan fountain pen! . 1. The actual product photos and color match seriously inconsistent with the picture at the Pelikan logo is green, the other part is black; physical sign a"&amp;"t the black belt, pencil side is green! 2. The physical size is narrow, pencil case filled with two fit two Pelikan fountain pen! As I matter of time, not enough time to return.")</f>
        <v>Physical and photos colors serious discrepancies, two fitted pencil fit two Pelikan fountain pen! . 1. The actual product photos and color match seriously inconsistent with the picture at the Pelikan logo is green, the other part is black; physical sign at the black belt, pencil side is green! 2. The physical size is narrow, pencil case filled with two fit two Pelikan fountain pen! As I matter of time, not enough time to return.</v>
      </c>
    </row>
    <row r="1290">
      <c r="A1290" s="1">
        <v>3.0</v>
      </c>
      <c r="B1290" s="1" t="s">
        <v>1290</v>
      </c>
      <c r="C1290" t="str">
        <f>IFERROR(__xludf.DUMMYFUNCTION("GOOGLETRANSLATE(B1290, ""zh"", ""en"")"),"Uncomfortable to wear in the feet very comfortable, very Ge feet, very hard!")</f>
        <v>Uncomfortable to wear in the feet very comfortable, very Ge feet, very hard!</v>
      </c>
    </row>
    <row r="1291">
      <c r="A1291" s="1">
        <v>3.0</v>
      </c>
      <c r="B1291" s="1" t="s">
        <v>1291</v>
      </c>
      <c r="C1291" t="str">
        <f>IFERROR(__xludf.DUMMYFUNCTION("GOOGLETRANSLATE(B1291, ""zh"", ""en"")"),"Size is too large chest no logo, baggy")</f>
        <v>Size is too large chest no logo, baggy</v>
      </c>
    </row>
    <row r="1292">
      <c r="A1292" s="1">
        <v>1.0</v>
      </c>
      <c r="B1292" s="1" t="s">
        <v>1292</v>
      </c>
      <c r="C1292" t="str">
        <f>IFERROR(__xludf.DUMMYFUNCTION("GOOGLETRANSLATE(B1292, ""zh"", ""en"")"),"Sleeves and a small clothes sleeves a little big, is it defective?")</f>
        <v>Sleeves and a small clothes sleeves a little big, is it defective?</v>
      </c>
    </row>
    <row r="1293">
      <c r="A1293" s="1">
        <v>1.0</v>
      </c>
      <c r="B1293" s="1" t="s">
        <v>1293</v>
      </c>
      <c r="C1293" t="str">
        <f>IFERROR(__xludf.DUMMYFUNCTION("GOOGLETRANSLATE(B1293, ""zh"", ""en"")"),"Prudent to buy too many defects can look at other people's comments do not recommend buying abroad may be defective goods arrived on the electrical charge does not go off without a machine can not open the machine need to be repeated several times before "&amp;"they can so that people buy with caution paragraph")</f>
        <v>Prudent to buy too many defects can look at other people's comments do not recommend buying abroad may be defective goods arrived on the electrical charge does not go off without a machine can not open the machine need to be repeated several times before they can so that people buy with caution paragraph</v>
      </c>
    </row>
    <row r="1294">
      <c r="A1294" s="1">
        <v>1.0</v>
      </c>
      <c r="B1294" s="1" t="s">
        <v>1294</v>
      </c>
      <c r="C1294" t="str">
        <f>IFERROR(__xludf.DUMMYFUNCTION("GOOGLETRANSLATE(B1294, ""zh"", ""en"")"),"Known as the 10-year battery, 1 year and 1 month to hang out called 10-year battery, 1 year and 1 month to hang out September 10, 2015 more than the arrival of a child with a school exam today ,, with the use of it display blur, light is not bright, do no"&amp;"t know the cause of the battery or other problems, things are no more than 100 Na Quxiu necessary. Must Tucao is searched Amazon, I could not find the watch's warranty period.")</f>
        <v>Known as the 10-year battery, 1 year and 1 month to hang out called 10-year battery, 1 year and 1 month to hang out September 10, 2015 more than the arrival of a child with a school exam today ,, with the use of it display blur, light is not bright, do not know the cause of the battery or other problems, things are no more than 100 Na Quxiu necessary. Must Tucao is searched Amazon, I could not find the watch's warranty period.</v>
      </c>
    </row>
    <row r="1295">
      <c r="A1295" s="1">
        <v>4.0</v>
      </c>
      <c r="B1295" s="1" t="s">
        <v>1295</v>
      </c>
      <c r="C1295" t="str">
        <f>IFERROR(__xludf.DUMMYFUNCTION("GOOGLETRANSLATE(B1295, ""zh"", ""en"")"),"Leather slightly harder consistent size and other clarks shoes, but the last type is slightly thinner, slightly harder leather, do not know will not wear the same period of time as would have been better to play not bad. Although raw rubber-soled soft but"&amp;" not wear before and after the original one pair of suede desert boots to wear for two months on the sole ground of powerful special")</f>
        <v>Leather slightly harder consistent size and other clarks shoes, but the last type is slightly thinner, slightly harder leather, do not know will not wear the same period of time as would have been better to play not bad. Although raw rubber-soled soft but not wear before and after the original one pair of suede desert boots to wear for two months on the sole ground of powerful special</v>
      </c>
    </row>
    <row r="1296">
      <c r="A1296" s="1">
        <v>4.0</v>
      </c>
      <c r="B1296" s="1" t="s">
        <v>1296</v>
      </c>
      <c r="C1296" t="str">
        <f>IFERROR(__xludf.DUMMYFUNCTION("GOOGLETRANSLATE(B1296, ""zh"", ""en"")"),"I hope for your help slightly larger hips, waist and some large.")</f>
        <v>I hope for your help slightly larger hips, waist and some large.</v>
      </c>
    </row>
    <row r="1297">
      <c r="A1297" s="1">
        <v>4.0</v>
      </c>
      <c r="B1297" s="1" t="s">
        <v>1297</v>
      </c>
      <c r="C1297" t="str">
        <f>IFERROR(__xludf.DUMMYFUNCTION("GOOGLETRANSLATE(B1297, ""zh"", ""en"")"),"Half a yard too large we want to help too suggest that you buy less than half yards, I bought 7.5 7 actually enough. Give us a suggestion")</f>
        <v>Half a yard too large we want to help too suggest that you buy less than half yards, I bought 7.5 7 actually enough. Give us a suggestion</v>
      </c>
    </row>
    <row r="1298">
      <c r="A1298" s="1">
        <v>4.0</v>
      </c>
      <c r="B1298" s="1" t="s">
        <v>1298</v>
      </c>
      <c r="C1298" t="str">
        <f>IFERROR(__xludf.DUMMYFUNCTION("GOOGLETRANSLATE(B1298, ""zh"", ""en"")"),"From all buy this brand of thread material is a bit hard training before this series is much difference how good the quality of the general quality of the sleeves")</f>
        <v>From all buy this brand of thread material is a bit hard training before this series is much difference how good the quality of the general quality of the sleeves</v>
      </c>
    </row>
    <row r="1299">
      <c r="A1299" s="1">
        <v>4.0</v>
      </c>
      <c r="B1299" s="1" t="s">
        <v>1299</v>
      </c>
      <c r="C1299" t="str">
        <f>IFERROR(__xludf.DUMMYFUNCTION("GOOGLETRANSLATE(B1299, ""zh"", ""en"")"),"Size of good quality .168.120 the right size")</f>
        <v>Size of good quality .168.120 the right size</v>
      </c>
    </row>
    <row r="1300">
      <c r="A1300" s="1">
        <v>5.0</v>
      </c>
      <c r="B1300" s="1" t="s">
        <v>1300</v>
      </c>
      <c r="C1300" t="str">
        <f>IFERROR(__xludf.DUMMYFUNCTION("GOOGLETRANSLATE(B1300, ""zh"", ""en"")"),"Bowls good NUK grinding bowl is still very good, grind very fine place.")</f>
        <v>Bowls good NUK grinding bowl is still very good, grind very fine place.</v>
      </c>
    </row>
    <row r="1301">
      <c r="A1301" s="1">
        <v>5.0</v>
      </c>
      <c r="B1301" s="1" t="s">
        <v>1301</v>
      </c>
      <c r="C1301" t="str">
        <f>IFERROR(__xludf.DUMMYFUNCTION("GOOGLETRANSLATE(B1301, ""zh"", ""en"")"),"And very cost-effective than domestic proper size of goods, to buy time activities, very cost-effective. Young married woman height 155, weight 100 small.")</f>
        <v>And very cost-effective than domestic proper size of goods, to buy time activities, very cost-effective. Young married woman height 155, weight 100 small.</v>
      </c>
    </row>
    <row r="1302">
      <c r="A1302" s="1">
        <v>5.0</v>
      </c>
      <c r="B1302" s="1" t="s">
        <v>1302</v>
      </c>
      <c r="C1302" t="str">
        <f>IFERROR(__xludf.DUMMYFUNCTION("GOOGLETRANSLATE(B1302, ""zh"", ""en"")"),"Comfort is very good, comfortable, recommended to buy.")</f>
        <v>Comfort is very good, comfortable, recommended to buy.</v>
      </c>
    </row>
    <row r="1303">
      <c r="A1303" s="1">
        <v>5.0</v>
      </c>
      <c r="B1303" s="1" t="s">
        <v>1303</v>
      </c>
      <c r="C1303" t="str">
        <f>IFERROR(__xludf.DUMMYFUNCTION("GOOGLETRANSLATE(B1303, ""zh"", ""en"")"),"Quality is good, work is also good is a bit too long, after all, not the people")</f>
        <v>Quality is good, work is also good is a bit too long, after all, not the people</v>
      </c>
    </row>
    <row r="1304">
      <c r="A1304" s="1">
        <v>5.0</v>
      </c>
      <c r="B1304" s="1" t="s">
        <v>1304</v>
      </c>
      <c r="C1304" t="str">
        <f>IFERROR(__xludf.DUMMYFUNCTION("GOOGLETRANSLATE(B1304, ""zh"", ""en"")"),"Recommendations Amazon recommended it bought a try, have not started, looked okay")</f>
        <v>Recommendations Amazon recommended it bought a try, have not started, looked okay</v>
      </c>
    </row>
    <row r="1305">
      <c r="A1305" s="1">
        <v>5.0</v>
      </c>
      <c r="B1305" s="1" t="s">
        <v>1305</v>
      </c>
      <c r="C1305" t="str">
        <f>IFERROR(__xludf.DUMMYFUNCTION("GOOGLETRANSLATE(B1305, ""zh"", ""en"")"),"Today received very satisfied with the shopping, just when the goddess's Day gift. I liked it, size, color is very positive, very comfortable to wear. I am a prime member, usually like to buy ECCO, affordable.")</f>
        <v>Today received very satisfied with the shopping, just when the goddess's Day gift. I liked it, size, color is very positive, very comfortable to wear. I am a prime member, usually like to buy ECCO, affordable.</v>
      </c>
    </row>
    <row r="1306">
      <c r="A1306" s="1">
        <v>5.0</v>
      </c>
      <c r="B1306" s="1" t="s">
        <v>1306</v>
      </c>
      <c r="C1306" t="str">
        <f>IFERROR(__xludf.DUMMYFUNCTION("GOOGLETRANSLATE(B1306, ""zh"", ""en"")"),"Easy to use with a nice atmosphere for 10 days to comment. No instructions in Chinese, began with a bit strenuous, tried several times to understand about the usage. Opportunity to open a cleaning nozzle, washing throw away the water, in accordance with t"&amp;"heir drink of choice, the machine is very clever, do the cleaning automatically, usually best placed below ground cleaning waste water cups. Full of coffee grounds have prompt clean-up, there is not enough water tips, add water, in short simple, easy to u"&amp;"se!")</f>
        <v>Easy to use with a nice atmosphere for 10 days to comment. No instructions in Chinese, began with a bit strenuous, tried several times to understand about the usage. Opportunity to open a cleaning nozzle, washing throw away the water, in accordance with their drink of choice, the machine is very clever, do the cleaning automatically, usually best placed below ground cleaning waste water cups. Full of coffee grounds have prompt clean-up, there is not enough water tips, add water, in short simple, easy to use!</v>
      </c>
    </row>
    <row r="1307">
      <c r="A1307" s="1">
        <v>5.0</v>
      </c>
      <c r="B1307" s="1" t="s">
        <v>1307</v>
      </c>
      <c r="C1307" t="str">
        <f>IFERROR(__xludf.DUMMYFUNCTION("GOOGLETRANSLATE(B1307, ""zh"", ""en"")"),"I did not expect such a comfortable feeling, soft texture. Before buying L is too large, so this buy M, slightly elastic, just right.")</f>
        <v>I did not expect such a comfortable feeling, soft texture. Before buying L is too large, so this buy M, slightly elastic, just right.</v>
      </c>
    </row>
    <row r="1308">
      <c r="A1308" s="1">
        <v>5.0</v>
      </c>
      <c r="B1308" s="1" t="s">
        <v>1308</v>
      </c>
      <c r="C1308" t="str">
        <f>IFERROR(__xludf.DUMMYFUNCTION("GOOGLETRANSLATE(B1308, ""zh"", ""en"")"),"Good read not use, looks good.")</f>
        <v>Good read not use, looks good.</v>
      </c>
    </row>
    <row r="1309">
      <c r="A1309" s="1">
        <v>5.0</v>
      </c>
      <c r="B1309" s="1" t="s">
        <v>1309</v>
      </c>
      <c r="C1309" t="str">
        <f>IFERROR(__xludf.DUMMYFUNCTION("GOOGLETRANSLATE(B1309, ""zh"", ""en"")"),"Is there a wooden handle Refill? 11 years bought a 33 cm, Nichia transit, direct mail is now more convenient, now there is no specification of the 33. 30 to buy a new house with. Bought it is best to take the diesel system. On the whole, much lighter than"&amp;" stainless steel pot, easy operation, no coat, do not worry coating flaking, 2006 more than 700 bought a Supor coated, with four or five years, coating fell on vegetables Lane. 11 years to buy 33 of the pot itself is not bad, but the rotation slot wooden "&amp;"handle used in the sixth year, when due to the prolonged exposure to heat, has a card does not work, check the Nichia Taobao, also did not find a replacement, Note that points to the use.")</f>
        <v>Is there a wooden handle Refill? 11 years bought a 33 cm, Nichia transit, direct mail is now more convenient, now there is no specification of the 33. 30 to buy a new house with. Bought it is best to take the diesel system. On the whole, much lighter than stainless steel pot, easy operation, no coat, do not worry coating flaking, 2006 more than 700 bought a Supor coated, with four or five years, coating fell on vegetables Lane. 11 years to buy 33 of the pot itself is not bad, but the rotation slot wooden handle used in the sixth year, when due to the prolonged exposure to heat, has a card does not work, check the Nichia Taobao, also did not find a replacement, Note that points to the use.</v>
      </c>
    </row>
    <row r="1310">
      <c r="A1310" s="1">
        <v>5.0</v>
      </c>
      <c r="B1310" s="1" t="s">
        <v>1310</v>
      </c>
      <c r="C1310" t="str">
        <f>IFERROR(__xludf.DUMMYFUNCTION("GOOGLETRANSLATE(B1310, ""zh"", ""en"")"),"In order to finally start the Klein hat quite a long time to save money, finally I bought, about ten days to")</f>
        <v>In order to finally start the Klein hat quite a long time to save money, finally I bought, about ten days to</v>
      </c>
    </row>
    <row r="1311">
      <c r="A1311" s="1">
        <v>5.0</v>
      </c>
      <c r="B1311" s="1" t="s">
        <v>1311</v>
      </c>
      <c r="C1311" t="str">
        <f>IFERROR(__xludf.DUMMYFUNCTION("GOOGLETRANSLATE(B1311, ""zh"", ""en"")"),"Good-looking and flexible, comfortable to wear, significantly younger. Height 171, m is selected from")</f>
        <v>Good-looking and flexible, comfortable to wear, significantly younger. Height 171, m is selected from</v>
      </c>
    </row>
    <row r="1312">
      <c r="A1312" s="1">
        <v>5.0</v>
      </c>
      <c r="B1312" s="1" t="s">
        <v>1312</v>
      </c>
      <c r="C1312" t="str">
        <f>IFERROR(__xludf.DUMMYFUNCTION("GOOGLETRANSLATE(B1312, ""zh"", ""en"")"),"Suitable quite right, yes!")</f>
        <v>Suitable quite right, yes!</v>
      </c>
    </row>
    <row r="1313">
      <c r="A1313" s="1">
        <v>5.0</v>
      </c>
      <c r="B1313" s="1" t="s">
        <v>1313</v>
      </c>
      <c r="C1313" t="str">
        <f>IFERROR(__xludf.DUMMYFUNCTION("GOOGLETRANSLATE(B1313, ""zh"", ""en"")"),"Life to the force, satisfied with the sound quality, probably because I am still wearing large ear it, wear hurt, but it is filled to the brim, by contrast, I actually prefer the whole ear, but at this price, considering sound quality and battery life, th"&amp;"ere is no better choice; magnetic avoiding worry about losing time to take off the headphones it.")</f>
        <v>Life to the force, satisfied with the sound quality, probably because I am still wearing large ear it, wear hurt, but it is filled to the brim, by contrast, I actually prefer the whole ear, but at this price, considering sound quality and battery life, there is no better choice; magnetic avoiding worry about losing time to take off the headphones it.</v>
      </c>
    </row>
    <row r="1314">
      <c r="A1314" s="1">
        <v>5.0</v>
      </c>
      <c r="B1314" s="1" t="s">
        <v>1314</v>
      </c>
      <c r="C1314" t="str">
        <f>IFERROR(__xludf.DUMMYFUNCTION("GOOGLETRANSLATE(B1314, ""zh"", ""en"")"),"I feel comfortable wearing the right size is very appropriate codon 177 80kg this is not cut very crowded place to despise it at home")</f>
        <v>I feel comfortable wearing the right size is very appropriate codon 177 80kg this is not cut very crowded place to despise it at home</v>
      </c>
    </row>
    <row r="1315">
      <c r="A1315" s="1">
        <v>5.0</v>
      </c>
      <c r="B1315" s="1" t="s">
        <v>1315</v>
      </c>
      <c r="C1315" t="str">
        <f>IFERROR(__xludf.DUMMYFUNCTION("GOOGLETRANSLATE(B1315, ""zh"", ""en"")"),"Big brands are worthy of the big brands really very good.")</f>
        <v>Big brands are worthy of the big brands really very good.</v>
      </c>
    </row>
    <row r="1316">
      <c r="A1316" s="1">
        <v>5.0</v>
      </c>
      <c r="B1316" s="1" t="s">
        <v>1316</v>
      </c>
      <c r="C1316" t="str">
        <f>IFERROR(__xludf.DUMMYFUNCTION("GOOGLETRANSLATE(B1316, ""zh"", ""en"")"),"Small and well liked, very cheap price.")</f>
        <v>Small and well liked, very cheap price.</v>
      </c>
    </row>
    <row r="1317">
      <c r="A1317" s="1">
        <v>5.0</v>
      </c>
      <c r="B1317" s="1" t="s">
        <v>1317</v>
      </c>
      <c r="C1317" t="str">
        <f>IFERROR(__xludf.DUMMYFUNCTION("GOOGLETRANSLATE(B1317, ""zh"", ""en"")"),"Too large, and feet inelastic 168,53KG, xs number just, more comfortable to wear, but no foot bundle pack feeling, with no elasticity")</f>
        <v>Too large, and feet inelastic 168,53KG, xs number just, more comfortable to wear, but no foot bundle pack feeling, with no elasticity</v>
      </c>
    </row>
    <row r="1318">
      <c r="A1318" s="1">
        <v>5.0</v>
      </c>
      <c r="B1318" s="1" t="s">
        <v>1318</v>
      </c>
      <c r="C1318" t="str">
        <f>IFERROR(__xludf.DUMMYFUNCTION("GOOGLETRANSLATE(B1318, ""zh"", ""en"")"),"Thank you, the stuff is very good!")</f>
        <v>Thank you, the stuff is very good!</v>
      </c>
    </row>
    <row r="1319">
      <c r="A1319" s="1">
        <v>5.0</v>
      </c>
      <c r="B1319" s="1" t="s">
        <v>1319</v>
      </c>
      <c r="C1319" t="str">
        <f>IFERROR(__xludf.DUMMYFUNCTION("GOOGLETRANSLATE(B1319, ""zh"", ""en"")"),"Very good and consequently better to do a variety of meatballs but the price is unstable 300 buy cheap today to see the 50")</f>
        <v>Very good and consequently better to do a variety of meatballs but the price is unstable 300 buy cheap today to see the 50</v>
      </c>
    </row>
    <row r="1320">
      <c r="A1320" s="1">
        <v>5.0</v>
      </c>
      <c r="B1320" s="1" t="s">
        <v>1320</v>
      </c>
      <c r="C1320" t="str">
        <f>IFERROR(__xludf.DUMMYFUNCTION("GOOGLETRANSLATE(B1320, ""zh"", ""en"")"),"Quality is very good well worth buying genuine, Choi had a good lead in the count")</f>
        <v>Quality is very good well worth buying genuine, Choi had a good lead in the count</v>
      </c>
    </row>
    <row r="1321">
      <c r="A1321" s="1">
        <v>5.0</v>
      </c>
      <c r="B1321" s="1" t="s">
        <v>1321</v>
      </c>
      <c r="C1321" t="str">
        <f>IFERROR(__xludf.DUMMYFUNCTION("GOOGLETRANSLATE(B1321, ""zh"", ""en"")"),"Perfect I 167cm, 55KG, 82 ~ 70 ~ 92, bought the L code, the display tag 170 / 86A, waist inelastic, slightly loose, but can adjust the size of the drawstring, the legs is also very suitable.")</f>
        <v>Perfect I 167cm, 55KG, 82 ~ 70 ~ 92, bought the L code, the display tag 170 / 86A, waist inelastic, slightly loose, but can adjust the size of the drawstring, the legs is also very suitable.</v>
      </c>
    </row>
    <row r="1322">
      <c r="A1322" s="1">
        <v>2.0</v>
      </c>
      <c r="B1322" s="1" t="s">
        <v>1322</v>
      </c>
      <c r="C1322" t="str">
        <f>IFERROR(__xludf.DUMMYFUNCTION("GOOGLETRANSLATE(B1322, ""zh"", ""en"")"),"No texture, high school students can wear ~ disappointing than expected, it is not texture, very light, like a brother to the third year of plastic to buy, get our hands feel humiliated anyone to think it does not matter ~ Fortunately, brother, can you it"&amp;" is good!")</f>
        <v>No texture, high school students can wear ~ disappointing than expected, it is not texture, very light, like a brother to the third year of plastic to buy, get our hands feel humiliated anyone to think it does not matter ~ Fortunately, brother, can you it is good!</v>
      </c>
    </row>
    <row r="1323">
      <c r="A1323" s="1">
        <v>3.0</v>
      </c>
      <c r="B1323" s="1" t="s">
        <v>1323</v>
      </c>
      <c r="C1323" t="str">
        <f>IFERROR(__xludf.DUMMYFUNCTION("GOOGLETRANSLATE(B1323, ""zh"", ""en"")"),"Pack light, the right size, hair loss is not real pictures look so positive, the color is a bit dark, the cortex of the hair loss marked, are sticking around, pack very light, somewhat hard material")</f>
        <v>Pack light, the right size, hair loss is not real pictures look so positive, the color is a bit dark, the cortex of the hair loss marked, are sticking around, pack very light, somewhat hard material</v>
      </c>
    </row>
    <row r="1324">
      <c r="A1324" s="1">
        <v>3.0</v>
      </c>
      <c r="B1324" s="1" t="s">
        <v>1324</v>
      </c>
      <c r="C1324" t="str">
        <f>IFERROR(__xludf.DUMMYFUNCTION("GOOGLETRANSLATE(B1324, ""zh"", ""en"")"),"No no measuring cup Shaker, no measuring cup, use or muscle soreness after twenty-three days to buy about 10 days to the price of over two hundred")</f>
        <v>No no measuring cup Shaker, no measuring cup, use or muscle soreness after twenty-three days to buy about 10 days to the price of over two hundred</v>
      </c>
    </row>
    <row r="1325">
      <c r="A1325" s="1">
        <v>3.0</v>
      </c>
      <c r="B1325" s="1" t="s">
        <v>1325</v>
      </c>
      <c r="C1325" t="str">
        <f>IFERROR(__xludf.DUMMYFUNCTION("GOOGLETRANSLATE(B1325, ""zh"", ""en"")"),"Volume is not enough, do not like the feeling of power 308 sound is not big enough, not big on my car Original")</f>
        <v>Volume is not enough, do not like the feeling of power 308 sound is not big enough, not big on my car Original</v>
      </c>
    </row>
    <row r="1326">
      <c r="A1326" s="1">
        <v>1.0</v>
      </c>
      <c r="B1326" s="1" t="s">
        <v>1326</v>
      </c>
      <c r="C1326" t="str">
        <f>IFERROR(__xludf.DUMMYFUNCTION("GOOGLETRANSLATE(B1326, ""zh"", ""en"")"),"Fake belt faded, blacked out two pairs of pants. This is said to be authentic? I wanted to leave they would not stain it. so sad!")</f>
        <v>Fake belt faded, blacked out two pairs of pants. This is said to be authentic? I wanted to leave they would not stain it. so sad!</v>
      </c>
    </row>
    <row r="1327">
      <c r="A1327" s="1">
        <v>1.0</v>
      </c>
      <c r="B1327" s="1" t="s">
        <v>1327</v>
      </c>
      <c r="C1327" t="str">
        <f>IFERROR(__xludf.DUMMYFUNCTION("GOOGLETRANSLATE(B1327, ""zh"", ""en"")"),"Amazon too Kengren deceptive, sell things you do not say dead, is not the real thing? To buy 16 yards to 14 yards of me, can not wear to retire, I also received 120, spicy chicken")</f>
        <v>Amazon too Kengren deceptive, sell things you do not say dead, is not the real thing? To buy 16 yards to 14 yards of me, can not wear to retire, I also received 120, spicy chicken</v>
      </c>
    </row>
    <row r="1328">
      <c r="A1328" s="1">
        <v>4.0</v>
      </c>
      <c r="B1328" s="1" t="s">
        <v>1328</v>
      </c>
      <c r="C1328" t="str">
        <f>IFERROR(__xludf.DUMMYFUNCTION("GOOGLETRANSLATE(B1328, ""zh"", ""en"")"),"Good thing this is too delicate color component, and definitely belongs on the color of lead in the tall")</f>
        <v>Good thing this is too delicate color component, and definitely belongs on the color of lead in the tall</v>
      </c>
    </row>
    <row r="1329">
      <c r="A1329" s="1">
        <v>4.0</v>
      </c>
      <c r="B1329" s="1" t="s">
        <v>1329</v>
      </c>
      <c r="C1329" t="str">
        <f>IFERROR(__xludf.DUMMYFUNCTION("GOOGLETRANSLATE(B1329, ""zh"", ""en"")"),"Quality is very good, but in any case, not one-hand operation, this is not as good as Bata.")</f>
        <v>Quality is very good, but in any case, not one-hand operation, this is not as good as Bata.</v>
      </c>
    </row>
    <row r="1330">
      <c r="A1330" s="1">
        <v>4.0</v>
      </c>
      <c r="B1330" s="1" t="s">
        <v>1330</v>
      </c>
      <c r="C1330" t="str">
        <f>IFERROR(__xludf.DUMMYFUNCTION("GOOGLETRANSLATE(B1330, ""zh"", ""en"")"),"I can also work 33 waist 2 feet 7-8, should buy 36, but buy 38, our only add a eyelet.")</f>
        <v>I can also work 33 waist 2 feet 7-8, should buy 36, but buy 38, our only add a eyelet.</v>
      </c>
    </row>
    <row r="1331">
      <c r="A1331" s="1">
        <v>4.0</v>
      </c>
      <c r="B1331" s="1" t="s">
        <v>1331</v>
      </c>
      <c r="C1331" t="str">
        <f>IFERROR(__xludf.DUMMYFUNCTION("GOOGLETRANSLATE(B1331, ""zh"", ""en"")"),"Cost-effective deals like the purchase of about 185, about three or four ten tax it, but also cheaper than the domestic offer 299. But then, this headset sound quality is the general feeling, not so thoroughly sound, heavy bass is not enough, you can also"&amp;" listen to the casual commuter road. Bluetooth range ok, the received signal is also very strong. We are hoping to slightly more than a period of time")</f>
        <v>Cost-effective deals like the purchase of about 185, about three or four ten tax it, but also cheaper than the domestic offer 299. But then, this headset sound quality is the general feeling, not so thoroughly sound, heavy bass is not enough, you can also listen to the casual commuter road. Bluetooth range ok, the received signal is also very strong. We are hoping to slightly more than a period of time</v>
      </c>
    </row>
    <row r="1332">
      <c r="A1332" s="1">
        <v>4.0</v>
      </c>
      <c r="B1332" s="1" t="s">
        <v>1332</v>
      </c>
      <c r="C1332" t="str">
        <f>IFERROR(__xludf.DUMMYFUNCTION("GOOGLETRANSLATE(B1332, ""zh"", ""en"")"),"The watch is good, the display is a bit small dial size ok, but the display on the small side.")</f>
        <v>The watch is good, the display is a bit small dial size ok, but the display on the small side.</v>
      </c>
    </row>
    <row r="1333">
      <c r="A1333" s="1">
        <v>5.0</v>
      </c>
      <c r="B1333" s="1" t="s">
        <v>1333</v>
      </c>
      <c r="C1333" t="str">
        <f>IFERROR(__xludf.DUMMYFUNCTION("GOOGLETRANSLATE(B1333, ""zh"", ""en"")"),"u can also, yes, because of his clearance information write slow, resulting in too late hand u can also, yes, because of his clearance information write slow, resulting in too late hand")</f>
        <v>u can also, yes, because of his clearance information write slow, resulting in too late hand u can also, yes, because of his clearance information write slow, resulting in too late hand</v>
      </c>
    </row>
    <row r="1334">
      <c r="A1334" s="1">
        <v>5.0</v>
      </c>
      <c r="B1334" s="1" t="s">
        <v>1334</v>
      </c>
      <c r="C1334" t="str">
        <f>IFERROR(__xludf.DUMMYFUNCTION("GOOGLETRANSLATE(B1334, ""zh"", ""en"")"),"Quality and design are good models look good, work is also good, cheap, praise.")</f>
        <v>Quality and design are good models look good, work is also good, cheap, praise.</v>
      </c>
    </row>
    <row r="1335">
      <c r="A1335" s="1">
        <v>5.0</v>
      </c>
      <c r="B1335" s="1" t="s">
        <v>1335</v>
      </c>
      <c r="C1335" t="str">
        <f>IFERROR(__xludf.DUMMYFUNCTION("GOOGLETRANSLATE(B1335, ""zh"", ""en"")"),"Good package of shoes are good shoes, very good package, shoes, too.")</f>
        <v>Good package of shoes are good shoes, very good package, shoes, too.</v>
      </c>
    </row>
    <row r="1336">
      <c r="A1336" s="1">
        <v>5.0</v>
      </c>
      <c r="B1336" s="1" t="s">
        <v>1336</v>
      </c>
      <c r="C1336" t="str">
        <f>IFERROR(__xludf.DUMMYFUNCTION("GOOGLETRANSLATE(B1336, ""zh"", ""en"")"),"Amazon satisfied with read and write speeds overseas purchase, cheap, good workmanship big brands, ultra-fast read and write speed, satisfaction.")</f>
        <v>Amazon satisfied with read and write speeds overseas purchase, cheap, good workmanship big brands, ultra-fast read and write speed, satisfaction.</v>
      </c>
    </row>
    <row r="1337">
      <c r="A1337" s="1">
        <v>5.0</v>
      </c>
      <c r="B1337" s="1" t="s">
        <v>1337</v>
      </c>
      <c r="C1337" t="str">
        <f>IFERROR(__xludf.DUMMYFUNCTION("GOOGLETRANSLATE(B1337, ""zh"", ""en"")"),"Something good is worth buying, very delicate things well worth buying very delicate question as to flaws could really see the character of the")</f>
        <v>Something good is worth buying, very delicate things well worth buying very delicate question as to flaws could really see the character of the</v>
      </c>
    </row>
    <row r="1338">
      <c r="A1338" s="1">
        <v>5.0</v>
      </c>
      <c r="B1338" s="1" t="s">
        <v>1338</v>
      </c>
      <c r="C1338" t="str">
        <f>IFERROR(__xludf.DUMMYFUNCTION("GOOGLETRANSLATE(B1338, ""zh"", ""en"")"),"No sense of restraint is very comfortable no sense of restraint, meat and more people is back, following the edge will roll up.")</f>
        <v>No sense of restraint is very comfortable no sense of restraint, meat and more people is back, following the edge will roll up.</v>
      </c>
    </row>
    <row r="1339">
      <c r="A1339" s="1">
        <v>5.0</v>
      </c>
      <c r="B1339" s="1" t="s">
        <v>1339</v>
      </c>
      <c r="C1339" t="str">
        <f>IFERROR(__xludf.DUMMYFUNCTION("GOOGLETRANSLATE(B1339, ""zh"", ""en"")"),"Smooth writing fluency, writing smooth flow worth buying, worth buying")</f>
        <v>Smooth writing fluency, writing smooth flow worth buying, worth buying</v>
      </c>
    </row>
    <row r="1340">
      <c r="A1340" s="1">
        <v>5.0</v>
      </c>
      <c r="B1340" s="1" t="s">
        <v>1340</v>
      </c>
      <c r="C1340" t="str">
        <f>IFERROR(__xludf.DUMMYFUNCTION("GOOGLETRANSLATE(B1340, ""zh"", ""en"")"),"very good. Very good, more than three years old baby can use, brush clean after only a toothbrush head with a.")</f>
        <v>very good. Very good, more than three years old baby can use, brush clean after only a toothbrush head with a.</v>
      </c>
    </row>
    <row r="1341">
      <c r="A1341" s="1">
        <v>5.0</v>
      </c>
      <c r="B1341" s="1" t="s">
        <v>1341</v>
      </c>
      <c r="C1341" t="str">
        <f>IFERROR(__xludf.DUMMYFUNCTION("GOOGLETRANSLATE(B1341, ""zh"", ""en"")"),"Good really like.")</f>
        <v>Good really like.</v>
      </c>
    </row>
    <row r="1342">
      <c r="A1342" s="1">
        <v>5.0</v>
      </c>
      <c r="B1342" s="1" t="s">
        <v>1342</v>
      </c>
      <c r="C1342" t="str">
        <f>IFERROR(__xludf.DUMMYFUNCTION("GOOGLETRANSLATE(B1342, ""zh"", ""en"")"),"Size optimistic about re-start height 180, weight 185 pounds double ❌ enough estimate almost single ❌ I bought 3❌, the big ah very comfortable fabric production work okay Malaysia")</f>
        <v>Size optimistic about re-start height 180, weight 185 pounds double ❌ enough estimate almost single ❌ I bought 3❌, the big ah very comfortable fabric production work okay Malaysia</v>
      </c>
    </row>
    <row r="1343">
      <c r="A1343" s="1">
        <v>5.0</v>
      </c>
      <c r="B1343" s="1" t="s">
        <v>1343</v>
      </c>
      <c r="C1343" t="str">
        <f>IFERROR(__xludf.DUMMYFUNCTION("GOOGLETRANSLATE(B1343, ""zh"", ""en"")"),"Very good very comfortable very comfortable!")</f>
        <v>Very good very comfortable very comfortable!</v>
      </c>
    </row>
    <row r="1344">
      <c r="A1344" s="1">
        <v>5.0</v>
      </c>
      <c r="B1344" s="1" t="s">
        <v>1344</v>
      </c>
      <c r="C1344" t="str">
        <f>IFERROR(__xludf.DUMMYFUNCTION("GOOGLETRANSLATE(B1344, ""zh"", ""en"")"),"Good quality and cheap work quite satisfactory, thick and soft cloth. The first fade more serious, it is estimated to wash a few times just fine")</f>
        <v>Good quality and cheap work quite satisfactory, thick and soft cloth. The first fade more serious, it is estimated to wash a few times just fine</v>
      </c>
    </row>
    <row r="1345">
      <c r="A1345" s="1">
        <v>5.0</v>
      </c>
      <c r="B1345" s="1" t="s">
        <v>1345</v>
      </c>
      <c r="C1345" t="str">
        <f>IFERROR(__xludf.DUMMYFUNCTION("GOOGLETRANSLATE(B1345, ""zh"", ""en"")"),"Very good very good, comfortable, good quality")</f>
        <v>Very good very good, comfortable, good quality</v>
      </c>
    </row>
    <row r="1346">
      <c r="A1346" s="1">
        <v>5.0</v>
      </c>
      <c r="B1346" s="1" t="s">
        <v>1346</v>
      </c>
      <c r="C1346" t="str">
        <f>IFERROR(__xludf.DUMMYFUNCTION("GOOGLETRANSLATE(B1346, ""zh"", ""en"")"),"The noise a little big, good speed suitable for cold backup, but the noise and vibration big but did not switch when not have to pull the line")</f>
        <v>The noise a little big, good speed suitable for cold backup, but the noise and vibration big but did not switch when not have to pull the line</v>
      </c>
    </row>
    <row r="1347">
      <c r="A1347" s="1">
        <v>5.0</v>
      </c>
      <c r="B1347" s="1" t="s">
        <v>1347</v>
      </c>
      <c r="C1347" t="str">
        <f>IFERROR(__xludf.DUMMYFUNCTION("GOOGLETRANSLATE(B1347, ""zh"", ""en"")"),"Easy to use, inexpensive and accurate. Well, now wear every day. Accurate.")</f>
        <v>Easy to use, inexpensive and accurate. Well, now wear every day. Accurate.</v>
      </c>
    </row>
    <row r="1348">
      <c r="A1348" s="1">
        <v>5.0</v>
      </c>
      <c r="B1348" s="1" t="s">
        <v>1348</v>
      </c>
      <c r="C1348" t="str">
        <f>IFERROR(__xludf.DUMMYFUNCTION("GOOGLETRANSLATE(B1348, ""zh"", ""en"")"),"Children like children like he used to brush a little feel no adult toothpaste easy to use, just sweet, sparkling little adults when the brush, the children okay")</f>
        <v>Children like children like he used to brush a little feel no adult toothpaste easy to use, just sweet, sparkling little adults when the brush, the children okay</v>
      </c>
    </row>
    <row r="1349">
      <c r="A1349" s="1">
        <v>5.0</v>
      </c>
      <c r="B1349" s="1" t="s">
        <v>1349</v>
      </c>
      <c r="C1349" t="str">
        <f>IFERROR(__xludf.DUMMYFUNCTION("GOOGLETRANSLATE(B1349, ""zh"", ""en"")"),"Value for money work fine, looks very nice, better use of feelings, and compare the store's expectations, and the same work, the price is much cheaper")</f>
        <v>Value for money work fine, looks very nice, better use of feelings, and compare the store's expectations, and the same work, the price is much cheaper</v>
      </c>
    </row>
    <row r="1350">
      <c r="A1350" s="1">
        <v>5.0</v>
      </c>
      <c r="B1350" s="1" t="s">
        <v>1350</v>
      </c>
      <c r="C1350" t="str">
        <f>IFERROR(__xludf.DUMMYFUNCTION("GOOGLETRANSLATE(B1350, ""zh"", ""en"")"),"Very satisfied with height 171, weight 140, usually belong to a little strong build fitness figure, select W32L30, just right, this little elastic pants, very fit, you need to select to give a reference. But the pocket a little rough, others praise, have "&amp;"time to figure at the meeting.")</f>
        <v>Very satisfied with height 171, weight 140, usually belong to a little strong build fitness figure, select W32L30, just right, this little elastic pants, very fit, you need to select to give a reference. But the pocket a little rough, others praise, have time to figure at the meeting.</v>
      </c>
    </row>
    <row r="1351">
      <c r="A1351" s="1">
        <v>5.0</v>
      </c>
      <c r="B1351" s="1" t="s">
        <v>1351</v>
      </c>
      <c r="C1351" t="str">
        <f>IFERROR(__xludf.DUMMYFUNCTION("GOOGLETRANSLATE(B1351, ""zh"", ""en"")"),"Recommendations to buy M, height 175cm, weight 71kg, M number of upper body is very suitable, comfortable fabric.")</f>
        <v>Recommendations to buy M, height 175cm, weight 71kg, M number of upper body is very suitable, comfortable fabric.</v>
      </c>
    </row>
    <row r="1352">
      <c r="A1352" s="1">
        <v>5.0</v>
      </c>
      <c r="B1352" s="1" t="s">
        <v>1352</v>
      </c>
      <c r="C1352" t="str">
        <f>IFERROR(__xludf.DUMMYFUNCTION("GOOGLETRANSLATE(B1352, ""zh"", ""en"")"),"Affordable height 1.73M, weight 67Kg, S bit too small")</f>
        <v>Affordable height 1.73M, weight 67Kg, S bit too small</v>
      </c>
    </row>
    <row r="1353">
      <c r="A1353" s="1">
        <v>5.0</v>
      </c>
      <c r="B1353" s="1" t="s">
        <v>1353</v>
      </c>
      <c r="C1353" t="str">
        <f>IFERROR(__xludf.DUMMYFUNCTION("GOOGLETRANSLATE(B1353, ""zh"", ""en"")"),"Good quality right size, and very warm")</f>
        <v>Good quality right size, and very warm</v>
      </c>
    </row>
    <row r="1354">
      <c r="A1354" s="1">
        <v>2.0</v>
      </c>
      <c r="B1354" s="1" t="s">
        <v>1354</v>
      </c>
      <c r="C1354" t="str">
        <f>IFERROR(__xludf.DUMMYFUNCTION("GOOGLETRANSLATE(B1354, ""zh"", ""en"")"),"Serious defect shoes have obvious flaws: shoe tongue is crooked, there are few visible scratches on the shoes, there is a two shoes only one is embossed with a pattern that is not - it Litchi produced very silent touches the speed ~ almost surprisingly fa"&amp;"st - it is left to care for the style")</f>
        <v>Serious defect shoes have obvious flaws: shoe tongue is crooked, there are few visible scratches on the shoes, there is a two shoes only one is embossed with a pattern that is not - it Litchi produced very silent touches the speed ~ almost surprisingly fast - it is left to care for the style</v>
      </c>
    </row>
    <row r="1355">
      <c r="A1355" s="1">
        <v>3.0</v>
      </c>
      <c r="B1355" s="1" t="s">
        <v>1355</v>
      </c>
      <c r="C1355" t="str">
        <f>IFERROR(__xludf.DUMMYFUNCTION("GOOGLETRANSLATE(B1355, ""zh"", ""en"")"),"Very good quality belt strap consistent with the physical appearance, the moment of very good quality leather. I am 2.7 feet waist, the right to buy 36 yards. Only half a year, I found the place perforated belt has broken off simply not made of genuine le"&amp;"ather, the next will not buy this product.")</f>
        <v>Very good quality belt strap consistent with the physical appearance, the moment of very good quality leather. I am 2.7 feet waist, the right to buy 36 yards. Only half a year, I found the place perforated belt has broken off simply not made of genuine leather, the next will not buy this product.</v>
      </c>
    </row>
    <row r="1356">
      <c r="A1356" s="1">
        <v>3.0</v>
      </c>
      <c r="B1356" s="1" t="s">
        <v>1356</v>
      </c>
      <c r="C1356" t="str">
        <f>IFERROR(__xludf.DUMMYFUNCTION("GOOGLETRANSLATE(B1356, ""zh"", ""en"")"),"Let me start with caution height 185, weight 65kg, buy the L number, I feel even slightly larger point is just right. 191 starting 10 days of arrival. Really poor quality, manufacturing Haiti, the material is very rough, mesh clothes is relatively large, "&amp;"wear a little frosted sense of the body, feeling even worse than on a treasure to buy 19.9 T-shirt, in order to chase Tide brand to start, this time to buy the flag, it should be genuine, high imitation is definitely better than domestic products this qua"&amp;"lity.")</f>
        <v>Let me start with caution height 185, weight 65kg, buy the L number, I feel even slightly larger point is just right. 191 starting 10 days of arrival. Really poor quality, manufacturing Haiti, the material is very rough, mesh clothes is relatively large, wear a little frosted sense of the body, feeling even worse than on a treasure to buy 19.9 T-shirt, in order to chase Tide brand to start, this time to buy the flag, it should be genuine, high imitation is definitely better than domestic products this quality.</v>
      </c>
    </row>
    <row r="1357">
      <c r="A1357" s="1">
        <v>1.0</v>
      </c>
      <c r="B1357" s="1" t="s">
        <v>1357</v>
      </c>
      <c r="C1357" t="str">
        <f>IFERROR(__xludf.DUMMYFUNCTION("GOOGLETRANSLATE(B1357, ""zh"", ""en"")"),"Very durable to use only seven months and it broke")</f>
        <v>Very durable to use only seven months and it broke</v>
      </c>
    </row>
    <row r="1358">
      <c r="A1358" s="1">
        <v>1.0</v>
      </c>
      <c r="B1358" s="1" t="s">
        <v>1358</v>
      </c>
      <c r="C1358" t="str">
        <f>IFERROR(__xludf.DUMMYFUNCTION("GOOGLETRANSLATE(B1358, ""zh"", ""en"")"),"Spicy chicken, there is no customer service does not take on mac, is really nonsense")</f>
        <v>Spicy chicken, there is no customer service does not take on mac, is really nonsense</v>
      </c>
    </row>
    <row r="1359">
      <c r="A1359" s="1">
        <v>1.0</v>
      </c>
      <c r="B1359" s="1" t="s">
        <v>1359</v>
      </c>
      <c r="C1359" t="str">
        <f>IFERROR(__xludf.DUMMYFUNCTION("GOOGLETRANSLATE(B1359, ""zh"", ""en"")"),"Wrong size size is too small, it very comfortable shoes is to wear a top foot, and now has been idle")</f>
        <v>Wrong size size is too small, it very comfortable shoes is to wear a top foot, and now has been idle</v>
      </c>
    </row>
    <row r="1360">
      <c r="A1360" s="1">
        <v>4.0</v>
      </c>
      <c r="B1360" s="1" t="s">
        <v>1360</v>
      </c>
      <c r="C1360" t="str">
        <f>IFERROR(__xludf.DUMMYFUNCTION("GOOGLETRANSLATE(B1360, ""zh"", ""en"")"),"Worth buying a shoe figure, material models are very good. Wear good package, comfortable, almost the only work is not enough. Excess glue and a little gap,")</f>
        <v>Worth buying a shoe figure, material models are very good. Wear good package, comfortable, almost the only work is not enough. Excess glue and a little gap,</v>
      </c>
    </row>
    <row r="1361">
      <c r="A1361" s="1">
        <v>4.0</v>
      </c>
      <c r="B1361" s="1" t="s">
        <v>1361</v>
      </c>
      <c r="C1361" t="str">
        <f>IFERROR(__xludf.DUMMYFUNCTION("GOOGLETRANSLATE(B1361, ""zh"", ""en"")"),"There are a large number of elastic s buy s enough, elasticity is large enough, there will buy No.")</f>
        <v>There are a large number of elastic s buy s enough, elasticity is large enough, there will buy No.</v>
      </c>
    </row>
    <row r="1362">
      <c r="A1362" s="1">
        <v>4.0</v>
      </c>
      <c r="B1362" s="1" t="s">
        <v>1362</v>
      </c>
      <c r="C1362" t="str">
        <f>IFERROR(__xludf.DUMMYFUNCTION("GOOGLETRANSLATE(B1362, ""zh"", ""en"")"),"Good shoes, value for money is very comfortable on the feet, thicker is not recommended for summer wear. The corresponding eight yards 42 yards China, quasi-yardage")</f>
        <v>Good shoes, value for money is very comfortable on the feet, thicker is not recommended for summer wear. The corresponding eight yards 42 yards China, quasi-yardage</v>
      </c>
    </row>
    <row r="1363">
      <c r="A1363" s="1">
        <v>4.0</v>
      </c>
      <c r="B1363" s="1" t="s">
        <v>1363</v>
      </c>
      <c r="C1363" t="str">
        <f>IFERROR(__xludf.DUMMYFUNCTION("GOOGLETRANSLATE(B1363, ""zh"", ""en"")"),"Material is soft right size, material soft.")</f>
        <v>Material is soft right size, material soft.</v>
      </c>
    </row>
    <row r="1364">
      <c r="A1364" s="1">
        <v>5.0</v>
      </c>
      <c r="B1364" s="1" t="s">
        <v>1364</v>
      </c>
      <c r="C1364" t="str">
        <f>IFERROR(__xludf.DUMMYFUNCTION("GOOGLETRANSLATE(B1364, ""zh"", ""en"")"),"Leading good packaging a bit shabby, the faucet is very beautiful, very heavy, Germany, that is, the water is very light, some are plastic, the overall is still good value, selling more than 2000 days cat")</f>
        <v>Leading good packaging a bit shabby, the faucet is very beautiful, very heavy, Germany, that is, the water is very light, some are plastic, the overall is still good value, selling more than 2000 days cat</v>
      </c>
    </row>
    <row r="1365">
      <c r="A1365" s="1">
        <v>5.0</v>
      </c>
      <c r="B1365" s="1" t="s">
        <v>1365</v>
      </c>
      <c r="C1365" t="str">
        <f>IFERROR(__xludf.DUMMYFUNCTION("GOOGLETRANSLATE(B1365, ""zh"", ""en"")"),"Stockpile store goods in, not use, recommend brand")</f>
        <v>Stockpile store goods in, not use, recommend brand</v>
      </c>
    </row>
    <row r="1366">
      <c r="A1366" s="1">
        <v>5.0</v>
      </c>
      <c r="B1366" s="1" t="s">
        <v>1366</v>
      </c>
      <c r="C1366" t="str">
        <f>IFERROR(__xludf.DUMMYFUNCTION("GOOGLETRANSLATE(B1366, ""zh"", ""en"")"),"Suitable always buy back when men wear, right size, ECCO shoe itself is very wide, not tired to walk.")</f>
        <v>Suitable always buy back when men wear, right size, ECCO shoe itself is very wide, not tired to walk.</v>
      </c>
    </row>
    <row r="1367">
      <c r="A1367" s="1">
        <v>5.0</v>
      </c>
      <c r="B1367" s="1" t="s">
        <v>1367</v>
      </c>
      <c r="C1367" t="str">
        <f>IFERROR(__xludf.DUMMYFUNCTION("GOOGLETRANSLATE(B1367, ""zh"", ""en"")"),"Bottle very, very good, no taste, is the baby does not believe that pacifier")</f>
        <v>Bottle very, very good, no taste, is the baby does not believe that pacifier</v>
      </c>
    </row>
    <row r="1368">
      <c r="A1368" s="1">
        <v>5.0</v>
      </c>
      <c r="B1368" s="1" t="s">
        <v>1368</v>
      </c>
      <c r="C1368" t="str">
        <f>IFERROR(__xludf.DUMMYFUNCTION("GOOGLETRANSLATE(B1368, ""zh"", ""en"")"),"Refined and practical baby is very practical and compact design, it will not drip. It is like hey.")</f>
        <v>Refined and practical baby is very practical and compact design, it will not drip. It is like hey.</v>
      </c>
    </row>
    <row r="1369">
      <c r="A1369" s="1">
        <v>5.0</v>
      </c>
      <c r="B1369" s="1" t="s">
        <v>1369</v>
      </c>
      <c r="C1369" t="str">
        <f>IFERROR(__xludf.DUMMYFUNCTION("GOOGLETRANSLATE(B1369, ""zh"", ""en"")"),"Liang Liang color, comfortable")</f>
        <v>Liang Liang color, comfortable</v>
      </c>
    </row>
    <row r="1370">
      <c r="A1370" s="1">
        <v>5.0</v>
      </c>
      <c r="B1370" s="1" t="s">
        <v>1370</v>
      </c>
      <c r="C1370" t="str">
        <f>IFERROR(__xludf.DUMMYFUNCTION("GOOGLETRANSLATE(B1370, ""zh"", ""en"")"),"Underwear good quality underwear looks good, very good quality, very comfortable")</f>
        <v>Underwear good quality underwear looks good, very good quality, very comfortable</v>
      </c>
    </row>
    <row r="1371">
      <c r="A1371" s="1">
        <v>5.0</v>
      </c>
      <c r="B1371" s="1" t="s">
        <v>1371</v>
      </c>
      <c r="C1371" t="str">
        <f>IFERROR(__xludf.DUMMYFUNCTION("GOOGLETRANSLATE(B1371, ""zh"", ""en"")"),"Well well worth having average speed but very strong 60+")</f>
        <v>Well well worth having average speed but very strong 60+</v>
      </c>
    </row>
    <row r="1372">
      <c r="A1372" s="1">
        <v>5.0</v>
      </c>
      <c r="B1372" s="1" t="s">
        <v>1372</v>
      </c>
      <c r="C1372" t="str">
        <f>IFERROR(__xludf.DUMMYFUNCTION("GOOGLETRANSLATE(B1372, ""zh"", ""en"")"),"Awesome sound quality is superb, but his wife ugly line, this design is only suitable for home listening.")</f>
        <v>Awesome sound quality is superb, but his wife ugly line, this design is only suitable for home listening.</v>
      </c>
    </row>
    <row r="1373">
      <c r="A1373" s="1">
        <v>5.0</v>
      </c>
      <c r="B1373" s="1" t="s">
        <v>1373</v>
      </c>
      <c r="C1373" t="str">
        <f>IFERROR(__xludf.DUMMYFUNCTION("GOOGLETRANSLATE(B1373, ""zh"", ""en"")"),"Balanced enough. 1 more than a week received the goods, packaging is very strong and receipt of goods is perfect. 2 bought two 2 meter shielded XLR cable connected pre-decoding, they have a national standard power cord to it out loud, the sound on the big"&amp;" ear it can not find the slightest low noise. 3 Compare the sound quality of water, open up the low-frequency sound feel the house along with the vibration, overall more balanced. 4 speakers to pull something and I am listening environment is not very goo"&amp;"d, not on the stand, as a computer speaker positioning adjustment is to spend more effort, but once in place it the main speaker, the other slowly and then an additional .")</f>
        <v>Balanced enough. 1 more than a week received the goods, packaging is very strong and receipt of goods is perfect. 2 bought two 2 meter shielded XLR cable connected pre-decoding, they have a national standard power cord to it out loud, the sound on the big ear it can not find the slightest low noise. 3 Compare the sound quality of water, open up the low-frequency sound feel the house along with the vibration, overall more balanced. 4 speakers to pull something and I am listening environment is not very good, not on the stand, as a computer speaker positioning adjustment is to spend more effort, but once in place it the main speaker, the other slowly and then an additional .</v>
      </c>
    </row>
    <row r="1374">
      <c r="A1374" s="1">
        <v>5.0</v>
      </c>
      <c r="B1374" s="1" t="s">
        <v>1374</v>
      </c>
      <c r="C1374" t="str">
        <f>IFERROR(__xludf.DUMMYFUNCTION("GOOGLETRANSLATE(B1374, ""zh"", ""en"")"),"How can it buy two, one large and one small, with a very good.")</f>
        <v>How can it buy two, one large and one small, with a very good.</v>
      </c>
    </row>
    <row r="1375">
      <c r="A1375" s="1">
        <v>5.0</v>
      </c>
      <c r="B1375" s="1" t="s">
        <v>1375</v>
      </c>
      <c r="C1375" t="str">
        <f>IFERROR(__xludf.DUMMYFUNCTION("GOOGLETRANSLATE(B1375, ""zh"", ""en"")"),"British-origin British packaging is simple point, but still things faster ... what is useful, is a British production ...")</f>
        <v>British-origin British packaging is simple point, but still things faster ... what is useful, is a British production ...</v>
      </c>
    </row>
    <row r="1376">
      <c r="A1376" s="1">
        <v>5.0</v>
      </c>
      <c r="B1376" s="1" t="s">
        <v>1376</v>
      </c>
      <c r="C1376" t="str">
        <f>IFERROR(__xludf.DUMMYFUNCTION("GOOGLETRANSLATE(B1376, ""zh"", ""en"")"),"Light value for money, good insulation effect")</f>
        <v>Light value for money, good insulation effect</v>
      </c>
    </row>
    <row r="1377">
      <c r="A1377" s="1">
        <v>5.0</v>
      </c>
      <c r="B1377" s="1" t="s">
        <v>1377</v>
      </c>
      <c r="C1377" t="str">
        <f>IFERROR(__xludf.DUMMYFUNCTION("GOOGLETRANSLATE(B1377, ""zh"", ""en"")"),"Good read right size, very comfortable, like. Overseas purchase of goods are basically very satisfied and at ease.")</f>
        <v>Good read right size, very comfortable, like. Overseas purchase of goods are basically very satisfied and at ease.</v>
      </c>
    </row>
    <row r="1378">
      <c r="A1378" s="1">
        <v>5.0</v>
      </c>
      <c r="B1378" s="1" t="s">
        <v>1378</v>
      </c>
      <c r="C1378" t="str">
        <f>IFERROR(__xludf.DUMMYFUNCTION("GOOGLETRANSLATE(B1378, ""zh"", ""en"")"),"I hope the business case more to the point next time out for our reference. This wear M code just before I 175,80kg, but the underwear this code number is too small, inexpensive, back up procedures for trouble, send people to wear, I hope the business cas"&amp;"e more to the point next time out for our reference.")</f>
        <v>I hope the business case more to the point next time out for our reference. This wear M code just before I 175,80kg, but the underwear this code number is too small, inexpensive, back up procedures for trouble, send people to wear, I hope the business case more to the point next time out for our reference.</v>
      </c>
    </row>
    <row r="1379">
      <c r="A1379" s="1">
        <v>5.0</v>
      </c>
      <c r="B1379" s="1" t="s">
        <v>1379</v>
      </c>
      <c r="C1379" t="str">
        <f>IFERROR(__xludf.DUMMYFUNCTION("GOOGLETRANSLATE(B1379, ""zh"", ""en"")"),"The effect can, use ...... trouble using good results is to buy a transformer and converter plug")</f>
        <v>The effect can, use ...... trouble using good results is to buy a transformer and converter plug</v>
      </c>
    </row>
    <row r="1380">
      <c r="A1380" s="1">
        <v>5.0</v>
      </c>
      <c r="B1380" s="1" t="s">
        <v>1380</v>
      </c>
      <c r="C1380" t="str">
        <f>IFERROR(__xludf.DUMMYFUNCTION("GOOGLETRANSLATE(B1380, ""zh"", ""en"")"),"Sennheiser headphones is owed to burn, no matter the low-end high-end just got a bad sound, high-frequency burr low dive is not enough, now listening to a lot of the time, I thought previously to buy a treasure just got my sound mx375 very similar results"&amp;" when I leave back. .")</f>
        <v>Sennheiser headphones is owed to burn, no matter the low-end high-end just got a bad sound, high-frequency burr low dive is not enough, now listening to a lot of the time, I thought previously to buy a treasure just got my sound mx375 very similar results when I leave back. .</v>
      </c>
    </row>
    <row r="1381">
      <c r="A1381" s="1">
        <v>5.0</v>
      </c>
      <c r="B1381" s="1" t="s">
        <v>1381</v>
      </c>
      <c r="C1381" t="str">
        <f>IFERROR(__xludf.DUMMYFUNCTION("GOOGLETRANSLATE(B1381, ""zh"", ""en"")"),"Take the right size, quality not to say!")</f>
        <v>Take the right size, quality not to say!</v>
      </c>
    </row>
    <row r="1382">
      <c r="A1382" s="1">
        <v>5.0</v>
      </c>
      <c r="B1382" s="1" t="s">
        <v>1382</v>
      </c>
      <c r="C1382" t="str">
        <f>IFERROR(__xludf.DUMMYFUNCTION("GOOGLETRANSLATE(B1382, ""zh"", ""en"")"),"Satisfied in full compliance with the requirements, very satisfied.")</f>
        <v>Satisfied in full compliance with the requirements, very satisfied.</v>
      </c>
    </row>
    <row r="1383">
      <c r="A1383" s="1">
        <v>5.0</v>
      </c>
      <c r="B1383" s="1" t="s">
        <v>1383</v>
      </c>
      <c r="C1383" t="str">
        <f>IFERROR(__xludf.DUMMYFUNCTION("GOOGLETRANSLATE(B1383, ""zh"", ""en"")"),"Stockpile stockpile to buy, pick up a")</f>
        <v>Stockpile stockpile to buy, pick up a</v>
      </c>
    </row>
    <row r="1384">
      <c r="A1384" s="1">
        <v>5.0</v>
      </c>
      <c r="B1384" s="1" t="s">
        <v>1384</v>
      </c>
      <c r="C1384" t="str">
        <f>IFERROR(__xludf.DUMMYFUNCTION("GOOGLETRANSLATE(B1384, ""zh"", ""en"")"),"Delicious, drink more than domestic brands smells good. Tired of eating vanilla flavor, the taste of a good drink. Dissolve well, not sparkling, compared to the domestic brand of soup, drink too much. Delivery is also fast, earlier than the expected deliv"&amp;"ery date of 10 days.")</f>
        <v>Delicious, drink more than domestic brands smells good. Tired of eating vanilla flavor, the taste of a good drink. Dissolve well, not sparkling, compared to the domestic brand of soup, drink too much. Delivery is also fast, earlier than the expected delivery date of 10 days.</v>
      </c>
    </row>
    <row r="1385">
      <c r="A1385" s="1">
        <v>5.0</v>
      </c>
      <c r="B1385" s="1" t="s">
        <v>1385</v>
      </c>
      <c r="C1385" t="str">
        <f>IFERROR(__xludf.DUMMYFUNCTION("GOOGLETRANSLATE(B1385, ""zh"", ""en"")"),"Family Pack, super-affordable eight head, and his wife just one year, with a few years of the electric toothbrush, comfortable and convenient, the prices continue to hope that the British sub-concessions, praise")</f>
        <v>Family Pack, super-affordable eight head, and his wife just one year, with a few years of the electric toothbrush, comfortable and convenient, the prices continue to hope that the British sub-concessions, praise</v>
      </c>
    </row>
    <row r="1386">
      <c r="A1386" s="1">
        <v>2.0</v>
      </c>
      <c r="B1386" s="1" t="s">
        <v>1386</v>
      </c>
      <c r="C1386" t="str">
        <f>IFERROR(__xludf.DUMMYFUNCTION("GOOGLETRANSLATE(B1386, ""zh"", ""en"")"),"M suitable 170,65KG, originally wanted to buy a small yard, and finally bought the M, appropriate")</f>
        <v>M suitable 170,65KG, originally wanted to buy a small yard, and finally bought the M, appropriate</v>
      </c>
    </row>
    <row r="1387">
      <c r="A1387" s="1">
        <v>3.0</v>
      </c>
      <c r="B1387" s="1" t="s">
        <v>1387</v>
      </c>
      <c r="C1387" t="str">
        <f>IFERROR(__xludf.DUMMYFUNCTION("GOOGLETRANSLATE(B1387, ""zh"", ""en"")"),"Tuicu recommended people not to buy my thick thighs, changed the tights. Thin people wear very type.")</f>
        <v>Tuicu recommended people not to buy my thick thighs, changed the tights. Thin people wear very type.</v>
      </c>
    </row>
    <row r="1388">
      <c r="A1388" s="1">
        <v>3.0</v>
      </c>
      <c r="B1388" s="1" t="s">
        <v>1388</v>
      </c>
      <c r="C1388" t="str">
        <f>IFERROR(__xludf.DUMMYFUNCTION("GOOGLETRANSLATE(B1388, ""zh"", ""en"")"),"More general texture of poor materials like plastic is not recommended")</f>
        <v>More general texture of poor materials like plastic is not recommended</v>
      </c>
    </row>
    <row r="1389">
      <c r="A1389" s="1">
        <v>3.0</v>
      </c>
      <c r="B1389" s="1" t="s">
        <v>1389</v>
      </c>
      <c r="C1389" t="str">
        <f>IFERROR(__xludf.DUMMYFUNCTION("GOOGLETRANSLATE(B1389, ""zh"", ""en"")"),"Worth uncomfortable, old trousers riding up, warm in general.")</f>
        <v>Worth uncomfortable, old trousers riding up, warm in general.</v>
      </c>
    </row>
    <row r="1390">
      <c r="A1390" s="1">
        <v>1.0</v>
      </c>
      <c r="B1390" s="1" t="s">
        <v>1390</v>
      </c>
      <c r="C1390" t="str">
        <f>IFERROR(__xludf.DUMMYFUNCTION("GOOGLETRANSLATE(B1390, ""zh"", ""en"")"),"This is quite poor experience poor quality pants, wearing a whole fabrics are pilling. . . Never get this kind of quality pants, pajama pants feel when bad! ! ! Secondly pants code number is too large, we must challenge friends do not buy big! ! ! !")</f>
        <v>This is quite poor experience poor quality pants, wearing a whole fabrics are pilling. . . Never get this kind of quality pants, pajama pants feel when bad! ! ! Secondly pants code number is too large, we must challenge friends do not buy big! ! ! !</v>
      </c>
    </row>
    <row r="1391">
      <c r="A1391" s="1">
        <v>1.0</v>
      </c>
      <c r="B1391" s="1" t="s">
        <v>1391</v>
      </c>
      <c r="C1391" t="str">
        <f>IFERROR(__xludf.DUMMYFUNCTION("GOOGLETRANSLATE(B1391, ""zh"", ""en"")"),"Strap split strap has been cracked, still not good enough, a small Japanese!")</f>
        <v>Strap split strap has been cracked, still not good enough, a small Japanese!</v>
      </c>
    </row>
    <row r="1392">
      <c r="A1392" s="1">
        <v>4.0</v>
      </c>
      <c r="B1392" s="1" t="s">
        <v>1392</v>
      </c>
      <c r="C1392" t="str">
        <f>IFERROR(__xludf.DUMMYFUNCTION("GOOGLETRANSLATE(B1392, ""zh"", ""en"")"),"The results were good height 170, weight 106, L code just wear")</f>
        <v>The results were good height 170, weight 106, L code just wear</v>
      </c>
    </row>
    <row r="1393">
      <c r="A1393" s="1">
        <v>4.0</v>
      </c>
      <c r="B1393" s="1" t="s">
        <v>1393</v>
      </c>
      <c r="C1393" t="str">
        <f>IFERROR(__xludf.DUMMYFUNCTION("GOOGLETRANSLATE(B1393, ""zh"", ""en"")"),"Cover breaking down easily in very good shape, there is a lack of easily breaking down the lid, kids love to go to breaking the lid.")</f>
        <v>Cover breaking down easily in very good shape, there is a lack of easily breaking down the lid, kids love to go to breaking the lid.</v>
      </c>
    </row>
    <row r="1394">
      <c r="A1394" s="1">
        <v>4.0</v>
      </c>
      <c r="B1394" s="1" t="s">
        <v>1394</v>
      </c>
      <c r="C1394" t="str">
        <f>IFERROR(__xludf.DUMMYFUNCTION("GOOGLETRANSLATE(B1394, ""zh"", ""en"")"),"Good fabric is thick, the American Farm style, 174/77, M suitable")</f>
        <v>Good fabric is thick, the American Farm style, 174/77, M suitable</v>
      </c>
    </row>
    <row r="1395">
      <c r="A1395" s="1">
        <v>4.0</v>
      </c>
      <c r="B1395" s="1" t="s">
        <v>1395</v>
      </c>
      <c r="C1395" t="str">
        <f>IFERROR(__xludf.DUMMYFUNCTION("GOOGLETRANSLATE(B1395, ""zh"", ""en"")"),"Not suitable for people who wear large head can also be right, not suitable for people wearing large head.")</f>
        <v>Not suitable for people who wear large head can also be right, not suitable for people wearing large head.</v>
      </c>
    </row>
    <row r="1396">
      <c r="A1396" s="1">
        <v>4.0</v>
      </c>
      <c r="B1396" s="1" t="s">
        <v>1396</v>
      </c>
      <c r="C1396" t="str">
        <f>IFERROR(__xludf.DUMMYFUNCTION("GOOGLETRANSLATE(B1396, ""zh"", ""en"")"),"CK clothes are cotton, 180 words should buy L, the result became a buy XL, big, but when pajamas pretty good, comfortable")</f>
        <v>CK clothes are cotton, 180 words should buy L, the result became a buy XL, big, but when pajamas pretty good, comfortable</v>
      </c>
    </row>
    <row r="1397">
      <c r="A1397" s="1">
        <v>5.0</v>
      </c>
      <c r="B1397" s="1" t="s">
        <v>1397</v>
      </c>
      <c r="C1397" t="str">
        <f>IFERROR(__xludf.DUMMYFUNCTION("GOOGLETRANSLATE(B1397, ""zh"", ""en"")"),"Comfortable shoes well, comfortable to wear.")</f>
        <v>Comfortable shoes well, comfortable to wear.</v>
      </c>
    </row>
    <row r="1398">
      <c r="A1398" s="1">
        <v>5.0</v>
      </c>
      <c r="B1398" s="1" t="s">
        <v>1398</v>
      </c>
      <c r="C1398" t="str">
        <f>IFERROR(__xludf.DUMMYFUNCTION("GOOGLETRANSLATE(B1398, ""zh"", ""en"")"),"Height 173cm, weight 60kg height 173cm, weight 60kg, small fit, fabric is very comfortable")</f>
        <v>Height 173cm, weight 60kg height 173cm, weight 60kg, small fit, fabric is very comfortable</v>
      </c>
    </row>
    <row r="1399">
      <c r="A1399" s="1">
        <v>5.0</v>
      </c>
      <c r="B1399" s="1" t="s">
        <v>1399</v>
      </c>
      <c r="C1399" t="str">
        <f>IFERROR(__xludf.DUMMYFUNCTION("GOOGLETRANSLATE(B1399, ""zh"", ""en"")"),"Hitachi scouring the sea for the first time to feel good about the new disc a week hand, the tests are normal. Noise is a big problem, a little voice when reading and writing, unless the dead of night is not obvious, I'm happy with this purchase.")</f>
        <v>Hitachi scouring the sea for the first time to feel good about the new disc a week hand, the tests are normal. Noise is a big problem, a little voice when reading and writing, unless the dead of night is not obvious, I'm happy with this purchase.</v>
      </c>
    </row>
    <row r="1400">
      <c r="A1400" s="1">
        <v>5.0</v>
      </c>
      <c r="B1400" s="1" t="s">
        <v>1400</v>
      </c>
      <c r="C1400" t="str">
        <f>IFERROR(__xludf.DUMMYFUNCTION("GOOGLETRANSLATE(B1400, ""zh"", ""en"")"),"Comment used again, looked pretty good reviews used again, looked pretty good")</f>
        <v>Comment used again, looked pretty good reviews used again, looked pretty good</v>
      </c>
    </row>
    <row r="1401">
      <c r="A1401" s="1">
        <v>5.0</v>
      </c>
      <c r="B1401" s="1" t="s">
        <v>1401</v>
      </c>
      <c r="C1401" t="str">
        <f>IFERROR(__xludf.DUMMYFUNCTION("GOOGLETRANSLATE(B1401, ""zh"", ""en"")"),"Ah well small, looks good, two feet five small waist 32")</f>
        <v>Ah well small, looks good, two feet five small waist 32</v>
      </c>
    </row>
    <row r="1402">
      <c r="A1402" s="1">
        <v>5.0</v>
      </c>
      <c r="B1402" s="1" t="s">
        <v>1402</v>
      </c>
      <c r="C1402" t="str">
        <f>IFERROR(__xludf.DUMMYFUNCTION("GOOGLETRANSLATE(B1402, ""zh"", ""en"")"),"Successful one purchase comfortable fit and consistent description photo")</f>
        <v>Successful one purchase comfortable fit and consistent description photo</v>
      </c>
    </row>
    <row r="1403">
      <c r="A1403" s="1">
        <v>5.0</v>
      </c>
      <c r="B1403" s="1" t="s">
        <v>1403</v>
      </c>
      <c r="C1403" t="str">
        <f>IFERROR(__xludf.DUMMYFUNCTION("GOOGLETRANSLATE(B1403, ""zh"", ""en"")"),"Capacity, moderate weight Amazon purchased overseas to do activities time to buy, USB3.0 speed, external power supply, more suitable for use as a desktop backup")</f>
        <v>Capacity, moderate weight Amazon purchased overseas to do activities time to buy, USB3.0 speed, external power supply, more suitable for use as a desktop backup</v>
      </c>
    </row>
    <row r="1404">
      <c r="A1404" s="1">
        <v>5.0</v>
      </c>
      <c r="B1404" s="1" t="s">
        <v>1404</v>
      </c>
      <c r="C1404" t="str">
        <f>IFERROR(__xludf.DUMMYFUNCTION("GOOGLETRANSLATE(B1404, ""zh"", ""en"")"),"Size 1.81 m, 78 kg, 99cm, m number exactly, only for reference")</f>
        <v>Size 1.81 m, 78 kg, 99cm, m number exactly, only for reference</v>
      </c>
    </row>
    <row r="1405">
      <c r="A1405" s="1">
        <v>5.0</v>
      </c>
      <c r="B1405" s="1" t="s">
        <v>1405</v>
      </c>
      <c r="C1405" t="str">
        <f>IFERROR(__xludf.DUMMYFUNCTION("GOOGLETRANSLATE(B1405, ""zh"", ""en"")"),"Perfect to help a friend sell, very satisfied.")</f>
        <v>Perfect to help a friend sell, very satisfied.</v>
      </c>
    </row>
    <row r="1406">
      <c r="A1406" s="1">
        <v>5.0</v>
      </c>
      <c r="B1406" s="1" t="s">
        <v>1406</v>
      </c>
      <c r="C1406" t="str">
        <f>IFERROR(__xludf.DUMMYFUNCTION("GOOGLETRANSLATE(B1406, ""zh"", ""en"")"),"Good tasteless product, wash no taste")</f>
        <v>Good tasteless product, wash no taste</v>
      </c>
    </row>
    <row r="1407">
      <c r="A1407" s="1">
        <v>5.0</v>
      </c>
      <c r="B1407" s="1" t="s">
        <v>1407</v>
      </c>
      <c r="C1407" t="str">
        <f>IFERROR(__xludf.DUMMYFUNCTION("GOOGLETRANSLATE(B1407, ""zh"", ""en"")"),"Cool watches believe that Amazon provides a fake genuine, not a treasure smelly street. So this preferential price to buy Citizen Eco-Drive Men's Watch, certainly deserves. Although the color is also very thick strap take, or are you in a treasure bought "&amp;"a black metal strap, feel better.")</f>
        <v>Cool watches believe that Amazon provides a fake genuine, not a treasure smelly street. So this preferential price to buy Citizen Eco-Drive Men's Watch, certainly deserves. Although the color is also very thick strap take, or are you in a treasure bought a black metal strap, feel better.</v>
      </c>
    </row>
    <row r="1408">
      <c r="A1408" s="1">
        <v>5.0</v>
      </c>
      <c r="B1408" s="1" t="s">
        <v>1408</v>
      </c>
      <c r="C1408" t="str">
        <f>IFERROR(__xludf.DUMMYFUNCTION("GOOGLETRANSLATE(B1408, ""zh"", ""en"")"),"Good value for money, packaging is also very safe. Very light, very small size, placed in a small bag easily")</f>
        <v>Good value for money, packaging is also very safe. Very light, very small size, placed in a small bag easily</v>
      </c>
    </row>
    <row r="1409">
      <c r="A1409" s="1">
        <v>5.0</v>
      </c>
      <c r="B1409" s="1" t="s">
        <v>1409</v>
      </c>
      <c r="C1409" t="str">
        <f>IFERROR(__xludf.DUMMYFUNCTION("GOOGLETRANSLATE(B1409, ""zh"", ""en"")"),"Suitable for walking shoes, lightweight, suitable for walking, and it is not stuffy.")</f>
        <v>Suitable for walking shoes, lightweight, suitable for walking, and it is not stuffy.</v>
      </c>
    </row>
    <row r="1410">
      <c r="A1410" s="1">
        <v>5.0</v>
      </c>
      <c r="B1410" s="1" t="s">
        <v>1410</v>
      </c>
      <c r="C1410" t="str">
        <f>IFERROR(__xludf.DUMMYFUNCTION("GOOGLETRANSLATE(B1410, ""zh"", ""en"")"),"Like fever, fever, good quality")</f>
        <v>Like fever, fever, good quality</v>
      </c>
    </row>
    <row r="1411">
      <c r="A1411" s="1">
        <v>5.0</v>
      </c>
      <c r="B1411" s="1" t="s">
        <v>1411</v>
      </c>
      <c r="C1411" t="str">
        <f>IFERROR(__xludf.DUMMYFUNCTION("GOOGLETRANSLATE(B1411, ""zh"", ""en"")"),"Good looks very nice")</f>
        <v>Good looks very nice</v>
      </c>
    </row>
    <row r="1412">
      <c r="A1412" s="1">
        <v>5.0</v>
      </c>
      <c r="B1412" s="1" t="s">
        <v>1412</v>
      </c>
      <c r="C1412" t="str">
        <f>IFERROR(__xludf.DUMMYFUNCTION("GOOGLETRANSLATE(B1412, ""zh"", ""en"")"),"Good texture very good, moderate hardness, good texture")</f>
        <v>Good texture very good, moderate hardness, good texture</v>
      </c>
    </row>
    <row r="1413">
      <c r="A1413" s="1">
        <v>5.0</v>
      </c>
      <c r="B1413" s="1" t="s">
        <v>1413</v>
      </c>
      <c r="C1413" t="str">
        <f>IFERROR(__xludf.DUMMYFUNCTION("GOOGLETRANSLATE(B1413, ""zh"", ""en"")"),"Leather hard, there are a cushion made in China, very hard leather, leather words, but do not know, look at the follow-up. There are cushion layer to enhance the comfort. Domestic pants to wear 31-32 yards, to buy 85 just right.")</f>
        <v>Leather hard, there are a cushion made in China, very hard leather, leather words, but do not know, look at the follow-up. There are cushion layer to enhance the comfort. Domestic pants to wear 31-32 yards, to buy 85 just right.</v>
      </c>
    </row>
    <row r="1414">
      <c r="A1414" s="1">
        <v>5.0</v>
      </c>
      <c r="B1414" s="1" t="s">
        <v>1414</v>
      </c>
      <c r="C1414" t="str">
        <f>IFERROR(__xludf.DUMMYFUNCTION("GOOGLETRANSLATE(B1414, ""zh"", ""en"")"),"Worth buying fast and easy to use suction uniformly charged with the only drawback it is also very easy to master too inconvenient to carry")</f>
        <v>Worth buying fast and easy to use suction uniformly charged with the only drawback it is also very easy to master too inconvenient to carry</v>
      </c>
    </row>
    <row r="1415">
      <c r="A1415" s="1">
        <v>5.0</v>
      </c>
      <c r="B1415" s="1" t="s">
        <v>1415</v>
      </c>
      <c r="C1415" t="str">
        <f>IFERROR(__xludf.DUMMYFUNCTION("GOOGLETRANSLATE(B1415, ""zh"", ""en"")"),"Children cups good Ha, cheaper than domestic. Before meals magician leak, this time for the Zojirushi")</f>
        <v>Children cups good Ha, cheaper than domestic. Before meals magician leak, this time for the Zojirushi</v>
      </c>
    </row>
    <row r="1416">
      <c r="A1416" s="1">
        <v>5.0</v>
      </c>
      <c r="B1416" s="1" t="s">
        <v>1416</v>
      </c>
      <c r="C1416" t="str">
        <f>IFERROR(__xludf.DUMMYFUNCTION("GOOGLETRANSLATE(B1416, ""zh"", ""en"")"),"Unpacking found the water has only one washer is mounted on the lower part. Why no upper rubber gasket, so loaded will not leak it? Unpacking found the water has only one washer is mounted on the lower part. Why no upper rubber gasket, so loaded will not "&amp;"leak it?")</f>
        <v>Unpacking found the water has only one washer is mounted on the lower part. Why no upper rubber gasket, so loaded will not leak it? Unpacking found the water has only one washer is mounted on the lower part. Why no upper rubber gasket, so loaded will not leak it?</v>
      </c>
    </row>
    <row r="1417">
      <c r="A1417" s="1">
        <v>5.0</v>
      </c>
      <c r="B1417" s="1" t="s">
        <v>1417</v>
      </c>
      <c r="C1417" t="str">
        <f>IFERROR(__xludf.DUMMYFUNCTION("GOOGLETRANSLATE(B1417, ""zh"", ""en"")"),"Foreign code is too large a number of foreign code is too large, and a pair of shoes to pay attention")</f>
        <v>Foreign code is too large a number of foreign code is too large, and a pair of shoes to pay attention</v>
      </c>
    </row>
    <row r="1418">
      <c r="A1418" s="1">
        <v>5.0</v>
      </c>
      <c r="B1418" s="1" t="s">
        <v>1418</v>
      </c>
      <c r="C1418" t="str">
        <f>IFERROR(__xludf.DUMMYFUNCTION("GOOGLETRANSLATE(B1418, ""zh"", ""en"")"),"The product has been very good with the baby, easy to use too much than glass")</f>
        <v>The product has been very good with the baby, easy to use too much than glass</v>
      </c>
    </row>
    <row r="1419">
      <c r="A1419" s="1">
        <v>2.0</v>
      </c>
      <c r="B1419" s="1" t="s">
        <v>1419</v>
      </c>
      <c r="C1419" t="str">
        <f>IFERROR(__xludf.DUMMYFUNCTION("GOOGLETRANSLATE(B1419, ""zh"", ""en"")"),"Super large, usually 34, wear M code on it, to buy a large two yards")</f>
        <v>Super large, usually 34, wear M code on it, to buy a large two yards</v>
      </c>
    </row>
    <row r="1420">
      <c r="A1420" s="1">
        <v>3.0</v>
      </c>
      <c r="B1420" s="1" t="s">
        <v>1420</v>
      </c>
      <c r="C1420" t="str">
        <f>IFERROR(__xludf.DUMMYFUNCTION("GOOGLETRANSLATE(B1420, ""zh"", ""en"")"),"Poorly designed materials can be. But the exterior design is unreasonable, when the toothbrush with it, good grip. When it gutta, bad bite, next to the handle and a flat, wide, bad bite or grip. Better to match monkey")</f>
        <v>Poorly designed materials can be. But the exterior design is unreasonable, when the toothbrush with it, good grip. When it gutta, bad bite, next to the handle and a flat, wide, bad bite or grip. Better to match monkey</v>
      </c>
    </row>
    <row r="1421">
      <c r="A1421" s="1">
        <v>3.0</v>
      </c>
      <c r="B1421" s="1" t="s">
        <v>1421</v>
      </c>
      <c r="C1421" t="str">
        <f>IFERROR(__xludf.DUMMYFUNCTION("GOOGLETRANSLATE(B1421, ""zh"", ""en"")"),"Too much height 165, weight 110, t-shirts too!")</f>
        <v>Too much height 165, weight 110, t-shirts too!</v>
      </c>
    </row>
    <row r="1422">
      <c r="A1422" s="1">
        <v>1.0</v>
      </c>
      <c r="B1422" s="1" t="s">
        <v>1422</v>
      </c>
      <c r="C1422" t="str">
        <f>IFERROR(__xludf.DUMMYFUNCTION("GOOGLETRANSLATE(B1422, ""zh"", ""en"")"),"Received is bad plugged nothing happens, can not boot, do not know the machine problems or power problems")</f>
        <v>Received is bad plugged nothing happens, can not boot, do not know the machine problems or power problems</v>
      </c>
    </row>
    <row r="1423">
      <c r="A1423" s="1">
        <v>1.0</v>
      </c>
      <c r="B1423" s="1" t="s">
        <v>1423</v>
      </c>
      <c r="C1423" t="str">
        <f>IFERROR(__xludf.DUMMYFUNCTION("GOOGLETRANSLATE(B1423, ""zh"", ""en"")"),"Maidaojiahuo feeling than in the US Amazon, the feeling is false, coming out of the water did not feel completely filtered feeling. Very sorry.")</f>
        <v>Maidaojiahuo feeling than in the US Amazon, the feeling is false, coming out of the water did not feel completely filtered feeling. Very sorry.</v>
      </c>
    </row>
    <row r="1424">
      <c r="A1424" s="1">
        <v>1.0</v>
      </c>
      <c r="B1424" s="1" t="s">
        <v>1424</v>
      </c>
      <c r="C1424" t="str">
        <f>IFERROR(__xludf.DUMMYFUNCTION("GOOGLETRANSLATE(B1424, ""zh"", ""en"")"),"Poor quality junk clothes once it is broken")</f>
        <v>Poor quality junk clothes once it is broken</v>
      </c>
    </row>
    <row r="1425">
      <c r="A1425" s="1">
        <v>4.0</v>
      </c>
      <c r="B1425" s="1" t="s">
        <v>1425</v>
      </c>
      <c r="C1425" t="str">
        <f>IFERROR(__xludf.DUMMYFUNCTION("GOOGLETRANSLATE(B1425, ""zh"", ""en"")"),"Comments not use, store the first. Look forward to the effect it")</f>
        <v>Comments not use, store the first. Look forward to the effect it</v>
      </c>
    </row>
    <row r="1426">
      <c r="A1426" s="1">
        <v>4.0</v>
      </c>
      <c r="B1426" s="1" t="s">
        <v>1426</v>
      </c>
      <c r="C1426" t="str">
        <f>IFERROR(__xludf.DUMMYFUNCTION("GOOGLETRANSLATE(B1426, ""zh"", ""en"")"),"Reevaluation measuring the insulation performance! Have not used, it is from Thailand, and then to do so on with the review!")</f>
        <v>Reevaluation measuring the insulation performance! Have not used, it is from Thailand, and then to do so on with the review!</v>
      </c>
    </row>
    <row r="1427">
      <c r="A1427" s="1">
        <v>4.0</v>
      </c>
      <c r="B1427" s="1" t="s">
        <v>1427</v>
      </c>
      <c r="C1427" t="str">
        <f>IFERROR(__xludf.DUMMYFUNCTION("GOOGLETRANSLATE(B1427, ""zh"", ""en"")"),"Very good very good effect, and so I do not want to run out and buy a look")</f>
        <v>Very good very good effect, and so I do not want to run out and buy a look</v>
      </c>
    </row>
    <row r="1428">
      <c r="A1428" s="1">
        <v>4.0</v>
      </c>
      <c r="B1428" s="1" t="s">
        <v>1428</v>
      </c>
      <c r="C1428" t="str">
        <f>IFERROR(__xludf.DUMMYFUNCTION("GOOGLETRANSLATE(B1428, ""zh"", ""en"")"),"Amazon China's clothing is best to use Chinese materials marked 170cm80kg, clothes bust 125, waist circumference 122, M number of suitable, inside a shirt a sweater, intelligent recommendation large, do not fly. Relatively thick clothes, these days there "&amp;"is no problem about zero. Work in general, thread a little bit more; price is very favorable, produced in China, shipped all the way to the United States and then shipped back taxes and also a lot cheaper than domestic.")</f>
        <v>Amazon China's clothing is best to use Chinese materials marked 170cm80kg, clothes bust 125, waist circumference 122, M number of suitable, inside a shirt a sweater, intelligent recommendation large, do not fly. Relatively thick clothes, these days there is no problem about zero. Work in general, thread a little bit more; price is very favorable, produced in China, shipped all the way to the United States and then shipped back taxes and also a lot cheaper than domestic.</v>
      </c>
    </row>
    <row r="1429">
      <c r="A1429" s="1">
        <v>4.0</v>
      </c>
      <c r="B1429" s="1" t="s">
        <v>1429</v>
      </c>
      <c r="C1429" t="str">
        <f>IFERROR(__xludf.DUMMYFUNCTION("GOOGLETRANSLATE(B1429, ""zh"", ""en"")"),"Relatively thin clothes, clothes in general are generally relatively thin, suitable for summer, the overall general.")</f>
        <v>Relatively thin clothes, clothes in general are generally relatively thin, suitable for summer, the overall general.</v>
      </c>
    </row>
    <row r="1430">
      <c r="A1430" s="1">
        <v>5.0</v>
      </c>
      <c r="B1430" s="1" t="s">
        <v>1430</v>
      </c>
      <c r="C1430" t="str">
        <f>IFERROR(__xludf.DUMMYFUNCTION("GOOGLETRANSLATE(B1430, ""zh"", ""en"")"),"10 days good to wear shoes, walking super lightweight, good fabric, unlike ordinary breathable shoe so thin, pure black shoes, shirts bought clothes and trousers take up a good foot feeling, normal wear 40 yards sports shoes, 7D (M) US wear foot feeling t"&amp;"ight, but acceptable, very pleasant first overseas purchase!")</f>
        <v>10 days good to wear shoes, walking super lightweight, good fabric, unlike ordinary breathable shoe so thin, pure black shoes, shirts bought clothes and trousers take up a good foot feeling, normal wear 40 yards sports shoes, 7D (M) US wear foot feeling tight, but acceptable, very pleasant first overseas purchase!</v>
      </c>
    </row>
    <row r="1431">
      <c r="A1431" s="1">
        <v>5.0</v>
      </c>
      <c r="B1431" s="1" t="s">
        <v>1431</v>
      </c>
      <c r="C1431" t="str">
        <f>IFERROR(__xludf.DUMMYFUNCTION("GOOGLETRANSLATE(B1431, ""zh"", ""en"")"),"It is the normal code to buy overseas, do not buy the freshman code. Cotton, you can buy a small one yard, because washed 2 times on the big! Prices here, do not expect too much of the shirt! Look at the reviews buy L, fit new, washed 2 times becomes larg"&amp;"e, the material is too general it! 183,70 wear M code on it!")</f>
        <v>It is the normal code to buy overseas, do not buy the freshman code. Cotton, you can buy a small one yard, because washed 2 times on the big! Prices here, do not expect too much of the shirt! Look at the reviews buy L, fit new, washed 2 times becomes large, the material is too general it! 183,70 wear M code on it!</v>
      </c>
    </row>
    <row r="1432">
      <c r="A1432" s="1">
        <v>5.0</v>
      </c>
      <c r="B1432" s="1" t="s">
        <v>1432</v>
      </c>
      <c r="C1432" t="str">
        <f>IFERROR(__xludf.DUMMYFUNCTION("GOOGLETRANSLATE(B1432, ""zh"", ""en"")"),"Doing or doing a lot cheaper than domestic or a lot cheaper than domestic")</f>
        <v>Doing or doing a lot cheaper than domestic or a lot cheaper than domestic</v>
      </c>
    </row>
    <row r="1433">
      <c r="A1433" s="1">
        <v>5.0</v>
      </c>
      <c r="B1433" s="1" t="s">
        <v>1433</v>
      </c>
      <c r="C1433" t="str">
        <f>IFERROR(__xludf.DUMMYFUNCTION("GOOGLETRANSLATE(B1433, ""zh"", ""en"")"),"Wife: Why you buy 8? ! Eight from the sale, but altogether more than thirty dollars, the price of conscience")</f>
        <v>Wife: Why you buy 8? ! Eight from the sale, but altogether more than thirty dollars, the price of conscience</v>
      </c>
    </row>
    <row r="1434">
      <c r="A1434" s="1">
        <v>5.0</v>
      </c>
      <c r="B1434" s="1" t="s">
        <v>1434</v>
      </c>
      <c r="C1434" t="str">
        <f>IFERROR(__xludf.DUMMYFUNCTION("GOOGLETRANSLATE(B1434, ""zh"", ""en"")"),"Excellent stuff, good quality and excellent stuff, good quality, very beautiful")</f>
        <v>Excellent stuff, good quality and excellent stuff, good quality, very beautiful</v>
      </c>
    </row>
    <row r="1435">
      <c r="A1435" s="1">
        <v>5.0</v>
      </c>
      <c r="B1435" s="1" t="s">
        <v>1435</v>
      </c>
      <c r="C1435" t="str">
        <f>IFERROR(__xludf.DUMMYFUNCTION("GOOGLETRANSLATE(B1435, ""zh"", ""en"")"),"Suitable buy this dress is the value of the thickness of the size is very appropriate quality can also be")</f>
        <v>Suitable buy this dress is the value of the thickness of the size is very appropriate quality can also be</v>
      </c>
    </row>
    <row r="1436">
      <c r="A1436" s="1">
        <v>5.0</v>
      </c>
      <c r="B1436" s="1" t="s">
        <v>1436</v>
      </c>
      <c r="C1436" t="str">
        <f>IFERROR(__xludf.DUMMYFUNCTION("GOOGLETRANSLATE(B1436, ""zh"", ""en"")"),"I bought a lot of cool mug cup, favorite only. good looking! Insulation effect Ye Hao. Inside seems to be coated. Morning for the children to bring a pot of warm water. Direct drink. One day enough pot")</f>
        <v>I bought a lot of cool mug cup, favorite only. good looking! Insulation effect Ye Hao. Inside seems to be coated. Morning for the children to bring a pot of warm water. Direct drink. One day enough pot</v>
      </c>
    </row>
    <row r="1437">
      <c r="A1437" s="1">
        <v>5.0</v>
      </c>
      <c r="B1437" s="1" t="s">
        <v>1437</v>
      </c>
      <c r="C1437" t="str">
        <f>IFERROR(__xludf.DUMMYFUNCTION("GOOGLETRANSLATE(B1437, ""zh"", ""en"")"),"Also you need to prepare four British standard triangular valve faucet is too large, a small basin careful. You need to purchase another British standard triangle valve 4 can install")</f>
        <v>Also you need to prepare four British standard triangular valve faucet is too large, a small basin careful. You need to purchase another British standard triangle valve 4 can install</v>
      </c>
    </row>
    <row r="1438">
      <c r="A1438" s="1">
        <v>5.0</v>
      </c>
      <c r="B1438" s="1" t="s">
        <v>1438</v>
      </c>
      <c r="C1438" t="str">
        <f>IFERROR(__xludf.DUMMYFUNCTION("GOOGLETRANSLATE(B1438, ""zh"", ""en"")"),"A Mirau &lt;div id = ""video-block-RFXYMKF242YWF"" class = ""a-section a-spacing-small a-spacing-top-mini video-block""&gt; &lt;/ div&gt; &lt;input type = ""hidden"" name = """" value = ""https://images-cn.ssl-images-amazon.com/images/I/B1V-rIa0yRS.mp4"" class = ""video"&amp;"-url""&gt; &lt;input type = ""hidden"" name = """" value = ""https://images-cn.ssl-images-amazon.com/images/I/91ChDEs0qgS.png"" class = ""video-slate-img-url""&gt; &amp; nbsp; this table with a Mirau Pegasus is the movement of the NH35, NH35 equal to Japan's Seiko mov"&amp;"ement, there is a stop seconds function, but my bad luck, my 24 hours this error 20-30 seconds, unlike others on the error a few seconds. Cost pricey, more than four start, good workmanship, style is very similar to the Water Monster, one meter looking ve"&amp;"ry bluffing, through a low dive table design in very rare, diameter of 40mm thickness suitable for a variety of wrist , not too small, no good style.")</f>
        <v>A Mirau &lt;div id = "video-block-RFXYMKF242YWF" class = "a-section a-spacing-small a-spacing-top-mini video-block"&gt; &lt;/ div&gt; &lt;input type = "hidden" name = "" value = "https://images-cn.ssl-images-amazon.com/images/I/B1V-rIa0yRS.mp4" class = "video-url"&gt; &lt;input type = "hidden" name = "" value = "https://images-cn.ssl-images-amazon.com/images/I/91ChDEs0qgS.png" class = "video-slate-img-url"&gt; &amp; nbsp; this table with a Mirau Pegasus is the movement of the NH35, NH35 equal to Japan's Seiko movement, there is a stop seconds function, but my bad luck, my 24 hours this error 20-30 seconds, unlike others on the error a few seconds. Cost pricey, more than four start, good workmanship, style is very similar to the Water Monster, one meter looking very bluffing, through a low dive table design in very rare, diameter of 40mm thickness suitable for a variety of wrist , not too small, no good style.</v>
      </c>
    </row>
    <row r="1439">
      <c r="A1439" s="1">
        <v>5.0</v>
      </c>
      <c r="B1439" s="1" t="s">
        <v>1439</v>
      </c>
      <c r="C1439" t="str">
        <f>IFERROR(__xludf.DUMMYFUNCTION("GOOGLETRANSLATE(B1439, ""zh"", ""en"")"),"Although there is no good to buy a double, but this comfortable, very good. Spring and autumn wear.")</f>
        <v>Although there is no good to buy a double, but this comfortable, very good. Spring and autumn wear.</v>
      </c>
    </row>
    <row r="1440">
      <c r="A1440" s="1">
        <v>5.0</v>
      </c>
      <c r="B1440" s="1" t="s">
        <v>1440</v>
      </c>
      <c r="C1440" t="str">
        <f>IFERROR(__xludf.DUMMYFUNCTION("GOOGLETRANSLATE(B1440, ""zh"", ""en"")"),"Casio Germany sent me, very good quality, the price is much cheaper")</f>
        <v>Casio Germany sent me, very good quality, the price is much cheaper</v>
      </c>
    </row>
    <row r="1441">
      <c r="A1441" s="1">
        <v>5.0</v>
      </c>
      <c r="B1441" s="1" t="s">
        <v>1441</v>
      </c>
      <c r="C1441" t="str">
        <f>IFERROR(__xludf.DUMMYFUNCTION("GOOGLETRANSLATE(B1441, ""zh"", ""en"")"),"Commodity good pretty good but just not quite up operation will")</f>
        <v>Commodity good pretty good but just not quite up operation will</v>
      </c>
    </row>
    <row r="1442">
      <c r="A1442" s="1">
        <v>5.0</v>
      </c>
      <c r="B1442" s="1" t="s">
        <v>1442</v>
      </c>
      <c r="C1442" t="str">
        <f>IFERROR(__xludf.DUMMYFUNCTION("GOOGLETRANSLATE(B1442, ""zh"", ""en"")"),"Looks good, Ye Hao experience with the purchase after climbing to Nepal, use down pretty good experience. It is overpaid")</f>
        <v>Looks good, Ye Hao experience with the purchase after climbing to Nepal, use down pretty good experience. It is overpaid</v>
      </c>
    </row>
    <row r="1443">
      <c r="A1443" s="1">
        <v>5.0</v>
      </c>
      <c r="B1443" s="1" t="s">
        <v>1443</v>
      </c>
      <c r="C1443" t="str">
        <f>IFERROR(__xludf.DUMMYFUNCTION("GOOGLETRANSLATE(B1443, ""zh"", ""en"")"),"Receiving evaluation quite seriously damaged packaging to give as gifts, a little embarrassed. Ink is very good. love it")</f>
        <v>Receiving evaluation quite seriously damaged packaging to give as gifts, a little embarrassed. Ink is very good. love it</v>
      </c>
    </row>
    <row r="1444">
      <c r="A1444" s="1">
        <v>5.0</v>
      </c>
      <c r="B1444" s="1" t="s">
        <v>1444</v>
      </c>
      <c r="C1444" t="str">
        <f>IFERROR(__xludf.DUMMYFUNCTION("GOOGLETRANSLATE(B1444, ""zh"", ""en"")"),"Harry lost quite texture, height getting bigger, hanging where all good-looking!")</f>
        <v>Harry lost quite texture, height getting bigger, hanging where all good-looking!</v>
      </c>
    </row>
    <row r="1445">
      <c r="A1445" s="1">
        <v>5.0</v>
      </c>
      <c r="B1445" s="1" t="s">
        <v>1445</v>
      </c>
      <c r="C1445" t="str">
        <f>IFERROR(__xludf.DUMMYFUNCTION("GOOGLETRANSLATE(B1445, ""zh"", ""en"")"),"Good quality, comfortable feel. Very good quality, design, tailoring is also good.")</f>
        <v>Good quality, comfortable feel. Very good quality, design, tailoring is also good.</v>
      </c>
    </row>
    <row r="1446">
      <c r="A1446" s="1">
        <v>5.0</v>
      </c>
      <c r="B1446" s="1" t="s">
        <v>1446</v>
      </c>
      <c r="C1446" t="str">
        <f>IFERROR(__xludf.DUMMYFUNCTION("GOOGLETRANSLATE(B1446, ""zh"", ""en"")"),"Lead is a soft, overlapping color are particularly good. The best choice for painting portraits, lead very soft, overlapping color are particularly good. High price color of lead")</f>
        <v>Lead is a soft, overlapping color are particularly good. The best choice for painting portraits, lead very soft, overlapping color are particularly good. High price color of lead</v>
      </c>
    </row>
    <row r="1447">
      <c r="A1447" s="1">
        <v>5.0</v>
      </c>
      <c r="B1447" s="1" t="s">
        <v>1447</v>
      </c>
      <c r="C1447" t="str">
        <f>IFERROR(__xludf.DUMMYFUNCTION("GOOGLETRANSLATE(B1447, ""zh"", ""en"")"),"Good cleaning robot is very good, very hard-working, punctual cleaned every day, cleaning can be considered simple. That is, I do not know how to see the map")</f>
        <v>Good cleaning robot is very good, very hard-working, punctual cleaned every day, cleaning can be considered simple. That is, I do not know how to see the map</v>
      </c>
    </row>
    <row r="1448">
      <c r="A1448" s="1">
        <v>5.0</v>
      </c>
      <c r="B1448" s="1" t="s">
        <v>1448</v>
      </c>
      <c r="C1448" t="str">
        <f>IFERROR(__xludf.DUMMYFUNCTION("GOOGLETRANSLATE(B1448, ""zh"", ""en"")"),"Code value to buy s, 166 / 66kg")</f>
        <v>Code value to buy s, 166 / 66kg</v>
      </c>
    </row>
    <row r="1449">
      <c r="A1449" s="1">
        <v>5.0</v>
      </c>
      <c r="B1449" s="1" t="s">
        <v>1449</v>
      </c>
      <c r="C1449" t="str">
        <f>IFERROR(__xludf.DUMMYFUNCTION("GOOGLETRANSLATE(B1449, ""zh"", ""en"")"),"Convenient, easy to use red teeth. Portable models more convenient, if the home is the proposed purchase of Home Edition, do not add water rinse once, you need to install portable water several times, but still like, always wanted to buy his family have b"&amp;"een waiting for a good price than before.")</f>
        <v>Convenient, easy to use red teeth. Portable models more convenient, if the home is the proposed purchase of Home Edition, do not add water rinse once, you need to install portable water several times, but still like, always wanted to buy his family have been waiting for a good price than before.</v>
      </c>
    </row>
    <row r="1450">
      <c r="A1450" s="1">
        <v>5.0</v>
      </c>
      <c r="B1450" s="1" t="s">
        <v>1450</v>
      </c>
      <c r="C1450" t="str">
        <f>IFERROR(__xludf.DUMMYFUNCTION("GOOGLETRANSLATE(B1450, ""zh"", ""en"")"),"Recommend to the mother to buy, she likes")</f>
        <v>Recommend to the mother to buy, she likes</v>
      </c>
    </row>
    <row r="1451">
      <c r="A1451" s="1">
        <v>5.0</v>
      </c>
      <c r="B1451" s="1" t="s">
        <v>1451</v>
      </c>
      <c r="C1451" t="str">
        <f>IFERROR(__xludf.DUMMYFUNCTION("GOOGLETRANSLATE(B1451, ""zh"", ""en"")"),"Baseball cap hat good quality, workmanship is very good, a bit shallow, slightly smaller, darker wearing more type.")</f>
        <v>Baseball cap hat good quality, workmanship is very good, a bit shallow, slightly smaller, darker wearing more type.</v>
      </c>
    </row>
    <row r="1452">
      <c r="A1452" s="1">
        <v>2.0</v>
      </c>
      <c r="B1452" s="1" t="s">
        <v>1452</v>
      </c>
      <c r="C1452" t="str">
        <f>IFERROR(__xludf.DUMMYFUNCTION("GOOGLETRANSLATE(B1452, ""zh"", ""en"")"),"Size too big too")</f>
        <v>Size too big too</v>
      </c>
    </row>
    <row r="1453">
      <c r="A1453" s="1">
        <v>3.0</v>
      </c>
      <c r="B1453" s="1" t="s">
        <v>1453</v>
      </c>
      <c r="C1453" t="str">
        <f>IFERROR(__xludf.DUMMYFUNCTION("GOOGLETRANSLATE(B1453, ""zh"", ""en"")"),"Big movement, a vacuum will stop on their own do not know why the process of leaking use.")</f>
        <v>Big movement, a vacuum will stop on their own do not know why the process of leaking use.</v>
      </c>
    </row>
    <row r="1454">
      <c r="A1454" s="1">
        <v>3.0</v>
      </c>
      <c r="B1454" s="1" t="s">
        <v>1454</v>
      </c>
      <c r="C1454" t="str">
        <f>IFERROR(__xludf.DUMMYFUNCTION("GOOGLETRANSLATE(B1454, ""zh"", ""en"")"),"I 172CM 95KG XL clothes a little too large rather long and usually no matter tooling wear shirts or sportswear XL I just 172CM 95KG XL clothes are a bit biased clothing and body fat rather long sleeves Shoulder Length is just overseas just to buy a replac"&amp;"ement can not only return return refundable tax loss also does not pay the freight")</f>
        <v>I 172CM 95KG XL clothes a little too large rather long and usually no matter tooling wear shirts or sportswear XL I just 172CM 95KG XL clothes are a bit biased clothing and body fat rather long sleeves Shoulder Length is just overseas just to buy a replacement can not only return return refundable tax loss also does not pay the freight</v>
      </c>
    </row>
    <row r="1455">
      <c r="A1455" s="1">
        <v>3.0</v>
      </c>
      <c r="B1455" s="1" t="s">
        <v>1455</v>
      </c>
      <c r="C1455" t="str">
        <f>IFERROR(__xludf.DUMMYFUNCTION("GOOGLETRANSLATE(B1455, ""zh"", ""en"")"),"Champion t-shirt female models said to be black, in fact, is not, is gray, there is color, and pictures describe inconsistencies")</f>
        <v>Champion t-shirt female models said to be black, in fact, is not, is gray, there is color, and pictures describe inconsistencies</v>
      </c>
    </row>
    <row r="1456">
      <c r="A1456" s="1">
        <v>1.0</v>
      </c>
      <c r="B1456" s="1" t="s">
        <v>1456</v>
      </c>
      <c r="C1456" t="str">
        <f>IFERROR(__xludf.DUMMYFUNCTION("GOOGLETRANSLATE(B1456, ""zh"", ""en"")"),"Amazon shopping shortly before the first-time buyers need to be cautious in the Amazon a ""LEE"" ""Lee Men PANTS pair of black trousers 40W x 34L"" lack of understanding of standard size, the other choice given the size and national standards are too dive"&amp;"rse to receive the goods long after the discovery of fertilizer, size and presentation serious discrepancies, call returned, and they knew only retreat does not change, but the freight need 120 yuan, equivalent to 50% of the value of the goods, it is not "&amp;"acceptable.")</f>
        <v>Amazon shopping shortly before the first-time buyers need to be cautious in the Amazon a "LEE" "Lee Men PANTS pair of black trousers 40W x 34L" lack of understanding of standard size, the other choice given the size and national standards are too diverse to receive the goods long after the discovery of fertilizer, size and presentation serious discrepancies, call returned, and they knew only retreat does not change, but the freight need 120 yuan, equivalent to 50% of the value of the goods, it is not acceptable.</v>
      </c>
    </row>
    <row r="1457">
      <c r="A1457" s="1">
        <v>1.0</v>
      </c>
      <c r="B1457" s="1" t="s">
        <v>1457</v>
      </c>
      <c r="C1457" t="str">
        <f>IFERROR(__xludf.DUMMYFUNCTION("GOOGLETRANSLATE(B1457, ""zh"", ""en"")"),"Size too big clothes price is indeed very affordable, but the size is too exaggerated, at least more than the difference between domestic and two yards. If the country is normal wear big yards, then you have to buy their little code")</f>
        <v>Size too big clothes price is indeed very affordable, but the size is too exaggerated, at least more than the difference between domestic and two yards. If the country is normal wear big yards, then you have to buy their little code</v>
      </c>
    </row>
    <row r="1458">
      <c r="A1458" s="1">
        <v>1.0</v>
      </c>
      <c r="B1458" s="1" t="s">
        <v>1458</v>
      </c>
      <c r="C1458" t="str">
        <f>IFERROR(__xludf.DUMMYFUNCTION("GOOGLETRANSLATE(B1458, ""zh"", ""en"")"),"so so. A lie is too large. The fabric is not the same with photos. Not worth! Prices are subject to change? When I bought 350, now 318? Big loss!")</f>
        <v>so so. A lie is too large. The fabric is not the same with photos. Not worth! Prices are subject to change? When I bought 350, now 318? Big loss!</v>
      </c>
    </row>
    <row r="1459">
      <c r="A1459" s="1">
        <v>4.0</v>
      </c>
      <c r="B1459" s="1" t="s">
        <v>1459</v>
      </c>
      <c r="C1459" t="str">
        <f>IFERROR(__xludf.DUMMYFUNCTION("GOOGLETRANSLATE(B1459, ""zh"", ""en"")"),"Well just get our hands on the appearance of a little disappointed, but you still acceptable. And it has spent more than a year, I feel pretty good, also go quite accurate, no big problem. Strap is very light, as if did not take the same. Only recently br"&amp;"oken strap, convenient to carry it out.")</f>
        <v>Well just get our hands on the appearance of a little disappointed, but you still acceptable. And it has spent more than a year, I feel pretty good, also go quite accurate, no big problem. Strap is very light, as if did not take the same. Only recently broken strap, convenient to carry it out.</v>
      </c>
    </row>
    <row r="1460">
      <c r="A1460" s="1">
        <v>4.0</v>
      </c>
      <c r="B1460" s="1" t="s">
        <v>1460</v>
      </c>
      <c r="C1460" t="str">
        <f>IFERROR(__xludf.DUMMYFUNCTION("GOOGLETRANSLATE(B1460, ""zh"", ""en"")"),"At least have to buy a smaller size, 166mm, 92 pounds. You have to buy a trumpet ankle! You should buy XS. Small staircase time will drag on the ground. Electrostatic clothes terrible! At least have to buy a smaller size, 166mm, 92 pounds. You have to buy"&amp;" a trumpet ankle! You should buy XS. Small staircase time will drag on the ground. Electrostatic clothes terrible!")</f>
        <v>At least have to buy a smaller size, 166mm, 92 pounds. You have to buy a trumpet ankle! You should buy XS. Small staircase time will drag on the ground. Electrostatic clothes terrible! At least have to buy a smaller size, 166mm, 92 pounds. You have to buy a trumpet ankle! You should buy XS. Small staircase time will drag on the ground. Electrostatic clothes terrible!</v>
      </c>
    </row>
    <row r="1461">
      <c r="A1461" s="1">
        <v>4.0</v>
      </c>
      <c r="B1461" s="1" t="s">
        <v>1461</v>
      </c>
      <c r="C1461" t="str">
        <f>IFERROR(__xludf.DUMMYFUNCTION("GOOGLETRANSLATE(B1461, ""zh"", ""en"")"),"Wear comfortable, quality can still waited about ten days, and finally hand headphones, listen to it, I feel more suitable for pure listening to music, especially good individual instrumental performance, popular law-abiding nothing special brisk performa"&amp;"nce, and other heavy rock bass performance is somewhat unsatisfactory. I fear the headset is relatively small ears uncomfortable, but this headset very comfortable to wear, after a time there is no uncomfortable place.")</f>
        <v>Wear comfortable, quality can still waited about ten days, and finally hand headphones, listen to it, I feel more suitable for pure listening to music, especially good individual instrumental performance, popular law-abiding nothing special brisk performance, and other heavy rock bass performance is somewhat unsatisfactory. I fear the headset is relatively small ears uncomfortable, but this headset very comfortable to wear, after a time there is no uncomfortable place.</v>
      </c>
    </row>
    <row r="1462">
      <c r="A1462" s="1">
        <v>4.0</v>
      </c>
      <c r="B1462" s="1" t="s">
        <v>1462</v>
      </c>
      <c r="C1462" t="str">
        <f>IFERROR(__xludf.DUMMYFUNCTION("GOOGLETRANSLATE(B1462, ""zh"", ""en"")"),"A little bit small quality is also good, very comfortable to wear, that is a little bit small, very appropriate code freshman, but only four are more than two values.")</f>
        <v>A little bit small quality is also good, very comfortable to wear, that is a little bit small, very appropriate code freshman, but only four are more than two values.</v>
      </c>
    </row>
    <row r="1463">
      <c r="A1463" s="1">
        <v>4.0</v>
      </c>
      <c r="B1463" s="1" t="s">
        <v>1463</v>
      </c>
      <c r="C1463" t="str">
        <f>IFERROR(__xludf.DUMMYFUNCTION("GOOGLETRANSLATE(B1463, ""zh"", ""en"")"),"And domestic buying W34L32 than it really is too large and domestic buying W34L32 than it really is too large, should buy a smaller size, but the price is considered a more favorable")</f>
        <v>And domestic buying W34L32 than it really is too large and domestic buying W34L32 than it really is too large, should buy a smaller size, but the price is considered a more favorable</v>
      </c>
    </row>
    <row r="1464">
      <c r="A1464" s="1">
        <v>5.0</v>
      </c>
      <c r="B1464" s="1" t="s">
        <v>1464</v>
      </c>
      <c r="C1464" t="str">
        <f>IFERROR(__xludf.DUMMYFUNCTION("GOOGLETRANSLATE(B1464, ""zh"", ""en"")"),"The cup is very satisfied mug insulation, water can generally holding at least one to two days in warm water can also heat the day! Lightweight and convenient one-hand operable! The cup is light to carry out well, the capacity can be!")</f>
        <v>The cup is very satisfied mug insulation, water can generally holding at least one to two days in warm water can also heat the day! Lightweight and convenient one-hand operable! The cup is light to carry out well, the capacity can be!</v>
      </c>
    </row>
    <row r="1465">
      <c r="A1465" s="1">
        <v>5.0</v>
      </c>
      <c r="B1465" s="1" t="s">
        <v>1465</v>
      </c>
      <c r="C1465" t="str">
        <f>IFERROR(__xludf.DUMMYFUNCTION("GOOGLETRANSLATE(B1465, ""zh"", ""en"")"),"Love the color is perfect, the insulation effect can, in short, very fond of")</f>
        <v>Love the color is perfect, the insulation effect can, in short, very fond of</v>
      </c>
    </row>
    <row r="1466">
      <c r="A1466" s="1">
        <v>5.0</v>
      </c>
      <c r="B1466" s="1" t="s">
        <v>1466</v>
      </c>
      <c r="C1466" t="str">
        <f>IFERROR(__xludf.DUMMYFUNCTION("GOOGLETRANSLATE(B1466, ""zh"", ""en"")"),"Folded into a package does not know how hot weather, not to wear.")</f>
        <v>Folded into a package does not know how hot weather, not to wear.</v>
      </c>
    </row>
    <row r="1467">
      <c r="A1467" s="1">
        <v>5.0</v>
      </c>
      <c r="B1467" s="1" t="s">
        <v>1467</v>
      </c>
      <c r="C1467" t="str">
        <f>IFERROR(__xludf.DUMMYFUNCTION("GOOGLETRANSLATE(B1467, ""zh"", ""en"")"),"Quite appropriate. Second time to buy this model. Quite appropriate.")</f>
        <v>Quite appropriate. Second time to buy this model. Quite appropriate.</v>
      </c>
    </row>
    <row r="1468">
      <c r="A1468" s="1">
        <v>5.0</v>
      </c>
      <c r="B1468" s="1" t="s">
        <v>1468</v>
      </c>
      <c r="C1468" t="str">
        <f>IFERROR(__xludf.DUMMYFUNCTION("GOOGLETRANSLATE(B1468, ""zh"", ""en"")"),"Cortex is very good very good, no smell, very family like.")</f>
        <v>Cortex is very good very good, no smell, very family like.</v>
      </c>
    </row>
    <row r="1469">
      <c r="A1469" s="1">
        <v>5.0</v>
      </c>
      <c r="B1469" s="1" t="s">
        <v>1469</v>
      </c>
      <c r="C1469" t="str">
        <f>IFERROR(__xludf.DUMMYFUNCTION("GOOGLETRANSLATE(B1469, ""zh"", ""en"")"),"Good very good, there's still a possible bomb jj out design, produce of Kenya.")</f>
        <v>Good very good, there's still a possible bomb jj out design, produce of Kenya.</v>
      </c>
    </row>
    <row r="1470">
      <c r="A1470" s="1">
        <v>5.0</v>
      </c>
      <c r="B1470" s="1" t="s">
        <v>423</v>
      </c>
      <c r="C1470" t="str">
        <f>IFERROR(__xludf.DUMMYFUNCTION("GOOGLETRANSLATE(B1470, ""zh"", ""en"")"),"Very good quality, value for money. Very good quality, value for money.")</f>
        <v>Very good quality, value for money. Very good quality, value for money.</v>
      </c>
    </row>
    <row r="1471">
      <c r="A1471" s="1">
        <v>5.0</v>
      </c>
      <c r="B1471" s="1" t="s">
        <v>1470</v>
      </c>
      <c r="C1471" t="str">
        <f>IFERROR(__xludf.DUMMYFUNCTION("GOOGLETRANSLATE(B1471, ""zh"", ""en"")"),"Affordable looked just fine, mainly affordable ah")</f>
        <v>Affordable looked just fine, mainly affordable ah</v>
      </c>
    </row>
    <row r="1472">
      <c r="A1472" s="1">
        <v>5.0</v>
      </c>
      <c r="B1472" s="1" t="s">
        <v>1471</v>
      </c>
      <c r="C1472" t="str">
        <f>IFERROR(__xludf.DUMMYFUNCTION("GOOGLETRANSLATE(B1472, ""zh"", ""en"")"),"The original Chinese manufacturing pot is very beautiful, high-capacity, filled with water capacity scale has three choices. Goods to try a little, boil water quickly, satisfied. Timely logistics, good packaging, the price is expensive.")</f>
        <v>The original Chinese manufacturing pot is very beautiful, high-capacity, filled with water capacity scale has three choices. Goods to try a little, boil water quickly, satisfied. Timely logistics, good packaging, the price is expensive.</v>
      </c>
    </row>
    <row r="1473">
      <c r="A1473" s="1">
        <v>5.0</v>
      </c>
      <c r="B1473" s="1" t="s">
        <v>1472</v>
      </c>
      <c r="C1473" t="str">
        <f>IFERROR(__xludf.DUMMYFUNCTION("GOOGLETRANSLATE(B1473, ""zh"", ""en"")"),"Partial monitor tri-band uniform, listen to piano music, then count started. Sound quality is good, aural sound better, a little small ear ear, headphones direct boxes are delivered without extra protection, extremely simple. Teeth white water, uniform ty"&amp;"pe, not particularly outstanding. Listen to folk flavor is not likely to be pulled into the bass; Chungang melodies IF clarity, but there are low-frequency feedback is not obvious; rock can clearly distinguish instruments not mix, in short, the full amoun"&amp;"t of information; electronic music are too strong not heard, listen to folk grinding rock guitar plucked melody, electric guitars and bass reduction degree good ding. The above are more than a month listening to the feelings of non-metaphysical people for"&amp;" reference only.")</f>
        <v>Partial monitor tri-band uniform, listen to piano music, then count started. Sound quality is good, aural sound better, a little small ear ear, headphones direct boxes are delivered without extra protection, extremely simple. Teeth white water, uniform type, not particularly outstanding. Listen to folk flavor is not likely to be pulled into the bass; Chungang melodies IF clarity, but there are low-frequency feedback is not obvious; rock can clearly distinguish instruments not mix, in short, the full amount of information; electronic music are too strong not heard, listen to folk grinding rock guitar plucked melody, electric guitars and bass reduction degree good ding. The above are more than a month listening to the feelings of non-metaphysical people for reference only.</v>
      </c>
    </row>
    <row r="1474">
      <c r="A1474" s="1">
        <v>5.0</v>
      </c>
      <c r="B1474" s="1" t="s">
        <v>1473</v>
      </c>
      <c r="C1474" t="str">
        <f>IFERROR(__xludf.DUMMYFUNCTION("GOOGLETRANSLATE(B1474, ""zh"", ""en"")"),"Good good shoes, big number. Office recommended to buy a small yard. Nice shoes very well.")</f>
        <v>Good good shoes, big number. Office recommended to buy a small yard. Nice shoes very well.</v>
      </c>
    </row>
    <row r="1475">
      <c r="A1475" s="1">
        <v>5.0</v>
      </c>
      <c r="B1475" s="1" t="s">
        <v>1474</v>
      </c>
      <c r="C1475" t="str">
        <f>IFERROR(__xludf.DUMMYFUNCTION("GOOGLETRANSLATE(B1475, ""zh"", ""en"")"),"Very good very very good worth buying is worth buying is very good worth buying")</f>
        <v>Very good very very good worth buying is worth buying is very good worth buying</v>
      </c>
    </row>
    <row r="1476">
      <c r="A1476" s="1">
        <v>5.0</v>
      </c>
      <c r="B1476" s="1" t="s">
        <v>1475</v>
      </c>
      <c r="C1476" t="str">
        <f>IFERROR(__xludf.DUMMYFUNCTION("GOOGLETRANSLATE(B1476, ""zh"", ""en"")"),"In line with my expectations in line with my expectations. Musical taste. But with its sound is not very different brothers.")</f>
        <v>In line with my expectations in line with my expectations. Musical taste. But with its sound is not very different brothers.</v>
      </c>
    </row>
    <row r="1477">
      <c r="A1477" s="1">
        <v>5.0</v>
      </c>
      <c r="B1477" s="1" t="s">
        <v>1476</v>
      </c>
      <c r="C1477" t="str">
        <f>IFERROR(__xludf.DUMMYFUNCTION("GOOGLETRANSLATE(B1477, ""zh"", ""en"")"),"We must recommend unlimited buy-back, and then not used up for the other.")</f>
        <v>We must recommend unlimited buy-back, and then not used up for the other.</v>
      </c>
    </row>
    <row r="1478">
      <c r="A1478" s="1">
        <v>5.0</v>
      </c>
      <c r="B1478" s="1" t="s">
        <v>1477</v>
      </c>
      <c r="C1478" t="str">
        <f>IFERROR(__xludf.DUMMYFUNCTION("GOOGLETRANSLATE(B1478, ""zh"", ""en"")"),"Good running shoes good performance! The next still want to buy!")</f>
        <v>Good running shoes good performance! The next still want to buy!</v>
      </c>
    </row>
    <row r="1479">
      <c r="A1479" s="1">
        <v>5.0</v>
      </c>
      <c r="B1479" s="1" t="s">
        <v>1478</v>
      </c>
      <c r="C1479" t="str">
        <f>IFERROR(__xludf.DUMMYFUNCTION("GOOGLETRANSLATE(B1479, ""zh"", ""en"")"),"Rather long and somewhat harder fabric points")</f>
        <v>Rather long and somewhat harder fabric points</v>
      </c>
    </row>
    <row r="1480">
      <c r="A1480" s="1">
        <v>5.0</v>
      </c>
      <c r="B1480" s="1" t="s">
        <v>1479</v>
      </c>
      <c r="C1480" t="str">
        <f>IFERROR(__xludf.DUMMYFUNCTION("GOOGLETRANSLATE(B1480, ""zh"", ""en"")"),"It said these pants fit thin people, you usually do not exercise it is completely not thin, spring and autumn equipment, I 174cm.110 pounds, wearing s numbers are very, very big! ! ! ! This is indeed European and American people of size, it is recommended"&amp;" not fat people wear trumpet does not work.")</f>
        <v>It said these pants fit thin people, you usually do not exercise it is completely not thin, spring and autumn equipment, I 174cm.110 pounds, wearing s numbers are very, very big! ! ! ! This is indeed European and American people of size, it is recommended not fat people wear trumpet does not work.</v>
      </c>
    </row>
    <row r="1481">
      <c r="A1481" s="1">
        <v>5.0</v>
      </c>
      <c r="B1481" s="1" t="s">
        <v>1480</v>
      </c>
      <c r="C1481" t="str">
        <f>IFERROR(__xludf.DUMMYFUNCTION("GOOGLETRANSLATE(B1481, ""zh"", ""en"")"),"Tights are warm in winter should wear a pair of Sichuan enough ...... do not look too thick but very warm, and very comfortable to wear, height 172 weight 110 to buy the L is very fit.")</f>
        <v>Tights are warm in winter should wear a pair of Sichuan enough ...... do not look too thick but very warm, and very comfortable to wear, height 172 weight 110 to buy the L is very fit.</v>
      </c>
    </row>
    <row r="1482">
      <c r="A1482" s="1">
        <v>5.0</v>
      </c>
      <c r="B1482" s="1" t="s">
        <v>1481</v>
      </c>
      <c r="C1482" t="str">
        <f>IFERROR(__xludf.DUMMYFUNCTION("GOOGLETRANSLATE(B1482, ""zh"", ""en"")"),"Suitable to wear twice, feeling comfortable. Elastic cloth behind too easily loose")</f>
        <v>Suitable to wear twice, feeling comfortable. Elastic cloth behind too easily loose</v>
      </c>
    </row>
    <row r="1483">
      <c r="A1483" s="1">
        <v>5.0</v>
      </c>
      <c r="B1483" s="1" t="s">
        <v>1482</v>
      </c>
      <c r="C1483" t="str">
        <f>IFERROR(__xludf.DUMMYFUNCTION("GOOGLETRANSLATE(B1483, ""zh"", ""en"")"),"Shoes are satisfied Shoes feel light on your feet")</f>
        <v>Shoes are satisfied Shoes feel light on your feet</v>
      </c>
    </row>
    <row r="1484">
      <c r="A1484" s="1">
        <v>5.0</v>
      </c>
      <c r="B1484" s="1" t="s">
        <v>1483</v>
      </c>
      <c r="C1484" t="str">
        <f>IFERROR(__xludf.DUMMYFUNCTION("GOOGLETRANSLATE(B1484, ""zh"", ""en"")"),"Liked very value size is very standard, I usually 39 feet wide because of the high instep, bought 39.5, very appropriate oh, leather is very soft. Did not think you can wear foot wide, more excited, ha ha. Good prices, a lot of big yards welfare. Preparat"&amp;"ion of the stay for the autumn.")</f>
        <v>Liked very value size is very standard, I usually 39 feet wide because of the high instep, bought 39.5, very appropriate oh, leather is very soft. Did not think you can wear foot wide, more excited, ha ha. Good prices, a lot of big yards welfare. Preparation of the stay for the autumn.</v>
      </c>
    </row>
    <row r="1485">
      <c r="A1485" s="1">
        <v>5.0</v>
      </c>
      <c r="B1485" s="1" t="s">
        <v>1484</v>
      </c>
      <c r="C1485" t="str">
        <f>IFERROR(__xludf.DUMMYFUNCTION("GOOGLETRANSLATE(B1485, ""zh"", ""en"")"),"The price is right for everyday use it is necessary to store goods for daily use price is right it is necessary to store goods")</f>
        <v>The price is right for everyday use it is necessary to store goods for daily use price is right it is necessary to store goods</v>
      </c>
    </row>
    <row r="1486">
      <c r="A1486" s="1">
        <v>2.0</v>
      </c>
      <c r="B1486" s="1" t="s">
        <v>1485</v>
      </c>
      <c r="C1486" t="str">
        <f>IFERROR(__xludf.DUMMYFUNCTION("GOOGLETRANSLATE(B1486, ""zh"", ""en"")"),"Quality No Pilling a power wash, fluff electrification powerful, so worth it")</f>
        <v>Quality No Pilling a power wash, fluff electrification powerful, so worth it</v>
      </c>
    </row>
    <row r="1487">
      <c r="A1487" s="1">
        <v>3.0</v>
      </c>
      <c r="B1487" s="1" t="s">
        <v>1486</v>
      </c>
      <c r="C1487" t="str">
        <f>IFERROR(__xludf.DUMMYFUNCTION("GOOGLETRANSLATE(B1487, ""zh"", ""en"")"),"You can also size is too large, 178cm, 60 kg, buy m number, slightly longer, liberal bias, I guess buy s number fits, wear loose money when also improvise, sea Amoy return too much trouble. But this feeling is like a general quality cotton.")</f>
        <v>You can also size is too large, 178cm, 60 kg, buy m number, slightly longer, liberal bias, I guess buy s number fits, wear loose money when also improvise, sea Amoy return too much trouble. But this feeling is like a general quality cotton.</v>
      </c>
    </row>
    <row r="1488">
      <c r="A1488" s="1">
        <v>3.0</v>
      </c>
      <c r="B1488" s="1" t="s">
        <v>1487</v>
      </c>
      <c r="C1488" t="str">
        <f>IFERROR(__xludf.DUMMYFUNCTION("GOOGLETRANSLATE(B1488, ""zh"", ""en"")"),"Looks very nice, work like a general advantages: they received orders fifty-six days, very fast Cons: parcel outside crushed, watches work in general, the interior lights will find some dust (as shown), in checked online Casio GA-100, GA-110 of these low-"&amp;"end model is China's non-clean room assembly, many have into the gray, psychological balance. And think about the British-return and trouble, on the left. Overall, prime hand price of 505 yuan is good, than the picture looks good, very tide.")</f>
        <v>Looks very nice, work like a general advantages: they received orders fifty-six days, very fast Cons: parcel outside crushed, watches work in general, the interior lights will find some dust (as shown), in checked online Casio GA-100, GA-110 of these low-end model is China's non-clean room assembly, many have into the gray, psychological balance. And think about the British-return and trouble, on the left. Overall, prime hand price of 505 yuan is good, than the picture looks good, very tide.</v>
      </c>
    </row>
    <row r="1489">
      <c r="A1489" s="1">
        <v>3.0</v>
      </c>
      <c r="B1489" s="1" t="s">
        <v>1488</v>
      </c>
      <c r="C1489" t="str">
        <f>IFERROR(__xludf.DUMMYFUNCTION("GOOGLETRANSLATE(B1489, ""zh"", ""en"")"),"Quality general merchandise presentation too simple, simply can not tell the material, only, only to know a lot worse than the quality of the two units before buying. However, this paragraph two of the three and that price is almost, it is no wonder. This"&amp;" may be the most low-end of a CK underwear, there are requirements on the quality of care when buying")</f>
        <v>Quality general merchandise presentation too simple, simply can not tell the material, only, only to know a lot worse than the quality of the two units before buying. However, this paragraph two of the three and that price is almost, it is no wonder. This may be the most low-end of a CK underwear, there are requirements on the quality of care when buying</v>
      </c>
    </row>
    <row r="1490">
      <c r="A1490" s="1">
        <v>1.0</v>
      </c>
      <c r="B1490" s="1" t="s">
        <v>1489</v>
      </c>
      <c r="C1490" t="str">
        <f>IFERROR(__xludf.DUMMYFUNCTION("GOOGLETRANSLATE(B1490, ""zh"", ""en"")"),"Speaker distortion bought two large speakers, there will be a significant distortion.")</f>
        <v>Speaker distortion bought two large speakers, there will be a significant distortion.</v>
      </c>
    </row>
    <row r="1491">
      <c r="A1491" s="1">
        <v>1.0</v>
      </c>
      <c r="B1491" s="1" t="s">
        <v>1490</v>
      </c>
      <c r="C1491" t="str">
        <f>IFERROR(__xludf.DUMMYFUNCTION("GOOGLETRANSLATE(B1491, ""zh"", ""en"")"),"Poor quality took only two months, not the water, garbage and can not repair")</f>
        <v>Poor quality took only two months, not the water, garbage and can not repair</v>
      </c>
    </row>
    <row r="1492">
      <c r="A1492" s="1">
        <v>4.0</v>
      </c>
      <c r="B1492" s="1" t="s">
        <v>1491</v>
      </c>
      <c r="C1492" t="str">
        <f>IFERROR(__xludf.DUMMYFUNCTION("GOOGLETRANSLATE(B1492, ""zh"", ""en"")"),"After consulting okay, or buy a small, but fortunately, good customer service .......")</f>
        <v>After consulting okay, or buy a small, but fortunately, good customer service .......</v>
      </c>
    </row>
    <row r="1493">
      <c r="A1493" s="1">
        <v>4.0</v>
      </c>
      <c r="B1493" s="1" t="s">
        <v>1492</v>
      </c>
      <c r="C1493" t="str">
        <f>IFERROR(__xludf.DUMMYFUNCTION("GOOGLETRANSLATE(B1493, ""zh"", ""en"")"),"Clothes wearing clothes fit very well, washing machine no problem, that is the European version of the long sleeve")</f>
        <v>Clothes wearing clothes fit very well, washing machine no problem, that is the European version of the long sleeve</v>
      </c>
    </row>
    <row r="1494">
      <c r="A1494" s="1">
        <v>4.0</v>
      </c>
      <c r="B1494" s="1" t="s">
        <v>1493</v>
      </c>
      <c r="C1494" t="str">
        <f>IFERROR(__xludf.DUMMYFUNCTION("GOOGLETRANSLATE(B1494, ""zh"", ""en"")"),"Vietnamese general texture, partial thickness .180CM, 92KG wear L number of very suitable")</f>
        <v>Vietnamese general texture, partial thickness .180CM, 92KG wear L number of very suitable</v>
      </c>
    </row>
    <row r="1495">
      <c r="A1495" s="1">
        <v>4.0</v>
      </c>
      <c r="B1495" s="1" t="s">
        <v>1494</v>
      </c>
      <c r="C1495" t="str">
        <f>IFERROR(__xludf.DUMMYFUNCTION("GOOGLETRANSLATE(B1495, ""zh"", ""en"")"),"I 17 680 kilograms, buy W33L32, there is a margin waist length rather long, because it is tapered trousers just right, and then a small calf Bengzhuo One estimate, the sea would have needed to buy clothes Amoy recommended by others, for everyone reference"&amp;", pants a little elasticity, the material does not store well, I 17 680 kilograms, buy W33L32, there is a margin waist length rather long, because it is tapered trousers just right, and then a smaller size is estimated Bengzhuo the calf, sea ​​Amoy have t"&amp;"o buy clothes need to recommend someone else for your reference, pants a little elasticity, the material does not store well, especially trouser pocket lining, feeling like plastic sheeting, ha ha ha")</f>
        <v>I 17 680 kilograms, buy W33L32, there is a margin waist length rather long, because it is tapered trousers just right, and then a small calf Bengzhuo One estimate, the sea would have needed to buy clothes Amoy recommended by others, for everyone reference, pants a little elasticity, the material does not store well, I 17 680 kilograms, buy W33L32, there is a margin waist length rather long, because it is tapered trousers just right, and then a smaller size is estimated Bengzhuo the calf, sea ​​Amoy have to buy clothes need to recommend someone else for your reference, pants a little elasticity, the material does not store well, especially trouser pocket lining, feeling like plastic sheeting, ha ha ha</v>
      </c>
    </row>
    <row r="1496">
      <c r="A1496" s="1">
        <v>5.0</v>
      </c>
      <c r="B1496" s="1" t="s">
        <v>1495</v>
      </c>
      <c r="C1496" t="str">
        <f>IFERROR(__xludf.DUMMYFUNCTION("GOOGLETRANSLATE(B1496, ""zh"", ""en"")"),"Worth buying liked in his hand texture, very good")</f>
        <v>Worth buying liked in his hand texture, very good</v>
      </c>
    </row>
    <row r="1497">
      <c r="A1497" s="1">
        <v>5.0</v>
      </c>
      <c r="B1497" s="1" t="s">
        <v>1496</v>
      </c>
      <c r="C1497" t="str">
        <f>IFERROR(__xludf.DUMMYFUNCTION("GOOGLETRANSLATE(B1497, ""zh"", ""en"")"),"Easy to want to buy one. Pushing!")</f>
        <v>Easy to want to buy one. Pushing!</v>
      </c>
    </row>
    <row r="1498">
      <c r="A1498" s="1">
        <v>5.0</v>
      </c>
      <c r="B1498" s="1" t="s">
        <v>1497</v>
      </c>
      <c r="C1498" t="str">
        <f>IFERROR(__xludf.DUMMYFUNCTION("GOOGLETRANSLATE(B1498, ""zh"", ""en"")"),"Yes, that is hard to install easy to use, in addition to domestic sub-caliber installation costs than old King, others are good")</f>
        <v>Yes, that is hard to install easy to use, in addition to domestic sub-caliber installation costs than old King, others are good</v>
      </c>
    </row>
    <row r="1499">
      <c r="A1499" s="1">
        <v>5.0</v>
      </c>
      <c r="B1499" s="1" t="s">
        <v>1498</v>
      </c>
      <c r="C1499" t="str">
        <f>IFERROR(__xludf.DUMMYFUNCTION("GOOGLETRANSLATE(B1499, ""zh"", ""en"")"),"Workmanship is very good very thin very flexible, you can just winter in the south")</f>
        <v>Workmanship is very good very thin very flexible, you can just winter in the south</v>
      </c>
    </row>
    <row r="1500">
      <c r="A1500" s="1">
        <v>5.0</v>
      </c>
      <c r="B1500" s="1" t="s">
        <v>1499</v>
      </c>
      <c r="C1500" t="str">
        <f>IFERROR(__xludf.DUMMYFUNCTION("GOOGLETRANSLATE(B1500, ""zh"", ""en"")"),"Good quality thin Jackets. Is the same color uniforms and hungry you will be mistaken.")</f>
        <v>Good quality thin Jackets. Is the same color uniforms and hungry you will be mistaken.</v>
      </c>
    </row>
    <row r="1501">
      <c r="A1501" s="1">
        <v>5.0</v>
      </c>
      <c r="B1501" s="1" t="s">
        <v>1500</v>
      </c>
      <c r="C1501" t="str">
        <f>IFERROR(__xludf.DUMMYFUNCTION("GOOGLETRANSLATE(B1501, ""zh"", ""en"")"),"Very satisfied Oh great shoe size is very satisfied ~ soft leather dress sense is also more comfortable - barefoot wear thick socks just a little bit tight, but Chuan Chuan estimates become larger da cool the laces tight, then it is quite remarkable thin "&amp;"legs da logistics soon! 9/12 to 8/31 is projected on to the real! I bought 36 feet of uk3 for your reference Oh ~")</f>
        <v>Very satisfied Oh great shoe size is very satisfied ~ soft leather dress sense is also more comfortable - barefoot wear thick socks just a little bit tight, but Chuan Chuan estimates become larger da cool the laces tight, then it is quite remarkable thin legs da logistics soon! 9/12 to 8/31 is projected on to the real! I bought 36 feet of uk3 for your reference Oh ~</v>
      </c>
    </row>
    <row r="1502">
      <c r="A1502" s="1">
        <v>5.0</v>
      </c>
      <c r="B1502" s="1" t="s">
        <v>1501</v>
      </c>
      <c r="C1502" t="str">
        <f>IFERROR(__xludf.DUMMYFUNCTION("GOOGLETRANSLATE(B1502, ""zh"", ""en"")"),"Lee Uniforms Men's Slim Straight 5 bags of pants quality is very good, the arrival speed is also faster than imagined, the right waist, long pants a bit and then change it.")</f>
        <v>Lee Uniforms Men's Slim Straight 5 bags of pants quality is very good, the arrival speed is also faster than imagined, the right waist, long pants a bit and then change it.</v>
      </c>
    </row>
    <row r="1503">
      <c r="A1503" s="1">
        <v>5.0</v>
      </c>
      <c r="B1503" s="1" t="s">
        <v>1502</v>
      </c>
      <c r="C1503" t="str">
        <f>IFERROR(__xludf.DUMMYFUNCTION("GOOGLETRANSLATE(B1503, ""zh"", ""en"")"),"The thickness of perfect color cotton good perfect comfort")</f>
        <v>The thickness of perfect color cotton good perfect comfort</v>
      </c>
    </row>
    <row r="1504">
      <c r="A1504" s="1">
        <v>5.0</v>
      </c>
      <c r="B1504" s="1" t="s">
        <v>1503</v>
      </c>
      <c r="C1504" t="str">
        <f>IFERROR(__xludf.DUMMYFUNCTION("GOOGLETRANSLATE(B1504, ""zh"", ""en"")"),"No taste to see people say a taste, I do not ah. With some no leakage. Feel very good quality")</f>
        <v>No taste to see people say a taste, I do not ah. With some no leakage. Feel very good quality</v>
      </c>
    </row>
    <row r="1505">
      <c r="A1505" s="1">
        <v>5.0</v>
      </c>
      <c r="B1505" s="1" t="s">
        <v>1504</v>
      </c>
      <c r="C1505" t="str">
        <f>IFERROR(__xludf.DUMMYFUNCTION("GOOGLETRANSLATE(B1505, ""zh"", ""en"")"),"The only drawback is that the capacity of small dots of small capacity, to buy time did not pay attention, I thought it was the kind of original capacity")</f>
        <v>The only drawback is that the capacity of small dots of small capacity, to buy time did not pay attention, I thought it was the kind of original capacity</v>
      </c>
    </row>
    <row r="1506">
      <c r="A1506" s="1">
        <v>5.0</v>
      </c>
      <c r="B1506" s="1" t="s">
        <v>1505</v>
      </c>
      <c r="C1506" t="str">
        <f>IFERROR(__xludf.DUMMYFUNCTION("GOOGLETRANSLATE(B1506, ""zh"", ""en"")"),"Good quality is very good, very comfortable and wild")</f>
        <v>Good quality is very good, very comfortable and wild</v>
      </c>
    </row>
    <row r="1507">
      <c r="A1507" s="1">
        <v>5.0</v>
      </c>
      <c r="B1507" s="1" t="s">
        <v>1506</v>
      </c>
      <c r="C1507" t="str">
        <f>IFERROR(__xludf.DUMMYFUNCTION("GOOGLETRANSLATE(B1507, ""zh"", ""en"")"),"Affordable good, pending further re-use experience. NFC how to use it?")</f>
        <v>Affordable good, pending further re-use experience. NFC how to use it?</v>
      </c>
    </row>
    <row r="1508">
      <c r="A1508" s="1">
        <v>5.0</v>
      </c>
      <c r="B1508" s="1" t="s">
        <v>1507</v>
      </c>
      <c r="C1508" t="str">
        <f>IFERROR(__xludf.DUMMYFUNCTION("GOOGLETRANSLATE(B1508, ""zh"", ""en"")"),"Like logistics this price okay. There is a stethoscope effect. Really line anti-winding it! Special praise logistics. No. 28 is expected to goods, the results of the 10th to go. Haha, I feel very happy too!")</f>
        <v>Like logistics this price okay. There is a stethoscope effect. Really line anti-winding it! Special praise logistics. No. 28 is expected to goods, the results of the 10th to go. Haha, I feel very happy too!</v>
      </c>
    </row>
    <row r="1509">
      <c r="A1509" s="1">
        <v>5.0</v>
      </c>
      <c r="B1509" s="1" t="s">
        <v>1508</v>
      </c>
      <c r="C1509" t="str">
        <f>IFERROR(__xludf.DUMMYFUNCTION("GOOGLETRANSLATE(B1509, ""zh"", ""en"")"),"Especially like this 👖 pants for winter too large one yards, to buy No. 2 is too large, give colleagues, and buy a small")</f>
        <v>Especially like this 👖 pants for winter too large one yards, to buy No. 2 is too large, give colleagues, and buy a small</v>
      </c>
    </row>
    <row r="1510">
      <c r="A1510" s="1">
        <v>5.0</v>
      </c>
      <c r="B1510" s="1" t="s">
        <v>1509</v>
      </c>
      <c r="C1510" t="str">
        <f>IFERROR(__xludf.DUMMYFUNCTION("GOOGLETRANSLATE(B1510, ""zh"", ""en"")"),"...... arm position is quite narrow, I think this thin Ha ha ha, or hediergen")</f>
        <v>...... arm position is quite narrow, I think this thin Ha ha ha, or hediergen</v>
      </c>
    </row>
    <row r="1511">
      <c r="A1511" s="1">
        <v>5.0</v>
      </c>
      <c r="B1511" s="1" t="s">
        <v>1510</v>
      </c>
      <c r="C1511" t="str">
        <f>IFERROR(__xludf.DUMMYFUNCTION("GOOGLETRANSLATE(B1511, ""zh"", ""en"")"),"Good quality fast logistics No. 22 faster than the domestic price of a full week cost too much quality is guaranteed during transport packaging intact Amazon Dafa is good direct German direct mail than expected. Look forward to good effect after installat"&amp;"ion. Seen in the store and then buy should be no problem.")</f>
        <v>Good quality fast logistics No. 22 faster than the domestic price of a full week cost too much quality is guaranteed during transport packaging intact Amazon Dafa is good direct German direct mail than expected. Look forward to good effect after installation. Seen in the store and then buy should be no problem.</v>
      </c>
    </row>
    <row r="1512">
      <c r="A1512" s="1">
        <v>5.0</v>
      </c>
      <c r="B1512" s="1" t="s">
        <v>1511</v>
      </c>
      <c r="C1512" t="str">
        <f>IFERROR(__xludf.DUMMYFUNCTION("GOOGLETRANSLATE(B1512, ""zh"", ""en"")"),"Size is appropriate! For the first time to buy things in the sea Amoy. The time to buy is also concerned that the number does not match! Today received a number of very appropriate! Shoes are very light, soft leather! And time display order than the day e"&amp;"arly! Also, because I foot is relatively small, so buy a female models! very suitable!")</f>
        <v>Size is appropriate! For the first time to buy things in the sea Amoy. The time to buy is also concerned that the number does not match! Today received a number of very appropriate! Shoes are very light, soft leather! And time display order than the day early! Also, because I foot is relatively small, so buy a female models! very suitable!</v>
      </c>
    </row>
    <row r="1513">
      <c r="A1513" s="1">
        <v>5.0</v>
      </c>
      <c r="B1513" s="1" t="s">
        <v>1512</v>
      </c>
      <c r="C1513" t="str">
        <f>IFERROR(__xludf.DUMMYFUNCTION("GOOGLETRANSLATE(B1513, ""zh"", ""en"")"),"Perfect, recommended! Very easy to use, the pen is very beautiful, low-key, elegant, French style!")</f>
        <v>Perfect, recommended! Very easy to use, the pen is very beautiful, low-key, elegant, French style!</v>
      </c>
    </row>
    <row r="1514">
      <c r="A1514" s="1">
        <v>5.0</v>
      </c>
      <c r="B1514" s="1" t="s">
        <v>1513</v>
      </c>
      <c r="C1514" t="str">
        <f>IFERROR(__xludf.DUMMYFUNCTION("GOOGLETRANSLATE(B1514, ""zh"", ""en"")"),"The lower right corner of the dial is no small dots, the dots are small dots is not what the lower right corner of the dial, what is the little dots")</f>
        <v>The lower right corner of the dial is no small dots, the dots are small dots is not what the lower right corner of the dial, what is the little dots</v>
      </c>
    </row>
    <row r="1515">
      <c r="A1515" s="1">
        <v>5.0</v>
      </c>
      <c r="B1515" s="1" t="s">
        <v>1514</v>
      </c>
      <c r="C1515" t="str">
        <f>IFERROR(__xludf.DUMMYFUNCTION("GOOGLETRANSLATE(B1515, ""zh"", ""en"")"),"Good Good")</f>
        <v>Good Good</v>
      </c>
    </row>
    <row r="1516">
      <c r="A1516" s="1">
        <v>5.0</v>
      </c>
      <c r="B1516" s="1" t="s">
        <v>1515</v>
      </c>
      <c r="C1516" t="str">
        <f>IFERROR(__xludf.DUMMYFUNCTION("GOOGLETRANSLATE(B1516, ""zh"", ""en"")"),"Yan newly installed high-value, not use, but it feels Yen value is very high, anyway, to my liking, with a small bathroom space is particularly suitable for this. Logistics quickly, originally expected to arrive on October 9, the result was an order a few"&amp;" days before the National Day sent.")</f>
        <v>Yan newly installed high-value, not use, but it feels Yen value is very high, anyway, to my liking, with a small bathroom space is particularly suitable for this. Logistics quickly, originally expected to arrive on October 9, the result was an order a few days before the National Day sent.</v>
      </c>
    </row>
    <row r="1517">
      <c r="A1517" s="1">
        <v>2.0</v>
      </c>
      <c r="B1517" s="1" t="s">
        <v>1516</v>
      </c>
      <c r="C1517" t="str">
        <f>IFERROR(__xludf.DUMMYFUNCTION("GOOGLETRANSLATE(B1517, ""zh"", ""en"")"),"Significant quality problems, not as good as before bought once before, boxed, this time to buy is plastic bags, and there are serious flavor taste, do not know is true. And before I bought the same style than quality feel a lot worse, in a package with s"&amp;"ize turned out to be not the same, but also contact customer service. Last bought a little box broken even, really is a little disappointed overseas purchase. Amazon needs to improve.")</f>
        <v>Significant quality problems, not as good as before bought once before, boxed, this time to buy is plastic bags, and there are serious flavor taste, do not know is true. And before I bought the same style than quality feel a lot worse, in a package with size turned out to be not the same, but also contact customer service. Last bought a little box broken even, really is a little disappointed overseas purchase. Amazon needs to improve.</v>
      </c>
    </row>
    <row r="1518">
      <c r="A1518" s="1">
        <v>3.0</v>
      </c>
      <c r="B1518" s="1" t="s">
        <v>1517</v>
      </c>
      <c r="C1518" t="str">
        <f>IFERROR(__xludf.DUMMYFUNCTION("GOOGLETRANSLATE(B1518, ""zh"", ""en"")"),"Spread the goods a sub-price goods, too thin models")</f>
        <v>Spread the goods a sub-price goods, too thin models</v>
      </c>
    </row>
    <row r="1519">
      <c r="A1519" s="1">
        <v>1.0</v>
      </c>
      <c r="B1519" s="1" t="s">
        <v>1518</v>
      </c>
      <c r="C1519" t="str">
        <f>IFERROR(__xludf.DUMMYFUNCTION("GOOGLETRANSLATE(B1519, ""zh"", ""en"")"),"Rust, corrosion taking advantage of the black V. had wanted to seek cheaper. Overseas purchase, earlier than planned a whole week to buy faster than at home and abroad, the future is to get such a case, the first belt corrosion, rust, click on the return,"&amp;" but also need to print a bunch of information, but also finished print Additional information, simply reclaim, and less than 100 dollars worth of things, not a waste of time. Determined, will no longer buy stuff from Amazon. PRIME cancel the so-called qu"&amp;"alifications.")</f>
        <v>Rust, corrosion taking advantage of the black V. had wanted to seek cheaper. Overseas purchase, earlier than planned a whole week to buy faster than at home and abroad, the future is to get such a case, the first belt corrosion, rust, click on the return, but also need to print a bunch of information, but also finished print Additional information, simply reclaim, and less than 100 dollars worth of things, not a waste of time. Determined, will no longer buy stuff from Amazon. PRIME cancel the so-called qualifications.</v>
      </c>
    </row>
    <row r="1520">
      <c r="A1520" s="1">
        <v>1.0</v>
      </c>
      <c r="B1520" s="1" t="s">
        <v>1519</v>
      </c>
      <c r="C1520" t="str">
        <f>IFERROR(__xludf.DUMMYFUNCTION("GOOGLETRANSLATE(B1520, ""zh"", ""en"")"),"Packaging is very good! &lt;Div id = ""video-block-R1AG2GZLOFYSZE"" class = ""a-section a-spacing-small a-spacing-top-mini video-block""&gt; &lt;div tabindex = ""0"" class = ""airy airy-svg vmin- supported airy-skin-beacon ""style ="" background-color: rgb (0, 0, "&amp;"0); position: relative; width: 100%; height: 100%; font-size: 0px; overflow: hidden; outline: none ; ""&gt; &lt;div class ="" airy-renderer-container ""style ="" position: relative; height: 100%; width: 100%; ""&gt; &lt;video id ="" 15 ""preload ="" auto ""src ="" ht"&amp;"tps: //images-cn.ssl-images-amazon.com/images/I/91J-SFaUd0S.mp4 ""style ="" position: absolute; left: 0px; top: 0px; overflow: hidden; height: 1px; width: 1px ; ""&gt; &lt;/ video&gt; &lt;/ div&gt; &lt;div id ="" airy-slate-preload ""style ="" background-color: rgb (0, 0, "&amp;"0); background-image: url (&amp; quot; https: // images-cn.ssl-images-amazon.com/images/I/91ksDQ9L1zS.png&amp;quot;); background-size: contain; background-position: center center; background-repeat: no-repeat; position: absolute; top: 0px ; left: 0px; visibility:"&amp;" visible; width: 100%; height: 100%; ""&gt; &lt;/ div&gt; &lt;iframe scrolling ="" no ""frameborder = ""0"" src = ""about: blank"" style = ""display: none;""&gt; &lt;/ iframe&gt; &lt;div tabindex = ""- 1"" class = ""airy-controls-container"" style = ""opacity: 0; visibility: hid"&amp;"den; ""&gt; &lt;div tabindex ="" - 1 ""class ="" airy-screen-size-toggle airy-fullscreen ""&gt; &lt;/ div&gt; &lt;div tabindex ="" - 1 ""class ="" airy-container-bottom ""&gt; &lt; div tabindex = ""- 1"" class = ""airy-track-bar-spacer-left"" style = ""width: 11px;""&gt; &lt;/ div&gt; &lt;d"&amp;"iv tabindex = ""- 1"" class = ""airy-play-toggle airy -play ""style ="" width: 12px; margin-right: 12px; ""&gt; &lt;/ div&gt; &lt;div tabindex ="" - 1 ""class ="" airy-audio-elements ""style ="" float: right; width: 34px; ""&gt; &lt;div tabindex ="" - 1 ""class ="" airy-au"&amp;"dio-toggle airy-on ""&gt; &lt;/ div&gt; &lt;div tabindex ="" - 1 ""class ="" airy-audio-container ""style ="" opacity: 0 ; visibility: hidden; ""&gt; &lt;div tabindex ="" - 1 ""class ="" airy-audio-track-bar ""style ="" height: 80%; ""&gt; &lt;div tabindex ="" - 1 ""class ="" ai"&amp;"ry-audio -scrubber-bar ""style ="" height: 85%; ""&gt; &lt;/ div&gt; &lt;div tabindex ="" - 1 ""class ="" airy-audio-scrubber ""style ="" height: 12px; bottom: 85%; ""&gt; &lt;/ div&gt; &lt;/ div&gt; &lt;/ div&gt; &lt;/ div&gt; &lt;div tabindex = ""- 1"" class = ""airy-duration-label"" style = """&amp;"float: right; width: 26px; margin-right: 4px; text-align: center; ""&gt; 0:00 &lt;/ div&gt; &lt;div tabindex ="" - 1 ""class ="" airy-track-bar-spacer-right ""style ="" float : right; width: 11px; ""&gt; &lt;/ div&gt; &lt;div tabindex ="" - 1 ""class ="" airy-track-bar-container"&amp;" ""style ="" margin-left: 35px; margin-right: 75px; ""&gt; &lt; div tabindex = ""- 1"" class = ""airy-track-bar airy-vertical-centering-table""&gt; &lt;div tabindex = ""- 1"" class = ""airy-vertical-centering-table-cell""&gt; &lt;div tabindex = ""-1"" class = ""airy-track-"&amp;"bar-elements""&gt; &lt;div tabindex = ""- 1"" class = ""airy-progress-bar""&gt; &lt;/ div&gt; &lt;div tabindex = ""- 1"" class = ""airy -scrubber-bar ""&gt; &lt;/ div&gt; &lt;div tabindex ="" - 1 ""class ="" airy-scrubber ""&gt; &lt;div tabindex ="" - 1 ""class ="" airy-scrubber-icon ""&gt; &lt;/"&amp;" div&gt; &lt;div tabindex = ""- 1"" class = ""airy-adjusted-aui-tooltip"" style = ""opacity: 0; visibility: hidden;""&gt; &lt;div tabindex = ""- 1"" class = ""airy-adjusted-aui-tooltip-inner ""&gt; &lt;div tabindex ="" - 1 ""class ="" airy-current-time-label ""&gt; 0:00 &lt;/ di"&amp;"v&gt; &lt;/ div&gt; &lt;div tabindex ="" - 1 ""class ="" airy-adjusted-aui- arrow-border ""&gt; &lt;div tabindex ="" - 1 ""class ="" airy-adjusted-aui-arrow ""&gt; &lt;/ div&gt; &lt;/ div&gt; &lt;/ div&gt; &lt;/ div&gt; &lt;/ div&gt; &lt;/ di v&gt; &lt;/ div&gt; &lt;/ div&gt; &lt;/ div&gt; &lt;/ div&gt; &lt;div tabindex = ""- 1"" class ="&amp;" ""airy-age-gate airy-stage airy-vertical-centering-table airy-dialog"" style = ""opacity: 0; visibility: hidden;""&gt; &lt;div tabindex = ""- 1"" class = ""airy-age-gate-vertical-centering-table-cell airy-vertical-centering-table-cell""&gt; &lt;div tabindex = ""-1"""&amp;" class = ""airy-vertical-centering-wrapper airy-age-gate-elements-wrapper""&gt; &lt;div tabindex = ""- 1"" class = ""airy-age-gate-elements airy-dialog-elements""&gt; &lt;div tabindex = ""- 1"" class = ""airy-age-gate-prompt""&gt; This video is not intended for all audi"&amp;"ences What date were you born &lt;/ div&gt; &lt;div tabindex =.? ""- 1"" class = "" airy-age-gate-inputs airy-dialog-inner-elements ""&gt; &lt;select tabindex ="" - 1 ""class ="" airy-age-gate-month ""&gt; &lt;option value ="" 1 ""&gt; January &lt;/ option&gt; &lt; option value = ""2""&gt; "&amp;"February &lt;/ option&gt; &lt;option value = ""3""&gt; March &lt;/ option&gt; &lt;option value = ""4""&gt; April &lt;/ option&gt; &lt;option value = ""5""&gt; May &lt;/ option &gt; &lt;option value = ""6""&gt; June &lt;/ option&gt; &lt;option value = ""7""&gt; July &lt;/ option&gt; &lt;option value = ""8""&gt; August &lt;/ optio"&amp;"n&gt; &lt;option value = ""9""&gt; September &lt; / option&gt; &lt;option value = ""10""&gt; October &lt;/ op tion&gt; &lt;option value = ""11""&gt; November &lt;/ option&gt; &lt;option value = ""12""&gt; December &lt;/ option&gt; &lt;/ select&gt; &lt;select tabindex = ""- 1"" class = ""airy-age-gate-day ""&gt; &lt;opti"&amp;"on value ="" 1 ""&gt; 1 &lt;/ option&gt; &lt;option value ="" 2 ""&gt; 2 &lt;/ option&gt; &lt;option value ="" 3 ""&gt; 3 &lt;/ option&gt; &lt;option value ="" 4 ""&gt; 4 &lt;/ option&gt; &lt;option value = ""5""&gt; 5 &lt;/ option&gt; &lt;option value = ""6""&gt; 6 &lt;/ option&gt; &lt;option value = ""7""&gt; 7 &lt;/ option&gt; &lt;opt"&amp;"ion value = ""8"" &gt; 8 &lt;/ option&gt; &lt;option value = ""9""&gt; 9 &lt;/ option&gt; &lt;option value = ""10""&gt; 10 &lt;/ option&gt; &lt;option value = ""11""&gt; 11 &lt;/ option&gt; &lt;option value = "" 12 ""&gt; 12 &lt;/ option&gt; &lt;option value ="" 13 ""&gt; 13 &lt;/ option&gt; &lt;option value ="" 14 ""&gt; 14 &lt;/ "&amp;"option&gt; &lt;option value ="" 15 ""&gt; 15 &lt;/ option&gt; &lt;option value = ""16""&gt; 16 &lt;/ option&gt; &lt;option value = ""17""&gt; 17 &lt;/ option&gt; &lt;option value = ""18""&gt; 18 &lt;/ option&gt; &lt;option value = ""19""&gt; 19 &lt;/ option&gt; &lt; option value = ""20""&gt; 20 &lt;/ option&gt; &lt;option value = "&amp;"""21""&gt; 21 &lt;/ option&gt; &lt;option value = ""22""&gt; 22 &lt;/ option&gt; &lt;option value = ""23""&gt; 23 &lt;/ option &gt; &lt;option value = ""24""&gt; 24 &lt;/ option&gt; &lt;option value = ""25""&gt; 25 &lt;/ option&gt; &lt;option value = ""26""&gt; 26 &lt;/ option&gt; &lt;option value = ""27""&gt; 27 &lt; / option&gt; &lt;op"&amp;"tion value = ""28""&gt; 28 &lt;/ option&gt; &lt;option value = ""29""&gt; 29 &lt;/ option&gt; &lt;option value = ""30""&gt; 30 &lt;/ option&gt; &lt;option value = ""31""&gt; 31 &lt;/ option&gt; &lt;/ select&gt; &lt;select tabindex = ""- 1"" class = ""airy-age-gate-year""&gt; &lt;option value = ""2019""&gt; 2019 &lt;/ op"&amp;"tion&gt; &lt;option value = ""2018""&gt; 2018 &lt;/ option&gt; &lt;option value = ""2017""&gt; 2017 &lt;/ option&gt; &lt;option value = ""2016""&gt; ​​2016 &lt;/ option&gt; &lt;option value = ""2015""&gt; 2015 &lt;/ option&gt; &lt;option value = ""2014""&gt; 2014 &lt;/ option&gt; &lt;option value = ""2013""&gt; 2013 &lt;/ opt"&amp;"ion&gt; &lt;option value = ""2012""&gt; 2012 &lt;/ option&gt; &lt;option value = ""2011""&gt; 2011 &lt;/ option&gt; &lt;option value = ""2010""&gt; 2010 &lt;/ option&gt; &lt;option value = ""2009""&gt; 2009 &lt;/ option&gt; &lt;option value = ""2008""&gt; 2008 &lt;/ option&gt; &lt;option value = ""2007""&gt; 2007 &lt;/ option"&amp;"&gt; &lt;option value = ""2006""&gt; 2006 &lt;/ option&gt; &lt;option value = ""2005""&gt; 2005 &lt;/ option&gt; &lt;option value = ""2004""&gt; 2004 &lt;/ option&gt; &lt;option value = ""2003""&gt; 2003 &lt;/ option&gt; &lt;option value = ""2002""&gt; 2002 &lt;/ option&gt; &lt;option value = ""2001""&gt; 2001 &lt;/ option&gt; &lt;"&amp;"option value = ""2000"" &gt; 2000 &lt;/ option&gt; &lt;option value = ""1999""&gt; 1999 &lt;/ option&gt; &lt;option value = ""1998""&gt; 1998 &lt;/ option&gt; &lt;option value = ""1997""&gt; 1997 &lt;/ option&gt; &lt;option value = "" 1996 ""&gt; 1996 &lt;/ option&gt; &lt;option value ="" 1995 ""&gt; 1995 &lt;/ option&gt; "&amp;"&lt;option value ="" 1994 ""&gt; 1994 &lt;/ option&gt; &lt;option valu e = ""1993""&gt; 1993 &lt;/ option&gt; &lt;option value = ""1992""&gt; 1992 &lt;/ option&gt; &lt;option value = ""1991""&gt; 1991 &lt;/ option&gt; &lt;option value = ""1990""&gt; 1990 &lt;/ option&gt; &lt;option value = ""1989""&gt; 1989 &lt;/ option&gt; &lt;"&amp;"option value = ""1988""&gt; 1988 &lt;/ option&gt; &lt;option value = ""1987""&gt; 1987 &lt;/ option&gt; &lt;option value = ""1986""&gt; 1986 &lt;/ option&gt; &lt;option value = ""1985""&gt; 1985 &lt;/ option&gt; &lt;option value = ""1984""&gt; 1984 &lt;/ option&gt; &lt;option value = ""1983""&gt; 1983 &lt;/ option&gt; &lt;opt"&amp;"ion value = ""1982""&gt; 1982 &lt;/ option&gt; &lt;option value = ""1981""&gt; 1981 &lt;/ option&gt; &lt;option value = ""1980""&gt; 1980 &lt;/ option&gt; &lt;option value = ""1979""&gt; 1979 &lt;/ option&gt; &lt;option value = ""1978"" &gt; 1978 &lt;/ option&gt; &lt;option value = ""1977""&gt; 1977 &lt;/ option&gt; &lt;optio"&amp;"n value = ""1976""&gt; 1976 &lt;/ option&gt; &lt;option value = ""1975""&gt; 1975 &lt;/ option&gt; &lt;option value = "" 1974 ""&gt; 1974 &lt;/ option&gt; &lt;option value ="" 1973 ""&gt; 1973 &lt;/ option&gt; &lt;option value ="" 1972 ""&gt; 1972 &lt;/ option&gt; &lt;option value ="" 1971 ""&gt; 1971 &lt;/ option&gt; &lt;opt"&amp;"ion value = ""1970""&gt; 1970 &lt;/ option&gt; &lt;option value = ""1969""&gt; 1969 &lt;/ option&gt; &lt;option value = ""1968""&gt; 1968 &lt;/ option&gt; &lt;option value = ""1967""&gt; 1967 &lt;/ option&gt; &lt; option value = ""1966""&gt; 1966 &lt;/ option&gt; &lt;option value = ""1965""&gt; 1965 &lt;/ option&gt; &lt;optio"&amp;"n value = ""1964""&gt; 1964 &lt; / Option&gt; &lt;option value = ""1963""&gt; 1963 &lt;/ option&gt; &lt;option value = ""1962""&gt; 1962 &lt;/ option&gt; &lt;option value = ""1961""&gt; 1961 &lt;/ option&gt; &lt;option value = ""1960""&gt; 1960 &lt;/ option&gt; &lt;option value = ""1959""&gt; 1959 &lt;/ option&gt; &lt;option "&amp;"value = ""1958""&gt; 1958 &lt;/ option&gt; &lt;option value = ""1957""&gt; 1957 &lt;/ option&gt; &lt;option value = ""1956 ""&gt; 1956 &lt;/ option&gt; &lt;option value ="" 1955 ""&gt; 1955 &lt;/ option&gt; &lt;option value ="" 1954 ""&gt; 1954 &lt;/ option&gt; &lt;option value ="" 1953 ""&gt; 1953 &lt;/ option&gt; &lt;option"&amp;" value = ""1952""&gt; 1952 &lt;/ option&gt; &lt;option value = ""1951""&gt; 1951 &lt;/ option&gt; &lt;option value = ""1950""&gt; 1950 &lt;/ option&gt; &lt;option value = ""1949""&gt; 1949 &lt;/ option&gt; &lt;option value = ""1948""&gt; 1948 &lt;/ option&gt; &lt;option value = ""1947""&gt; 1947 &lt;/ option&gt; &lt;option va"&amp;"lue = ""1946""&gt; 1946 &lt;/ option&gt; &lt;option value = ""1945""&gt; 1945 &lt;/ option&gt; &lt;option value = ""1944""&gt; 1944 &lt;/ option&gt; &lt;option value = ""1943""&gt; 1943 &lt;/ option&gt; &lt;option value = ""1942""&gt; 1942 &lt;/ option&gt; &lt;option value = ""1941""&gt; 1941 &lt;/ option&gt; &lt;option value"&amp;" = ""1940""&gt; 1940 &lt;/ option&gt; &lt;option value = ""1939""&gt; 1939 &lt;/ option&gt; &lt;option value = ""1938""&gt; 1938 &lt;/ option&gt; &lt;option value = ""1937""&gt; 1937 &lt;/ option&gt; &lt;option value = ""1936""&gt; 1936 &lt;/ option&gt; &lt;option value = ""1935""&gt; 1935 &lt;/ option&gt; &lt;optio n value ="&amp;" ""1934""&gt; 1934 &lt;/ option&gt; &lt;option value = ""1933""&gt; 1933 &lt;/ option&gt; &lt;option value = ""1932""&gt; 1932 &lt;/ option&gt; &lt;option value = ""1931""&gt; 1931 &lt;/ option &gt; &lt;option value = ""1930""&gt; 1930 &lt;/ option&gt; &lt;option value = ""1929""&gt; 1929 &lt;/ option&gt; &lt;option value = "&amp;"""1928""&gt; 1928 &lt;/ option&gt; &lt;option value = ""1927""&gt; 1927 &lt; / option&gt; &lt;option value = ""1926""&gt; 1926 &lt;/ option&gt; &lt;option value = ""1925""&gt; 1925 &lt;/ option&gt; &lt;option value = ""1924""&gt; 1924 &lt;/ option&gt; &lt;option value = ""1923""&gt; 1923 &lt;/ option&gt; &lt;option value = """&amp;"1922""&gt; 1922 &lt;/ option&gt; &lt;option value = ""1921""&gt; 1921 &lt;/ option&gt; &lt;option value = ""1920""&gt; 1920 &lt;/ option&gt; &lt;option value = ""1919 ""&gt; 1919 &lt;/ option&gt; &lt;option value ="" 1918 ""&gt; 1918 &lt;/ option&gt; &lt;option value ="" 1917 ""&gt; 1917 &lt;/ option&gt; &lt;option value ="" "&amp;"1916 ""&gt; 1916 &lt;/ option&gt; &lt;option value = ""1915""&gt; 1915 &lt;/ option&gt; &lt;option value = ""1914""&gt; 1914 &lt;/ option&gt; &lt;option value = ""1913""&gt; 1913 &lt;/ option&gt; &lt;option value = ""1912""&gt; 1912 &lt;/ option&gt; &lt;option value = ""1911""&gt; 1911 &lt;/ option&gt; &lt;option value = ""19"&amp;"10""&gt; 1910 &lt;/ option&gt; &lt;option value = ""1909""&gt; 1909 &lt;/ option&gt; &lt;option value = ""1908""&gt; 1908 &lt;/ option&gt; &lt;option value = ""1907""&gt; 1907 &lt;/ option&gt; &lt;option value = ""1906""&gt; 1906 &lt;/ option&gt; &lt;option value = ""1905"" &gt; 1905 &lt;/ option&gt; &lt;option value = ""1904"&amp;"""&gt; 1904 &lt;/ option&gt; &lt;option value = ""1903""&gt; 1903 &lt;/ option&gt; &lt;option value = ""1902""&gt; 1902 &lt;/ option&gt; &lt;option value = "" 1901 ""&gt; 1901 &lt;/ option&gt; &lt;option value ="" 1900 ""&gt; 1900 &lt;/ option&gt; &lt;/ select&gt; &lt;div tabindex ="" - 1 ""class ="" airy-age-gate-submi"&amp;"t airy-submit airy-button airy -submit-disabled ""&gt; Submit &lt;/ div&gt; &lt;/ div&gt; &lt;/ div&gt; &lt;/ div&gt; &lt;/ div&gt; &lt;/ div&gt; &lt;div tabindex ="" - 1 ""class ="" airy-install-flash-dialog airy -stage airy-vertical-centering-table airy-dialog airy-denied ""style ="" opacity: 0"&amp;"; visibility: hidden; ""&gt; &lt;div tabindex ="" - 1 ""class ="" airy-install-flash-vertical-centering- table-cell airy-vertical-centering-table-cell ""&gt; &lt;div tabindex ="" - 1 ""class ="" airy-vertical-centering-wrapper airy-install-flash-elements-wrapper ""&gt; "&amp;"&lt;div tabindex ="" - 1 ""class ="" airy-install-flash-elements airy-dialog-elements ""&gt; &lt;div tabindex ="" - 1 ""class ="" airy-install-flash-prompt ""&gt; Adobe Flash Player is required to watch this video &lt;/. div&gt; &lt;div tabindex = ""- 1"" class = ""airy-insta"&amp;"ll-flash-button-wrapper airy-dialog-inner-elements""&gt; &lt;div tabindex = ""- 1"" class = ""airy-ins tall-flash-button airy-button ""&gt; Install Flash Player &lt;/ div&gt; &lt;/ div&gt; &lt;/ div&gt; &lt;/ div&gt; &lt;/ div&gt; &lt;/ div&gt; &lt;div tabindex ="" - 1 ""class ="" airy- video-unsupport"&amp;"ed-dialog airy-stage airy-vertical-centering-table airy-dialog airy-denied ""style ="" opacity: 0; visibility: hidden; ""&gt; &lt;div tabindex ="" - 1 ""class ="" airy-video- unsupported-vertical-centering-table-cell airy-vertical-centering-table-cell ""&gt; &lt;div "&amp;"tabindex ="" - 1 ""class ="" airy-vertical-centering-wrapper airy-video-unsupported-elements-wrapper ""&gt; &lt; div tabindex = ""- 1"" class = ""airy-video-unsupported-elements airy-dialog-elements""&gt; &lt;div tabindex = ""- 1"" class = ""airy-video-unsupported-pr"&amp;"ompt""&gt; &lt;/ div&gt; &lt;/ div&gt; &lt;/ div&gt; &lt;/ div&gt; &lt;/ div&gt; &lt;div tabindex = ""- 1"" class = ""airy-loading-spinner-stage airy-stage""&gt; &lt;div tabindex = ""- 1"" class = ""airy- loading-spinner-vertical-centering-table-cell airy-vertical-centering-table-cell ""&gt; &lt;div ta"&amp;"bindex ="" - 1 ""class ="" airy-loading-spinner-container airy-scalable-hint-container ""&gt; &lt; div tabindex = ""- 1"" class = ""airy-loading-spinner-dummy airy-scalable-dummy""&gt; &lt;/ div&gt; &lt;div tabindex = ""- 1"" class = ""Airy-loading-spinner airy-hint"" styl"&amp;"e = ""visibility: hidden;""&gt; &lt;/ div&gt; &lt;/ div&gt; &lt;/ div&gt; &lt;/ div&gt; &lt;div tabindex = ""- 1"" class = ""airy-ads- screen-size-toggle airy-screen-size-toggle airy-fullscreen ""style ="" visibility: hidden; ""&gt; &lt;/ div&gt; &lt;div tabindex ="" - 1 ""class ="" airy-ad-promp"&amp;"t-container ""style = ""visibility: hidden;""&gt; &lt;div tabindex = ""- 1"" class = ""airy-ad-prompt-vertical-centering-table airy-vertical-centering-table""&gt; &lt;div tabindex = ""- 1"" class = ""airy -ad-prompt-vertical-centering-table-cell airy-vertical-centeri"&amp;"ng-table-cell ""&gt; &lt;div tabindex ="" - 1 ""class ="" airy-ad-prompt-label ""&gt; &lt;/ div&gt; &lt;/ div &gt; &lt;/ div&gt; &lt;/ div&gt; &lt;div tabindex = ""- 1"" class = ""airy-ads-controls-container"" style = ""visibility: hidden;""&gt; &lt;div tabindex = ""- 1"" class = ""airy- ads-audi"&amp;"o-toggle airy-audio-toggle airy-on ""style ="" visibility: hidden; ""&gt; &lt;/ div&gt; &lt;div tabindex ="" - 1 ""class ="" airy-time-remaining-label-container ""&gt; &lt; div tabindex = ""- 1"" class = ""airy-time-remaining-vertical-centering-table airy-vertical-centerin"&amp;"g-table""&gt; &lt;div tabindex = ""- 1"" class = ""airy-time-remaining-vertical-centering -table-ce ll airy-vertical-centering-table-cell ""&gt; &lt;div tabindex ="" - 1 ""class ="" airy-vertical-centering-wrapper airy-time-remaining-label-wrapper ""&gt; &lt;div tabindex ="&amp;""" - 1 ""class = ""airy-time-remaining-label"" style = ""visibility: hidden;""&gt; &lt;/ div&gt; &lt;div tabindex = ""- 1"" class = ""airy-ad-skip"" style = ""visibility: hidden;""&gt; &lt; "": hidden visibility;""&gt; &lt;/ div&gt; &lt;/ div&gt; &lt;/ div&gt; &lt;/ div&gt; &lt;/ div&gt; &lt;- / div&gt; &lt;div ta"&amp;"bindex = ""1"" class = style = ""airy-ad-end"" div tabindex = ""- 1"" class = ""airy-learn-more"" style = ""visibility: hidden;""&gt; &lt;/ div&gt; &lt;/ div&gt; &lt;div tabindex = ""- 1"" class = ""airy-play-toggle- hint-stage airy-stage airy-cursor ""&gt; &lt;div tabindex ="" "&amp;"- 1 ""class ="" airy-play-toggle-hint-vertical-centering-table-cell airy-vertical-centering-table-cell airy-cursor "" &gt; &lt;div tabindex = ""- 1"" class = ""airy-play-toggle-hint-container airy-scalable-hint-container""&gt; &lt;div tabindex = ""- 1"" class = ""air"&amp;"y-play-toggle-hint-dummy airy-scalable-dummy ""&gt; &lt;/ div&gt; &lt;div tabindex ="" - 1 ""class ="" airy-play-toggle-hint airy-hint airy-play-hint ""style ="" opacity: 1; visibility: visible; "" &gt; &lt;/ div&gt; &lt;/ div&gt; &lt;/ div&gt; &lt;/ div&gt; &lt;div tabindex = "" -1 ""class ="" a"&amp;"iry-replay-hint-stage airy-stage ""style ="" visibility: hidden; ""&gt; &lt;div tabindex ="" - 1 ""class ="" airy-replay-hint-vertical-centering-table-cell airy-vertical-centering-table-cell airy-cursor ""&gt; &lt;div tabindex ="" - 1 ""class ="" airy-replay-hint-con"&amp;"tainer airy-scalable-hint-container ""&gt; &lt;div tabindex ="" - 1 ""class = ""airy-replay-hint-dummy airy-scalable-dummy""&gt; &lt;/ div&gt; &lt;div tabindex = ""- 1"" class = ""airy-replay-hint airy-hint""&gt; &lt;/ div&gt; &lt;/ div&gt; &lt; / div&gt; &lt;/ div&gt; &lt;div tabindex = ""- 1"" class "&amp;"= ""airy-autoplay-hint-stage airy-stage"" style = ""visibility: hidden;""&gt; &lt;div tabindex = ""- 1"" class = ""airy -autoplay-hint-vertical-centering-table-cell airy-vertical-centering-table-cell airy-cursor ""&gt; &lt;div tabindex ="" - 1 ""class ="" airy-autopl"&amp;"ay-hint-container airy-scalable-hint- container ""&gt; &lt;div tabindex ="" - 1 ""class ="" airy-autoplay-hint-dummy airy-scalable-dummy ""&gt; &lt;/ div&gt; &lt;/ div&gt; &lt;/ div&gt; &lt;/ div&gt; &lt;/ div&gt; &lt;/ div&gt; &lt;input type = ""hidden"" name = """" value = ""https://images-cn.ssl-ima"&amp;"ges-amazon.com/images/I/91J-SFaUd0S.mp4"" class = ""video-url""&gt; &lt;input type = ""hidden"" name = """" value = ""https : //Images-cn.ssl-images-amazon.com/images/I/91ksDQ9L1zS.png ""class ="" video-slate-img-url ""&gt; &amp; nbsp; 438 to buy a water floss from th"&amp;"e United States to send over, all look no paper bags, so wretched, water floss boxes are crushed not to return, say belong to commodity quality problems, garbage")</f>
        <v>Packaging is very good! &lt;Div id = "video-block-R1AG2GZLOFYSZE" class = "a-section a-spacing-small a-spacing-top-mini video-block"&gt; &lt;div tabindex = "0" class = "airy airy-svg vmin- supported airy-skin-beacon "style =" background-color: rgb (0, 0, 0); position: relative; width: 100%; height: 100%; font-size: 0px; overflow: hidden; outline: none ; "&gt; &lt;div class =" airy-renderer-container "style =" position: relative; height: 100%; width: 100%; "&gt; &lt;video id =" 15 "preload =" auto "src =" https: //images-cn.ssl-images-amazon.com/images/I/91J-SFaUd0S.mp4 "style =" position: absolute; left: 0px; top: 0px; overflow: hidden; height: 1px; width: 1px ; "&gt; &lt;/ video&gt; &lt;/ div&gt; &lt;div id =" airy-slate-preload "style =" background-color: rgb (0, 0, 0); background-image: url (&amp; quot; https: // images-cn.ssl-images-amazon.com/images/I/91ksDQ9L1zS.png&amp;quot;); background-size: contain; background-position: center center; background-repeat: no-repeat; position: absolute; top: 0px ; left: 0px; visibility: visible; width: 100%; height: 100%; "&gt; &lt;/ div&gt; &lt;iframe scrolling =" no "frameborder = "0" src = "about: blank" style = "display: none;"&gt; &lt;/ iframe&gt; &lt;div tabindex = "- 1" class = "airy-controls-container" style = "opacity: 0; visibility: hidden; "&gt; &lt;div tabindex =" - 1 "class =" airy-screen-size-toggle airy-fullscreen "&gt; &lt;/ div&gt; &lt;div tabindex =" - 1 "class =" airy-container-bottom "&gt; &lt; div tabindex = "- 1" class = "airy-track-bar-spacer-left" style = "width: 11px;"&gt; &lt;/ div&gt; &lt;div tabindex = "- 1" class = "airy-play-toggle airy -play "style =" width: 12px; margin-right: 12px; "&gt; &lt;/ div&gt; &lt;div tabindex =" - 1 "class =" airy-audio-elements "style =" float: right; width: 34px; "&gt; &lt;div tabindex =" - 1 "class =" airy-audio-toggle airy-on "&gt; &lt;/ div&gt; &lt;div tabindex =" - 1 "class =" airy-audio-container "style =" opacity: 0 ; visibility: hidden; "&gt; &lt;div tabindex =" - 1 "class =" airy-audio-track-bar "style =" height: 80%; "&gt; &lt;div tabindex =" - 1 "class =" airy-audio -scrubber-bar "style =" height: 85%; "&gt; &lt;/ div&gt; &lt;div tabindex =" - 1 "class =" airy-audio-scrubber "style =" height: 12px; bottom: 85%; "&gt; &lt;/ div&gt; &lt;/ div&gt; &lt;/ div&gt; &lt;/ div&gt; &lt;div tabindex = "- 1" class = "airy-duration-label" style = "float: right; width: 26px; margin-right: 4px; text-align: center; "&gt; 0:00 &lt;/ div&gt; &lt;div tabindex =" - 1 "class =" airy-track-bar-spacer-right "style =" float : right; width: 11px; "&gt; &lt;/ div&gt; &lt;div tabindex =" - 1 "class =" airy-track-bar-container "style =" margin-left: 35px; margin-right: 75px; "&gt; &lt; div tabindex = "- 1" class = "airy-track-bar airy-vertical-centering-table"&gt; &lt;div tabindex = "- 1" class = "airy-vertical-centering-table-cell"&gt; &lt;div tabindex = "-1" class = "airy-track-bar-elements"&gt; &lt;div tabindex = "- 1" class = "airy-progress-bar"&gt; &lt;/ div&gt; &lt;div tabindex = "- 1" class = "airy -scrubber-bar "&gt; &lt;/ div&gt; &lt;div tabindex =" - 1 "class =" airy-scrubber "&gt; &lt;div tabindex =" - 1 "class =" airy-scrubber-icon "&gt; &lt;/ div&gt; &lt;div tabindex = "- 1" class = "airy-adjusted-aui-tooltip" style = "opacity: 0; visibility: hidden;"&gt; &lt;div tabindex = "- 1" class = "airy-adjusted-aui-tooltip-inner "&gt; &lt;div tabindex =" - 1 "class =" airy-current-time-label "&gt; 0:00 &lt;/ div&gt; &lt;/ div&gt; &lt;div tabindex =" - 1 "class =" airy-adjusted-aui- arrow-border "&gt; &lt;div tabindex =" - 1 "class =" airy-adjusted-aui-arrow "&gt; &lt;/ div&gt; &lt;/ div&gt; &lt;/ div&gt; &lt;/ div&gt; &lt;/ div&gt; &lt;/ di v&gt; &lt;/ div&gt; &lt;/ div&gt; &lt;/ div&gt; &lt;/ div&gt; &lt;div tabindex = "- 1" class = "airy-age-gate airy-stage airy-vertical-centering-table airy-dialog" style = "opacity: 0; visibility: hidden;"&gt; &lt;div tabindex = "- 1" class = "airy-age-gate-vertical-centering-table-cell airy-vertical-centering-table-cell"&gt; &lt;div tabindex = "-1" class = "airy-vertical-centering-wrapper airy-age-gate-elements-wrapper"&gt; &lt;div tabindex = "- 1" class = "airy-age-gate-elements airy-dialog-elements"&gt; &lt;div tabindex = "- 1" class = "airy-age-gate-prompt"&gt; This video is not intended for all audiences What date were you born &lt;/ div&gt; &lt;div tabindex =.? "- 1" class = " airy-age-gate-inputs airy-dialog-inner-elements "&gt; &lt;select tabindex =" - 1 "class =" airy-age-gate-month "&gt; &lt;option value =" 1 "&gt; January &lt;/ option&gt; &lt; option value = "2"&gt; February &lt;/ option&gt; &lt;option value = "3"&gt; March &lt;/ option&gt; &lt;option value = "4"&gt; April &lt;/ option&gt; &lt;option value = "5"&gt; May &lt;/ option &gt; &lt;option value = "6"&gt; June &lt;/ option&gt; &lt;option value = "7"&gt; July &lt;/ option&gt; &lt;option value = "8"&gt; August &lt;/ option&gt; &lt;option value = "9"&gt; September &lt; / option&gt; &lt;option value = "10"&gt; October &lt;/ op tion&gt; &lt;option value = "11"&gt; November &lt;/ option&gt; &lt;option value = "12"&gt; December &lt;/ option&gt; &lt;/ select&gt; &lt;select tabindex = "- 1" class = "airy-age-gate-day "&gt; &lt;option value =" 1 "&gt; 1 &lt;/ option&gt; &lt;option value =" 2 "&gt; 2 &lt;/ option&gt; &lt;option value =" 3 "&gt; 3 &lt;/ option&gt; &lt;option value =" 4 "&gt; 4 &lt;/ option&gt; &lt;option value = "5"&gt; 5 &lt;/ option&gt; &lt;option value = "6"&gt; 6 &lt;/ option&gt; &lt;option value = "7"&gt; 7 &lt;/ option&gt; &lt;option value = "8" &gt; 8 &lt;/ option&gt; &lt;option value = "9"&gt; 9 &lt;/ option&gt; &lt;option value = "10"&gt; 10 &lt;/ option&gt; &lt;option value = "11"&gt; 11 &lt;/ option&gt; &lt;option value = " 12 "&gt; 12 &lt;/ option&gt; &lt;option value =" 13 "&gt; 13 &lt;/ option&gt; &lt;option value =" 14 "&gt; 14 &lt;/ option&gt; &lt;option value =" 15 "&gt; 15 &lt;/ option&gt; &lt;option value = "16"&gt; 16 &lt;/ option&gt; &lt;option value = "17"&gt; 17 &lt;/ option&gt; &lt;option value = "18"&gt; 18 &lt;/ option&gt; &lt;option value = "19"&gt; 19 &lt;/ option&gt; &lt; option value = "20"&gt; 20 &lt;/ option&gt; &lt;option value = "21"&gt; 21 &lt;/ option&gt; &lt;option value = "22"&gt; 22 &lt;/ option&gt; &lt;option value = "23"&gt; 23 &lt;/ option &gt; &lt;option value = "24"&gt; 24 &lt;/ option&gt; &lt;option value = "25"&gt; 25 &lt;/ option&gt; &lt;option value = "26"&gt; 26 &lt;/ option&gt; &lt;option value = "27"&gt; 27 &lt; / option&gt; &lt;option value = "28"&gt; 28 &lt;/ option&gt; &lt;option value = "29"&gt; 29 &lt;/ option&gt; &lt;option value = "30"&gt; 30 &lt;/ option&gt; &lt;option value = "31"&gt; 31 &lt;/ option&gt; &lt;/ select&gt; &lt;select tabindex = "- 1" class = "airy-age-gate-year"&gt; &lt;option value = "2019"&gt; 2019 &lt;/ option&gt; &lt;option value = "2018"&gt; 2018 &lt;/ option&gt; &lt;option value = "2017"&gt; 2017 &lt;/ option&gt; &lt;option value = "2016"&gt; ​​2016 &lt;/ option&gt; &lt;option value = "2015"&gt; 2015 &lt;/ option&gt; &lt;option value = "2014"&gt; 2014 &lt;/ option&gt; &lt;option value = "2013"&gt; 2013 &lt;/ option&gt; &lt;option value = "2012"&gt; 2012 &lt;/ option&gt; &lt;option value = "2011"&gt; 2011 &lt;/ option&gt; &lt;option value = "2010"&gt; 2010 &lt;/ option&gt; &lt;option value = "2009"&gt; 2009 &lt;/ option&gt; &lt;option value = "2008"&gt; 2008 &lt;/ option&gt; &lt;option value = "2007"&gt; 2007 &lt;/ option&gt; &lt;option value = "2006"&gt; 2006 &lt;/ option&gt; &lt;option value = "2005"&gt; 2005 &lt;/ option&gt; &lt;option value = "2004"&gt; 2004 &lt;/ option&gt; &lt;option value = "2003"&gt; 2003 &lt;/ option&gt; &lt;option value = "2002"&gt; 2002 &lt;/ option&gt; &lt;option value = "2001"&gt; 2001 &lt;/ option&gt; &lt;option value = "2000" &gt; 2000 &lt;/ option&gt; &lt;option value = "1999"&gt; 1999 &lt;/ option&gt; &lt;option value = "1998"&gt; 1998 &lt;/ option&gt; &lt;option value = "1997"&gt; 1997 &lt;/ option&gt; &lt;option value = " 1996 "&gt; 1996 &lt;/ option&gt; &lt;option value =" 1995 "&gt; 1995 &lt;/ option&gt; &lt;option value =" 1994 "&gt; 1994 &lt;/ option&gt; &lt;option valu e = "1993"&gt; 1993 &lt;/ option&gt; &lt;option value = "1992"&gt; 1992 &lt;/ option&gt; &lt;option value = "1991"&gt; 1991 &lt;/ option&gt; &lt;option value = "1990"&gt; 1990 &lt;/ option&gt; &lt;option value = "1989"&gt; 1989 &lt;/ option&gt; &lt;option value = "1988"&gt; 1988 &lt;/ option&gt; &lt;option value = "1987"&gt; 1987 &lt;/ option&gt; &lt;option value = "1986"&gt; 1986 &lt;/ option&gt; &lt;option value = "1985"&gt; 1985 &lt;/ option&gt; &lt;option value = "1984"&gt; 1984 &lt;/ option&gt; &lt;option value = "1983"&gt; 1983 &lt;/ option&gt; &lt;option value = "1982"&gt; 1982 &lt;/ option&gt; &lt;option value = "1981"&gt; 1981 &lt;/ option&gt; &lt;option value = "1980"&gt; 1980 &lt;/ option&gt; &lt;option value = "1979"&gt; 1979 &lt;/ option&gt; &lt;option value = "1978" &gt; 1978 &lt;/ option&gt; &lt;option value = "1977"&gt; 1977 &lt;/ option&gt; &lt;option value = "1976"&gt; 1976 &lt;/ option&gt; &lt;option value = "1975"&gt; 1975 &lt;/ option&gt; &lt;option value = " 1974 "&gt; 1974 &lt;/ option&gt; &lt;option value =" 1973 "&gt; 1973 &lt;/ option&gt; &lt;option value =" 1972 "&gt; 1972 &lt;/ option&gt; &lt;option value =" 1971 "&gt; 1971 &lt;/ option&gt; &lt;option value = "1970"&gt; 1970 &lt;/ option&gt; &lt;option value = "1969"&gt; 1969 &lt;/ option&gt; &lt;option value = "1968"&gt; 1968 &lt;/ option&gt; &lt;option value = "1967"&gt; 1967 &lt;/ option&gt; &lt; option value = "1966"&gt; 1966 &lt;/ option&gt; &lt;option value = "1965"&gt; 1965 &lt;/ option&gt; &lt;option value = "1964"&gt; 1964 &lt; / Option&gt; &lt;option value = "1963"&gt; 1963 &lt;/ option&gt; &lt;option value = "1962"&gt; 1962 &lt;/ option&gt; &lt;option value = "1961"&gt; 1961 &lt;/ option&gt; &lt;option value = "1960"&gt; 1960 &lt;/ option&gt; &lt;option value = "1959"&gt; 1959 &lt;/ option&gt; &lt;option value = "1958"&gt; 1958 &lt;/ option&gt; &lt;option value = "1957"&gt; 1957 &lt;/ option&gt; &lt;option value = "1956 "&gt; 1956 &lt;/ option&gt; &lt;option value =" 1955 "&gt; 1955 &lt;/ option&gt; &lt;option value =" 1954 "&gt; 1954 &lt;/ option&gt; &lt;option value =" 1953 "&gt; 1953 &lt;/ option&gt; &lt;option value = "1952"&gt; 1952 &lt;/ option&gt; &lt;option value = "1951"&gt; 1951 &lt;/ option&gt; &lt;option value = "1950"&gt; 1950 &lt;/ option&gt; &lt;option value = "1949"&gt; 1949 &lt;/ option&gt; &lt;option value = "1948"&gt; 1948 &lt;/ option&gt; &lt;option value = "1947"&gt; 1947 &lt;/ option&gt; &lt;option value = "1946"&gt; 1946 &lt;/ option&gt; &lt;option value = "1945"&gt; 1945 &lt;/ option&gt; &lt;option value = "1944"&gt; 1944 &lt;/ option&gt; &lt;option value = "1943"&gt; 1943 &lt;/ option&gt; &lt;option value = "1942"&gt; 1942 &lt;/ option&gt; &lt;option value = "1941"&gt; 1941 &lt;/ option&gt; &lt;option value = "1940"&gt; 1940 &lt;/ option&gt; &lt;option value = "1939"&gt; 1939 &lt;/ option&gt; &lt;option value = "1938"&gt; 1938 &lt;/ option&gt; &lt;option value = "1937"&gt; 1937 &lt;/ option&gt; &lt;option value = "1936"&gt; 1936 &lt;/ option&gt; &lt;option value = "1935"&gt; 1935 &lt;/ option&gt; &lt;optio n value = "1934"&gt; 1934 &lt;/ option&gt; &lt;option value = "1933"&gt; 1933 &lt;/ option&gt; &lt;option value = "1932"&gt; 1932 &lt;/ option&gt; &lt;option value = "1931"&gt; 1931 &lt;/ option &gt; &lt;option value = "1930"&gt; 1930 &lt;/ option&gt; &lt;option value = "1929"&gt; 1929 &lt;/ option&gt; &lt;option value = "1928"&gt; 1928 &lt;/ option&gt; &lt;option value = "1927"&gt; 1927 &lt; / option&gt; &lt;option value = "1926"&gt; 1926 &lt;/ option&gt; &lt;option value = "1925"&gt; 1925 &lt;/ option&gt; &lt;option value = "1924"&gt; 1924 &lt;/ option&gt; &lt;option value = "1923"&gt; 1923 &lt;/ option&gt; &lt;option value = "1922"&gt; 1922 &lt;/ option&gt; &lt;option value = "1921"&gt; 1921 &lt;/ option&gt; &lt;option value = "1920"&gt; 1920 &lt;/ option&gt; &lt;option value = "1919 "&gt; 1919 &lt;/ option&gt; &lt;option value =" 1918 "&gt; 1918 &lt;/ option&gt; &lt;option value =" 1917 "&gt; 1917 &lt;/ option&gt; &lt;option value =" 1916 "&gt; 1916 &lt;/ option&gt; &lt;option value = "1915"&gt; 1915 &lt;/ option&gt; &lt;option value = "1914"&gt; 1914 &lt;/ option&gt; &lt;option value = "1913"&gt; 1913 &lt;/ option&gt; &lt;option value = "1912"&gt; 1912 &lt;/ option&gt; &lt;option value = "1911"&gt; 1911 &lt;/ option&gt; &lt;option value = "1910"&gt; 1910 &lt;/ option&gt; &lt;option value = "1909"&gt; 1909 &lt;/ option&gt; &lt;option value = "1908"&gt; 1908 &lt;/ option&gt; &lt;option value = "1907"&gt; 1907 &lt;/ option&gt; &lt;option value = "1906"&gt; 1906 &lt;/ option&gt; &lt;option value = "1905" &gt; 1905 &lt;/ option&gt; &lt;option value = "1904"&gt; 1904 &lt;/ option&gt; &lt;option value = "1903"&gt; 1903 &lt;/ option&gt; &lt;option value = "1902"&gt; 1902 &lt;/ option&gt; &lt;option value = " 1901 "&gt; 1901 &lt;/ option&gt; &lt;option value =" 1900 "&gt; 1900 &lt;/ option&gt; &lt;/ select&gt; &lt;div tabindex =" - 1 "class =" airy-age-gate-submit airy-submit airy-button airy -submit-disabled "&gt; Submit &lt;/ div&gt; &lt;/ div&gt; &lt;/ div&gt; &lt;/ div&gt; &lt;/ div&gt; &lt;/ div&gt; &lt;div tabindex =" - 1 "class =" airy-install-flash-dialog airy -stage airy-vertical-centering-table airy-dialog airy-denied "style =" opacity: 0; visibility: hidden; "&gt; &lt;div tabindex =" - 1 "class =" airy-install-flash-vertical-centering- table-cell airy-vertical-centering-table-cell "&gt; &lt;div tabindex =" - 1 "class =" airy-vertical-centering-wrapper airy-install-flash-elements-wrapper "&gt; &lt;div tabindex =" - 1 "class =" airy-install-flash-elements airy-dialog-elements "&gt; &lt;div tabindex =" - 1 "class =" airy-install-flash-prompt "&gt; Adobe Flash Player is required to watch this video &lt;/. div&gt; &lt;div tabindex = "- 1" class = "airy-install-flash-button-wrapper airy-dialog-inner-elements"&gt; &lt;div tabindex = "- 1" class = "airy-ins tall-flash-button airy-button "&gt; Install Flash Player &lt;/ div&gt; &lt;/ div&gt; &lt;/ div&gt; &lt;/ div&gt; &lt;/ div&gt; &lt;/ div&gt; &lt;div tabindex =" - 1 "class =" airy- video-unsupported-dialog airy-stage airy-vertical-centering-table airy-dialog airy-denied "style =" opacity: 0; visibility: hidden; "&gt; &lt;div tabindex =" - 1 "class =" airy-video- unsupported-vertical-centering-table-cell airy-vertical-centering-table-cell "&gt; &lt;div tabindex =" - 1 "class =" airy-vertical-centering-wrapper airy-video-unsupported-elements-wrapper "&gt; &lt; div tabindex = "- 1" class = "airy-video-unsupported-elements airy-dialog-elements"&gt; &lt;div tabindex = "- 1" class = "airy-video-unsupported-prompt"&gt; &lt;/ div&gt; &lt;/ div&gt; &lt;/ div&gt; &lt;/ div&gt; &lt;/ div&gt; &lt;div tabindex = "- 1" class = "airy-loading-spinner-stage airy-stage"&gt; &lt;div tabindex = "- 1" class = "airy- loading-spinner-vertical-centering-table-cell airy-vertical-centering-table-cell "&gt; &lt;div tabindex =" - 1 "class =" airy-loading-spinner-container airy-scalable-hint-container "&gt; &lt; div tabindex = "- 1" class = "airy-loading-spinner-dummy airy-scalable-dummy"&gt; &lt;/ div&gt; &lt;div tabindex = "- 1" class = "Airy-loading-spinner airy-hint" style = "visibility: hidden;"&gt; &lt;/ div&gt; &lt;/ div&gt; &lt;/ div&gt; &lt;/ div&gt; &lt;div tabindex = "- 1" class = "airy-ads- screen-size-toggle airy-screen-size-toggle airy-fullscreen "style =" visibility: hidden; "&gt; &lt;/ div&gt; &lt;div tabindex =" - 1 "class =" airy-ad-prompt-container "style = "visibility: hidden;"&gt; &lt;div tabindex = "- 1" class = "airy-ad-prompt-vertical-centering-table airy-vertical-centering-table"&gt; &lt;div tabindex = "- 1" class = "airy -ad-prompt-vertical-centering-table-cell airy-vertical-centering-table-cell "&gt; &lt;div tabindex =" - 1 "class =" airy-ad-prompt-label "&gt; &lt;/ div&gt; &lt;/ div &gt; &lt;/ div&gt; &lt;/ div&gt; &lt;div tabindex = "- 1" class = "airy-ads-controls-container" style = "visibility: hidden;"&gt; &lt;div tabindex = "- 1" class = "airy- ads-audio-toggle airy-audio-toggle airy-on "style =" visibility: hidden; "&gt; &lt;/ div&gt; &lt;div tabindex =" - 1 "class =" airy-time-remaining-label-container "&gt; &lt; div tabindex = "- 1" class = "airy-time-remaining-vertical-centering-table airy-vertical-centering-table"&gt; &lt;div tabindex = "- 1" class = "airy-time-remaining-vertical-centering -table-ce ll airy-vertical-centering-table-cell "&gt; &lt;div tabindex =" - 1 "class =" airy-vertical-centering-wrapper airy-time-remaining-label-wrapper "&gt; &lt;div tabindex =" - 1 "class = "airy-time-remaining-label" style = "visibility: hidden;"&gt; &lt;/ div&gt; &lt;div tabindex = "- 1" class = "airy-ad-skip" style = "visibility: hidden;"&gt; &lt; ": hidden visibility;"&gt; &lt;/ div&gt; &lt;/ div&gt; &lt;/ div&gt; &lt;/ div&gt; &lt;/ div&gt; &lt;- / div&gt; &lt;div tabindex = "1" class = style = "airy-ad-end" div tabindex = "- 1" class = "airy-learn-more" style = "visibility: hidden;"&gt; &lt;/ div&gt; &lt;/ div&gt; &lt;div tabindex = "- 1" class = "airy-play-toggle- hint-stage airy-stage airy-cursor "&gt; &lt;div tabindex =" - 1 "class =" airy-play-toggle-hint-vertical-centering-table-cell airy-vertical-centering-table-cell airy-cursor " &gt; &lt;div tabindex = "- 1" class = "airy-play-toggle-hint-container airy-scalable-hint-container"&gt; &lt;div tabindex = "- 1" class = "airy-play-toggle-hint-dummy airy-scalable-dummy "&gt; &lt;/ div&gt; &lt;div tabindex =" - 1 "class =" airy-play-toggle-hint airy-hint airy-play-hint "style =" opacity: 1; visibility: visible; " &gt; &lt;/ div&gt; &lt;/ div&gt; &lt;/ div&gt; &lt;/ div&gt; &lt;div tabindex = " -1 "class =" airy-replay-hint-stage airy-stage "style =" visibility: hidden; "&gt; &lt;div tabindex =" - 1 "class =" airy-replay-hint-vertical-centering-table-cell airy-vertical-centering-table-cell airy-cursor "&gt; &lt;div tabindex =" - 1 "class =" airy-replay-hint-container airy-scalable-hint-container "&gt; &lt;div tabindex =" - 1 "class = "airy-replay-hint-dummy airy-scalable-dummy"&gt; &lt;/ div&gt; &lt;div tabindex = "- 1" class = "airy-replay-hint airy-hint"&gt; &lt;/ div&gt; &lt;/ div&gt; &lt; / div&gt; &lt;/ div&gt; &lt;div tabindex = "- 1" class = "airy-autoplay-hint-stage airy-stage" style = "visibility: hidden;"&gt; &lt;div tabindex = "- 1" class = "airy -autoplay-hint-vertical-centering-table-cell airy-vertical-centering-table-cell airy-cursor "&gt; &lt;div tabindex =" - 1 "class =" airy-autoplay-hint-container airy-scalable-hint- container "&gt; &lt;div tabindex =" - 1 "class =" airy-autoplay-hint-dummy airy-scalable-dummy "&gt; &lt;/ div&gt; &lt;/ div&gt; &lt;/ div&gt; &lt;/ div&gt; &lt;/ div&gt; &lt;/ div&gt; &lt;input type = "hidden" name = "" value = "https://images-cn.ssl-images-amazon.com/images/I/91J-SFaUd0S.mp4" class = "video-url"&gt; &lt;input type = "hidden" name = "" value = "https : //Images-cn.ssl-images-amazon.com/images/I/91ksDQ9L1zS.png "class =" video-slate-img-url "&gt; &amp; nbsp; 438 to buy a water floss from the United States to send over, all look no paper bags, so wretched, water floss boxes are crushed not to return, say belong to commodity quality problems, garbage</v>
      </c>
    </row>
    <row r="1521">
      <c r="A1521" s="1">
        <v>4.0</v>
      </c>
      <c r="B1521" s="1" t="s">
        <v>1520</v>
      </c>
      <c r="C1521" t="str">
        <f>IFERROR(__xludf.DUMMYFUNCTION("GOOGLETRANSLATE(B1521, ""zh"", ""en"")"),"Pants a little big to buy two of the same number this little big, the quality can be")</f>
        <v>Pants a little big to buy two of the same number this little big, the quality can be</v>
      </c>
    </row>
    <row r="1522">
      <c r="A1522" s="1">
        <v>4.0</v>
      </c>
      <c r="B1522" s="1" t="s">
        <v>1521</v>
      </c>
      <c r="C1522" t="str">
        <f>IFERROR(__xludf.DUMMYFUNCTION("GOOGLETRANSLATE(B1522, ""zh"", ""en"")"),"Large crayon crayons smaller barrels, when the coating will crumbs, general bar")</f>
        <v>Large crayon crayons smaller barrels, when the coating will crumbs, general bar</v>
      </c>
    </row>
    <row r="1523">
      <c r="A1523" s="1">
        <v>4.0</v>
      </c>
      <c r="B1523" s="1" t="s">
        <v>1522</v>
      </c>
      <c r="C1523" t="str">
        <f>IFERROR(__xludf.DUMMYFUNCTION("GOOGLETRANSLATE(B1523, ""zh"", ""en"")"),"1 like a general, very light pen. 2, it is EF, not particularly smooth. 3, barrel a little loose. Overall, consistent and worth. My colleague did not smooth Ling US F sharp. It may be too thin.")</f>
        <v>1 like a general, very light pen. 2, it is EF, not particularly smooth. 3, barrel a little loose. Overall, consistent and worth. My colleague did not smooth Ling US F sharp. It may be too thin.</v>
      </c>
    </row>
    <row r="1524">
      <c r="A1524" s="1">
        <v>4.0</v>
      </c>
      <c r="B1524" s="1" t="s">
        <v>1523</v>
      </c>
      <c r="C1524" t="str">
        <f>IFERROR(__xludf.DUMMYFUNCTION("GOOGLETRANSLATE(B1524, ""zh"", ""en"")"),"Colleagues like colleagues like, so that there is buy")</f>
        <v>Colleagues like colleagues like, so that there is buy</v>
      </c>
    </row>
    <row r="1525">
      <c r="A1525" s="1">
        <v>4.0</v>
      </c>
      <c r="B1525" s="1" t="s">
        <v>1524</v>
      </c>
      <c r="C1525" t="str">
        <f>IFERROR(__xludf.DUMMYFUNCTION("GOOGLETRANSLATE(B1525, ""zh"", ""en"")"),"Usually the fabric looks good after seeing the word can be determined that the classic long, fairly suitable shoulder, 170 65kg s code to the packet length in addition to other hip Fortunately, the fabric does not close the surface, take along a thickness"&amp;" thicker wicking performance No, quit sweating for a long time")</f>
        <v>Usually the fabric looks good after seeing the word can be determined that the classic long, fairly suitable shoulder, 170 65kg s code to the packet length in addition to other hip Fortunately, the fabric does not close the surface, take along a thickness thicker wicking performance No, quit sweating for a long time</v>
      </c>
    </row>
    <row r="1526">
      <c r="A1526" s="1">
        <v>5.0</v>
      </c>
      <c r="B1526" s="1" t="s">
        <v>1525</v>
      </c>
      <c r="C1526" t="str">
        <f>IFERROR(__xludf.DUMMYFUNCTION("GOOGLETRANSLATE(B1526, ""zh"", ""en"")"),"Very very convenient with a handle, sucker suction is enough, good")</f>
        <v>Very very convenient with a handle, sucker suction is enough, good</v>
      </c>
    </row>
    <row r="1527">
      <c r="A1527" s="1">
        <v>5.0</v>
      </c>
      <c r="B1527" s="1" t="s">
        <v>1526</v>
      </c>
      <c r="C1527" t="str">
        <f>IFERROR(__xludf.DUMMYFUNCTION("GOOGLETRANSLATE(B1527, ""zh"", ""en"")"),"Good pen, there really is not very EF feel fine, very suitable, stable pen, writing comfort")</f>
        <v>Good pen, there really is not very EF feel fine, very suitable, stable pen, writing comfort</v>
      </c>
    </row>
    <row r="1528">
      <c r="A1528" s="1">
        <v>5.0</v>
      </c>
      <c r="B1528" s="1" t="s">
        <v>1527</v>
      </c>
      <c r="C1528" t="str">
        <f>IFERROR(__xludf.DUMMYFUNCTION("GOOGLETRANSLATE(B1528, ""zh"", ""en"")"),"Good shoes are very light very soft and very comfortable.")</f>
        <v>Good shoes are very light very soft and very comfortable.</v>
      </c>
    </row>
    <row r="1529">
      <c r="A1529" s="1">
        <v>5.0</v>
      </c>
      <c r="B1529" s="1" t="s">
        <v>1055</v>
      </c>
      <c r="C1529" t="str">
        <f>IFERROR(__xludf.DUMMYFUNCTION("GOOGLETRANSLATE(B1529, ""zh"", ""en"")"),"With the United States and Asia to buy, like, right size, texture is really good. Packaging is very good, even made a big night is coming hard, no other buyers say the case is open the package. S 160 45kg buy the right, wearing a very comfortable not tigh"&amp;"t. Something is genuine, and I bought before the United States and Asia is the same, the quality is excellent.")</f>
        <v>With the United States and Asia to buy, like, right size, texture is really good. Packaging is very good, even made a big night is coming hard, no other buyers say the case is open the package. S 160 45kg buy the right, wearing a very comfortable not tight. Something is genuine, and I bought before the United States and Asia is the same, the quality is excellent.</v>
      </c>
    </row>
    <row r="1530">
      <c r="A1530" s="1">
        <v>5.0</v>
      </c>
      <c r="B1530" s="1" t="s">
        <v>1528</v>
      </c>
      <c r="C1530" t="str">
        <f>IFERROR(__xludf.DUMMYFUNCTION("GOOGLETRANSLATE(B1530, ""zh"", ""en"")"),"Jeans CK good quality, the price is very favorable, like")</f>
        <v>Jeans CK good quality, the price is very favorable, like</v>
      </c>
    </row>
    <row r="1531">
      <c r="A1531" s="1">
        <v>5.0</v>
      </c>
      <c r="B1531" s="1" t="s">
        <v>1529</v>
      </c>
      <c r="C1531" t="str">
        <f>IFERROR(__xludf.DUMMYFUNCTION("GOOGLETRANSLATE(B1531, ""zh"", ""en"")"),"The best material goods today's children so happy to do this is for the conscience of the child's second of the")</f>
        <v>The best material goods today's children so happy to do this is for the conscience of the child's second of the</v>
      </c>
    </row>
    <row r="1532">
      <c r="A1532" s="1">
        <v>5.0</v>
      </c>
      <c r="B1532" s="1" t="s">
        <v>1530</v>
      </c>
      <c r="C1532" t="str">
        <f>IFERROR(__xludf.DUMMYFUNCTION("GOOGLETRANSLATE(B1532, ""zh"", ""en"")"),"Good quality shoes too fat, relatively accurate number, the quality was okay, quite satisfactory")</f>
        <v>Good quality shoes too fat, relatively accurate number, the quality was okay, quite satisfactory</v>
      </c>
    </row>
    <row r="1533">
      <c r="A1533" s="1">
        <v>5.0</v>
      </c>
      <c r="B1533" s="1" t="s">
        <v>1531</v>
      </c>
      <c r="C1533" t="str">
        <f>IFERROR(__xludf.DUMMYFUNCTION("GOOGLETRANSLATE(B1533, ""zh"", ""en"")"),"Good right gift, feeling comfortable, stylish pants")</f>
        <v>Good right gift, feeling comfortable, stylish pants</v>
      </c>
    </row>
    <row r="1534">
      <c r="A1534" s="1">
        <v>5.0</v>
      </c>
      <c r="B1534" s="1" t="s">
        <v>1532</v>
      </c>
      <c r="C1534" t="str">
        <f>IFERROR(__xludf.DUMMYFUNCTION("GOOGLETRANSLATE(B1534, ""zh"", ""en"")"),"Millau a really good, since the price is right, super high cost")</f>
        <v>Millau a really good, since the price is right, super high cost</v>
      </c>
    </row>
    <row r="1535">
      <c r="A1535" s="1">
        <v>5.0</v>
      </c>
      <c r="B1535" s="1" t="s">
        <v>1533</v>
      </c>
      <c r="C1535" t="str">
        <f>IFERROR(__xludf.DUMMYFUNCTION("GOOGLETRANSLATE(B1535, ""zh"", ""en"")"),"Good quality clothes can be, yes, the fabric can be comfortable to wear")</f>
        <v>Good quality clothes can be, yes, the fabric can be comfortable to wear</v>
      </c>
    </row>
    <row r="1536">
      <c r="A1536" s="1">
        <v>5.0</v>
      </c>
      <c r="B1536" s="1" t="s">
        <v>1534</v>
      </c>
      <c r="C1536" t="str">
        <f>IFERROR(__xludf.DUMMYFUNCTION("GOOGLETRANSLATE(B1536, ""zh"", ""en"")"),"Well good, very light, Ms. casual one-handed weigh pot, the pot is not very sticky, very satisfied v")</f>
        <v>Well good, very light, Ms. casual one-handed weigh pot, the pot is not very sticky, very satisfied v</v>
      </c>
    </row>
    <row r="1537">
      <c r="A1537" s="1">
        <v>5.0</v>
      </c>
      <c r="B1537" s="1" t="s">
        <v>1535</v>
      </c>
      <c r="C1537" t="str">
        <f>IFERROR(__xludf.DUMMYFUNCTION("GOOGLETRANSLATE(B1537, ""zh"", ""en"")"),"Well send his wife, the fabric is very good, do not fade, very safe and reliable")</f>
        <v>Well send his wife, the fabric is very good, do not fade, very safe and reliable</v>
      </c>
    </row>
    <row r="1538">
      <c r="A1538" s="1">
        <v>5.0</v>
      </c>
      <c r="B1538" s="1" t="s">
        <v>1536</v>
      </c>
      <c r="C1538" t="str">
        <f>IFERROR(__xludf.DUMMYFUNCTION("GOOGLETRANSLATE(B1538, ""zh"", ""en"")"),"Good shoes styles of shoes look great, the price can now buy this style, and so sad.")</f>
        <v>Good shoes styles of shoes look great, the price can now buy this style, and so sad.</v>
      </c>
    </row>
    <row r="1539">
      <c r="A1539" s="1">
        <v>5.0</v>
      </c>
      <c r="B1539" s="1" t="s">
        <v>1537</v>
      </c>
      <c r="C1539" t="str">
        <f>IFERROR(__xludf.DUMMYFUNCTION("GOOGLETRANSLATE(B1539, ""zh"", ""en"")"),"Summer wear a good quality, without any quality problems, the style is very good. 177cm, 74kg, the right size.")</f>
        <v>Summer wear a good quality, without any quality problems, the style is very good. 177cm, 74kg, the right size.</v>
      </c>
    </row>
    <row r="1540">
      <c r="A1540" s="1">
        <v>5.0</v>
      </c>
      <c r="B1540" s="1" t="s">
        <v>1538</v>
      </c>
      <c r="C1540" t="str">
        <f>IFERROR(__xludf.DUMMYFUNCTION("GOOGLETRANSLATE(B1540, ""zh"", ""en"")"),"Something good to buy her daughter, her daughter very much.")</f>
        <v>Something good to buy her daughter, her daughter very much.</v>
      </c>
    </row>
    <row r="1541">
      <c r="A1541" s="1">
        <v>5.0</v>
      </c>
      <c r="B1541" s="1" t="s">
        <v>1539</v>
      </c>
      <c r="C1541" t="str">
        <f>IFERROR(__xludf.DUMMYFUNCTION("GOOGLETRANSLATE(B1541, ""zh"", ""en"")"),"Other long sleeves are good, the neck is a little tight.")</f>
        <v>Other long sleeves are good, the neck is a little tight.</v>
      </c>
    </row>
    <row r="1542">
      <c r="A1542" s="1">
        <v>5.0</v>
      </c>
      <c r="B1542" s="1" t="s">
        <v>1540</v>
      </c>
      <c r="C1542" t="str">
        <f>IFERROR(__xludf.DUMMYFUNCTION("GOOGLETRANSLATE(B1542, ""zh"", ""en"")"),"184.100kg, XL price is very good, but the workmanship is very good. The elastic waist a little hard, 184.100kg, XL appropriate number")</f>
        <v>184.100kg, XL price is very good, but the workmanship is very good. The elastic waist a little hard, 184.100kg, XL appropriate number</v>
      </c>
    </row>
    <row r="1543">
      <c r="A1543" s="1">
        <v>5.0</v>
      </c>
      <c r="B1543" s="1" t="s">
        <v>1541</v>
      </c>
      <c r="C1543" t="str">
        <f>IFERROR(__xludf.DUMMYFUNCTION("GOOGLETRANSLATE(B1543, ""zh"", ""en"")"),"It turned out to be three get one! It turned out to be three get one! Page did not prompt an instant feeling of a one hundred million")</f>
        <v>It turned out to be three get one! It turned out to be three get one! Page did not prompt an instant feeling of a one hundred million</v>
      </c>
    </row>
    <row r="1544">
      <c r="A1544" s="1">
        <v>5.0</v>
      </c>
      <c r="B1544" s="1" t="s">
        <v>1542</v>
      </c>
      <c r="C1544" t="str">
        <f>IFERROR(__xludf.DUMMYFUNCTION("GOOGLETRANSLATE(B1544, ""zh"", ""en"")"),"It may also be a good overall garment fabric, thin fleece, work in general, a little pull on the zip pocket American uneven rough standard. I 185,92.5KG, robust comparison, L clothing length can, the shoulder is too large, giant long sleeves. Overall also"&amp;".")</f>
        <v>It may also be a good overall garment fabric, thin fleece, work in general, a little pull on the zip pocket American uneven rough standard. I 185,92.5KG, robust comparison, L clothing length can, the shoulder is too large, giant long sleeves. Overall also.</v>
      </c>
    </row>
    <row r="1545">
      <c r="A1545" s="1">
        <v>5.0</v>
      </c>
      <c r="B1545" s="1" t="s">
        <v>1543</v>
      </c>
      <c r="C1545" t="str">
        <f>IFERROR(__xludf.DUMMYFUNCTION("GOOGLETRANSLATE(B1545, ""zh"", ""en"")"),"Very appropriate, wearing fit, followed by very soft very good, very appropriate foot wear")</f>
        <v>Very appropriate, wearing fit, followed by very soft very good, very appropriate foot wear</v>
      </c>
    </row>
    <row r="1546">
      <c r="A1546" s="1">
        <v>5.0</v>
      </c>
      <c r="B1546" s="1" t="s">
        <v>1544</v>
      </c>
      <c r="C1546" t="str">
        <f>IFERROR(__xludf.DUMMYFUNCTION("GOOGLETRANSLATE(B1546, ""zh"", ""en"")"),"Good sound quality, sound quality is very good, but need a good front-end, even if the phone")</f>
        <v>Good sound quality, sound quality is very good, but need a good front-end, even if the phone</v>
      </c>
    </row>
    <row r="1547">
      <c r="A1547" s="1">
        <v>5.0</v>
      </c>
      <c r="B1547" s="1" t="s">
        <v>1545</v>
      </c>
      <c r="C1547" t="str">
        <f>IFERROR(__xludf.DUMMYFUNCTION("GOOGLETRANSLATE(B1547, ""zh"", ""en"")"),"Interestingly push very interesting press design, I decided to write a review for each product")</f>
        <v>Interestingly push very interesting press design, I decided to write a review for each product</v>
      </c>
    </row>
    <row r="1548">
      <c r="A1548" s="1">
        <v>2.0</v>
      </c>
      <c r="B1548" s="1" t="s">
        <v>1546</v>
      </c>
      <c r="C1548" t="str">
        <f>IFERROR(__xludf.DUMMYFUNCTION("GOOGLETRANSLATE(B1548, ""zh"", ""en"")"),"Strange shoes my feet wide, and meat, but not the kind of special wide-meat, a little bit of it, recently lost 20 pounds of weight loss, feet, less meat, I would buy a small one yards, foot wear It is particularly long on, like men's shoes, comfort? Buy s"&amp;"mall a yard or good good length, width is not enough, the pressure is very, anyway, my feet can not wear it.")</f>
        <v>Strange shoes my feet wide, and meat, but not the kind of special wide-meat, a little bit of it, recently lost 20 pounds of weight loss, feet, less meat, I would buy a small one yards, foot wear It is particularly long on, like men's shoes, comfort? Buy small a yard or good good length, width is not enough, the pressure is very, anyway, my feet can not wear it.</v>
      </c>
    </row>
    <row r="1549">
      <c r="A1549" s="1">
        <v>3.0</v>
      </c>
      <c r="B1549" s="1" t="s">
        <v>1547</v>
      </c>
      <c r="C1549" t="str">
        <f>IFERROR(__xludf.DUMMYFUNCTION("GOOGLETRANSLATE(B1549, ""zh"", ""en"")"),"Shoes too big fancy these shoes for a long time, about two weeks of arrival, speed still can. Many commented that the shoes look is narrow, so buy big half a yard 39.5, and then on the tragedy. Now only cushion insoles to wear thick socks. Estimates usual"&amp;"ly 39 feet should buy 38.5. Styles of shoes I liked it, but since large strenuous walking, sea Amoy is this bad. I suggest that you re-start the counter of shoes, cry ......")</f>
        <v>Shoes too big fancy these shoes for a long time, about two weeks of arrival, speed still can. Many commented that the shoes look is narrow, so buy big half a yard 39.5, and then on the tragedy. Now only cushion insoles to wear thick socks. Estimates usually 39 feet should buy 38.5. Styles of shoes I liked it, but since large strenuous walking, sea Amoy is this bad. I suggest that you re-start the counter of shoes, cry ......</v>
      </c>
    </row>
    <row r="1550">
      <c r="A1550" s="1">
        <v>3.0</v>
      </c>
      <c r="B1550" s="1" t="s">
        <v>1548</v>
      </c>
      <c r="C1550" t="str">
        <f>IFERROR(__xludf.DUMMYFUNCTION("GOOGLETRANSLATE(B1550, ""zh"", ""en"")"),"Felt a bit too large too large pantyhose short sticky hairs")</f>
        <v>Felt a bit too large too large pantyhose short sticky hairs</v>
      </c>
    </row>
    <row r="1551">
      <c r="A1551" s="1">
        <v>1.0</v>
      </c>
      <c r="B1551" s="1" t="s">
        <v>1549</v>
      </c>
      <c r="C1551" t="str">
        <f>IFERROR(__xludf.DUMMYFUNCTION("GOOGLETRANSLATE(B1551, ""zh"", ""en"")"),"A bad online shopping experience poor quality, a very good online shopping experience, get hands feel completely spread the goods! I can not believe that this is self-Amazon products!")</f>
        <v>A bad online shopping experience poor quality, a very good online shopping experience, get hands feel completely spread the goods! I can not believe that this is self-Amazon products!</v>
      </c>
    </row>
    <row r="1552">
      <c r="A1552" s="1">
        <v>1.0</v>
      </c>
      <c r="B1552" s="1" t="s">
        <v>1550</v>
      </c>
      <c r="C1552" t="str">
        <f>IFERROR(__xludf.DUMMYFUNCTION("GOOGLETRANSLATE(B1552, ""zh"", ""en"")"),"Quality really did not feel like a little worrying ah thread is so much suspicion quality generally like fake")</f>
        <v>Quality really did not feel like a little worrying ah thread is so much suspicion quality generally like fake</v>
      </c>
    </row>
    <row r="1553">
      <c r="A1553" s="1">
        <v>1.0</v>
      </c>
      <c r="B1553" s="1" t="s">
        <v>1551</v>
      </c>
      <c r="C1553" t="str">
        <f>IFERROR(__xludf.DUMMYFUNCTION("GOOGLETRANSLATE(B1553, ""zh"", ""en"")"),"Nichia buy defective, there is a significant gap in the lid")</f>
        <v>Nichia buy defective, there is a significant gap in the lid</v>
      </c>
    </row>
    <row r="1554">
      <c r="A1554" s="1">
        <v>4.0</v>
      </c>
      <c r="B1554" s="1" t="s">
        <v>1552</v>
      </c>
      <c r="C1554" t="str">
        <f>IFERROR(__xludf.DUMMYFUNCTION("GOOGLETRANSLATE(B1554, ""zh"", ""en"")"),"Good good, never went before the evaluation, I do not know how many wasted points, points can change money now know, they should look carefully evaluated, then I put these words to copy to go, both to earn points, but also the easy way to go where copy wh"&amp;"ere, most importantly, do not seriously review, do not think how much worse word, sent directly to it, recommend it to everyone! !")</f>
        <v>Good good, never went before the evaluation,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sent directly to it, recommend it to everyone! !</v>
      </c>
    </row>
    <row r="1555">
      <c r="A1555" s="1">
        <v>4.0</v>
      </c>
      <c r="B1555" s="1" t="s">
        <v>1553</v>
      </c>
      <c r="C1555" t="str">
        <f>IFERROR(__xludf.DUMMYFUNCTION("GOOGLETRANSLATE(B1555, ""zh"", ""en"")"),"Quality general merchandise quality: 1, the glue does not close, coarse dry, there are many debonding. 2, thin cortex than (less than 0.5mm), has suspected multiple cracking phenomenon, compared with the thickness of the wearing leather boots 10 years, un"&amp;"like full grain cowhide. 3, lined with relatively thin, wear resistance in general. 4, the origin of the goods; China, no date of manufacture. Distribution services: Amazon Logistics always good.")</f>
        <v>Quality general merchandise quality: 1, the glue does not close, coarse dry, there are many debonding. 2, thin cortex than (less than 0.5mm), has suspected multiple cracking phenomenon, compared with the thickness of the wearing leather boots 10 years, unlike full grain cowhide. 3, lined with relatively thin, wear resistance in general. 4, the origin of the goods; China, no date of manufacture. Distribution services: Amazon Logistics always good.</v>
      </c>
    </row>
    <row r="1556">
      <c r="A1556" s="1">
        <v>4.0</v>
      </c>
      <c r="B1556" s="1" t="s">
        <v>1554</v>
      </c>
      <c r="C1556" t="str">
        <f>IFERROR(__xludf.DUMMYFUNCTION("GOOGLETRANSLATE(B1556, ""zh"", ""en"")"),"Okay for her husband to buy, the quality of the general quality of underwear, and almost Giordano, the price is not too high requirements.")</f>
        <v>Okay for her husband to buy, the quality of the general quality of underwear, and almost Giordano, the price is not too high requirements.</v>
      </c>
    </row>
    <row r="1557">
      <c r="A1557" s="1">
        <v>4.0</v>
      </c>
      <c r="B1557" s="1" t="s">
        <v>1555</v>
      </c>
      <c r="C1557" t="str">
        <f>IFERROR(__xludf.DUMMYFUNCTION("GOOGLETRANSLATE(B1557, ""zh"", ""en"")"),"Fabrics can also be 36A, equivalent to the domestic 80A ~ 80B, a bit tight around the")</f>
        <v>Fabrics can also be 36A, equivalent to the domestic 80A ~ 80B, a bit tight around the</v>
      </c>
    </row>
    <row r="1558">
      <c r="A1558" s="1">
        <v>4.0</v>
      </c>
      <c r="B1558" s="1" t="s">
        <v>1556</v>
      </c>
      <c r="C1558" t="str">
        <f>IFERROR(__xludf.DUMMYFUNCTION("GOOGLETRANSLATE(B1558, ""zh"", ""en"")"),"Is sent, the size is too large Ouma 42, 270mm, corresponding to country code 44, a bit width of the heel. 42 yards usually wear, the wear is too large, uncomfortable")</f>
        <v>Is sent, the size is too large Ouma 42, 270mm, corresponding to country code 44, a bit width of the heel. 42 yards usually wear, the wear is too large, uncomfortable</v>
      </c>
    </row>
    <row r="1559">
      <c r="A1559" s="1">
        <v>5.0</v>
      </c>
      <c r="B1559" s="1" t="s">
        <v>1557</v>
      </c>
      <c r="C1559" t="str">
        <f>IFERROR(__xludf.DUMMYFUNCTION("GOOGLETRANSLATE(B1559, ""zh"", ""en"")"),"Yes, and I bought a treasure packaging, taste: colors are different, Maidaojiahuo before possible.")</f>
        <v>Yes, and I bought a treasure packaging, taste: colors are different, Maidaojiahuo before possible.</v>
      </c>
    </row>
    <row r="1560">
      <c r="A1560" s="1">
        <v>5.0</v>
      </c>
      <c r="B1560" s="1" t="s">
        <v>1558</v>
      </c>
      <c r="C1560" t="str">
        <f>IFERROR(__xludf.DUMMYFUNCTION("GOOGLETRANSLATE(B1560, ""zh"", ""en"")"),"Not bad, very self-cultivation! Cost-effective")</f>
        <v>Not bad, very self-cultivation! Cost-effective</v>
      </c>
    </row>
    <row r="1561">
      <c r="A1561" s="1">
        <v>5.0</v>
      </c>
      <c r="B1561" s="1" t="s">
        <v>1559</v>
      </c>
      <c r="C1561" t="str">
        <f>IFERROR(__xludf.DUMMYFUNCTION("GOOGLETRANSLATE(B1561, ""zh"", ""en"")"),"Very good particularly good")</f>
        <v>Very good particularly good</v>
      </c>
    </row>
    <row r="1562">
      <c r="A1562" s="1">
        <v>5.0</v>
      </c>
      <c r="B1562" s="1" t="s">
        <v>1560</v>
      </c>
      <c r="C1562" t="str">
        <f>IFERROR(__xludf.DUMMYFUNCTION("GOOGLETRANSLATE(B1562, ""zh"", ""en"")"),"Very good light, like")</f>
        <v>Very good light, like</v>
      </c>
    </row>
    <row r="1563">
      <c r="A1563" s="1">
        <v>5.0</v>
      </c>
      <c r="B1563" s="1" t="s">
        <v>1561</v>
      </c>
      <c r="C1563" t="str">
        <f>IFERROR(__xludf.DUMMYFUNCTION("GOOGLETRANSLATE(B1563, ""zh"", ""en"")"),"Goods are, easy to use good eye cream")</f>
        <v>Goods are, easy to use good eye cream</v>
      </c>
    </row>
    <row r="1564">
      <c r="A1564" s="1">
        <v>5.0</v>
      </c>
      <c r="B1564" s="1" t="s">
        <v>1562</v>
      </c>
      <c r="C1564" t="str">
        <f>IFERROR(__xludf.DUMMYFUNCTION("GOOGLETRANSLATE(B1564, ""zh"", ""en"")"),"Very very comfortable shoes are particularly good and very comfortable, like the store counter and postal logistics in advance for the first time in the Amazon to buy good will continue to repurchase!")</f>
        <v>Very very comfortable shoes are particularly good and very comfortable, like the store counter and postal logistics in advance for the first time in the Amazon to buy good will continue to repurchase!</v>
      </c>
    </row>
    <row r="1565">
      <c r="A1565" s="1">
        <v>5.0</v>
      </c>
      <c r="B1565" s="1" t="s">
        <v>1563</v>
      </c>
      <c r="C1565" t="str">
        <f>IFERROR(__xludf.DUMMYFUNCTION("GOOGLETRANSLATE(B1565, ""zh"", ""en"")"),"Version does not seem to fit very good fabric worn in winter, it will suck in the legs; the version is very good")</f>
        <v>Version does not seem to fit very good fabric worn in winter, it will suck in the legs; the version is very good</v>
      </c>
    </row>
    <row r="1566">
      <c r="A1566" s="1">
        <v>5.0</v>
      </c>
      <c r="B1566" s="1" t="s">
        <v>1564</v>
      </c>
      <c r="C1566" t="str">
        <f>IFERROR(__xludf.DUMMYFUNCTION("GOOGLETRANSLATE(B1566, ""zh"", ""en"")"),"Good quality affordable quality, open the lock is very convenient, very good insulation properties")</f>
        <v>Good quality affordable quality, open the lock is very convenient, very good insulation properties</v>
      </c>
    </row>
    <row r="1567">
      <c r="A1567" s="1">
        <v>5.0</v>
      </c>
      <c r="B1567" s="1" t="s">
        <v>1565</v>
      </c>
      <c r="C1567" t="str">
        <f>IFERROR(__xludf.DUMMYFUNCTION("GOOGLETRANSLATE(B1567, ""zh"", ""en"")"),"Very comfortable, breathable and comfortable, this is the third piece of the purchase. To be able to wear this often, daily open-necked clothes no longer pick up larger lower. No chest pad lining, very breathable, Guangdong suitable for the long-term loca"&amp;"l summer. Want to help, then do not consider plastic. I usually 32A, 70 less than the bottom circumference, through section 75B also fit substantially")</f>
        <v>Very comfortable, breathable and comfortable, this is the third piece of the purchase. To be able to wear this often, daily open-necked clothes no longer pick up larger lower. No chest pad lining, very breathable, Guangdong suitable for the long-term local summer. Want to help, then do not consider plastic. I usually 32A, 70 less than the bottom circumference, through section 75B also fit substantially</v>
      </c>
    </row>
    <row r="1568">
      <c r="A1568" s="1">
        <v>5.0</v>
      </c>
      <c r="B1568" s="1" t="s">
        <v>1566</v>
      </c>
      <c r="C1568" t="str">
        <f>IFERROR(__xludf.DUMMYFUNCTION("GOOGLETRANSLATE(B1568, ""zh"", ""en"")"),"Nice shoes feel comfortable sports shoes")</f>
        <v>Nice shoes feel comfortable sports shoes</v>
      </c>
    </row>
    <row r="1569">
      <c r="A1569" s="1">
        <v>5.0</v>
      </c>
      <c r="B1569" s="1" t="s">
        <v>1567</v>
      </c>
      <c r="C1569" t="str">
        <f>IFERROR(__xludf.DUMMYFUNCTION("GOOGLETRANSLATE(B1569, ""zh"", ""en"")"),"42 yards, just the right size, width Jiaogan are in line with past due")</f>
        <v>42 yards, just the right size, width Jiaogan are in line with past due</v>
      </c>
    </row>
    <row r="1570">
      <c r="A1570" s="1">
        <v>5.0</v>
      </c>
      <c r="B1570" s="1" t="s">
        <v>1568</v>
      </c>
      <c r="C1570" t="str">
        <f>IFERROR(__xludf.DUMMYFUNCTION("GOOGLETRANSLATE(B1570, ""zh"", ""en"")"),"This product is worth having this product I personally very satisfied, especially the tank capacity is large enough, do not hold water several times")</f>
        <v>This product is worth having this product I personally very satisfied, especially the tank capacity is large enough, do not hold water several times</v>
      </c>
    </row>
    <row r="1571">
      <c r="A1571" s="1">
        <v>5.0</v>
      </c>
      <c r="B1571" s="1" t="s">
        <v>1569</v>
      </c>
      <c r="C1571" t="str">
        <f>IFERROR(__xludf.DUMMYFUNCTION("GOOGLETRANSLATE(B1571, ""zh"", ""en"")"),"High waist, high waist comfortable cotton underwear, wearing very comfortable. We intend to increase purchase.")</f>
        <v>High waist, high waist comfortable cotton underwear, wearing very comfortable. We intend to increase purchase.</v>
      </c>
    </row>
    <row r="1572">
      <c r="A1572" s="1">
        <v>5.0</v>
      </c>
      <c r="B1572" s="1" t="s">
        <v>1570</v>
      </c>
      <c r="C1572" t="str">
        <f>IFERROR(__xludf.DUMMYFUNCTION("GOOGLETRANSLATE(B1572, ""zh"", ""en"")"),"Thermal insulation effect is good, attractive appearance")</f>
        <v>Thermal insulation effect is good, attractive appearance</v>
      </c>
    </row>
    <row r="1573">
      <c r="A1573" s="1">
        <v>5.0</v>
      </c>
      <c r="B1573" s="1" t="s">
        <v>1571</v>
      </c>
      <c r="C1573" t="str">
        <f>IFERROR(__xludf.DUMMYFUNCTION("GOOGLETRANSLATE(B1573, ""zh"", ""en"")"),"Amazon family trust overseas purchase Swisse products or can be, this is produced in Australia, enough to pay for a few months.")</f>
        <v>Amazon family trust overseas purchase Swisse products or can be, this is produced in Australia, enough to pay for a few months.</v>
      </c>
    </row>
    <row r="1574">
      <c r="A1574" s="1">
        <v>5.0</v>
      </c>
      <c r="B1574" s="1" t="s">
        <v>1572</v>
      </c>
      <c r="C1574" t="str">
        <f>IFERROR(__xludf.DUMMYFUNCTION("GOOGLETRANSLATE(B1574, ""zh"", ""en"")"),"Received no instruction manual pasta machine, very small, Ye Hao, I tried it, hardness and poor control when the plane. No manual, it is not leak made? Crank has Nabuxialai, stuck in a patch of local press, local press could not move the child into pieces"&amp;". Just call the Amazon customer service, customer service said to buy merchandise purchased is no warranty, returned only a month period.")</f>
        <v>Received no instruction manual pasta machine, very small, Ye Hao, I tried it, hardness and poor control when the plane. No manual, it is not leak made? Crank has Nabuxialai, stuck in a patch of local press, local press could not move the child into pieces. Just call the Amazon customer service, customer service said to buy merchandise purchased is no warranty, returned only a month period.</v>
      </c>
    </row>
    <row r="1575">
      <c r="A1575" s="1">
        <v>5.0</v>
      </c>
      <c r="B1575" s="1" t="s">
        <v>1573</v>
      </c>
      <c r="C1575" t="str">
        <f>IFERROR(__xludf.DUMMYFUNCTION("GOOGLETRANSLATE(B1575, ""zh"", ""en"")"),"About me choose the size weight 120 height 165, wearing a very appropriate l, m should be able to wear, but not as l easing")</f>
        <v>About me choose the size weight 120 height 165, wearing a very appropriate l, m should be able to wear, but not as l easing</v>
      </c>
    </row>
    <row r="1576">
      <c r="A1576" s="1">
        <v>5.0</v>
      </c>
      <c r="B1576" s="1" t="s">
        <v>1574</v>
      </c>
      <c r="C1576" t="str">
        <f>IFERROR(__xludf.DUMMYFUNCTION("GOOGLETRANSLATE(B1576, ""zh"", ""en"")"),"Very insulation! Very insulation!")</f>
        <v>Very insulation! Very insulation!</v>
      </c>
    </row>
    <row r="1577">
      <c r="A1577" s="1">
        <v>5.0</v>
      </c>
      <c r="B1577" s="1" t="s">
        <v>1575</v>
      </c>
      <c r="C1577" t="str">
        <f>IFERROR(__xludf.DUMMYFUNCTION("GOOGLETRANSLATE(B1577, ""zh"", ""en"")"),"General cost is not high, the price is a little expensive")</f>
        <v>General cost is not high, the price is a little expensive</v>
      </c>
    </row>
    <row r="1578">
      <c r="A1578" s="1">
        <v>5.0</v>
      </c>
      <c r="B1578" s="1" t="s">
        <v>1576</v>
      </c>
      <c r="C1578" t="str">
        <f>IFERROR(__xludf.DUMMYFUNCTION("GOOGLETRANSLATE(B1578, ""zh"", ""en"")"),"Good German rigor has always been admirable, no matter how the pen body rotation, the final will tip toward the direction! Personal feeling slightly wider nose a bit, but that does not hinder the smooth writing. Black ink bag used directly, ink colors are"&amp;" uniform, and uniform and smooth water and dried easily. Very light weight, but thicker pen body, estimated that the girls would have some difficulty with. The only drawback is the overall impression material pen body feel good enough for this price.")</f>
        <v>Good German rigor has always been admirable, no matter how the pen body rotation, the final will tip toward the direction! Personal feeling slightly wider nose a bit, but that does not hinder the smooth writing. Black ink bag used directly, ink colors are uniform, and uniform and smooth water and dried easily. Very light weight, but thicker pen body, estimated that the girls would have some difficulty with. The only drawback is the overall impression material pen body feel good enough for this price.</v>
      </c>
    </row>
    <row r="1579">
      <c r="A1579" s="1">
        <v>5.0</v>
      </c>
      <c r="B1579" s="1" t="s">
        <v>1577</v>
      </c>
      <c r="C1579" t="str">
        <f>IFERROR(__xludf.DUMMYFUNCTION("GOOGLETRANSLATE(B1579, ""zh"", ""en"")"),"Very nice socks. Bought to give as gifts found to be men. . . .")</f>
        <v>Very nice socks. Bought to give as gifts found to be men. . . .</v>
      </c>
    </row>
    <row r="1580">
      <c r="A1580" s="1">
        <v>5.0</v>
      </c>
      <c r="B1580" s="1" t="s">
        <v>1578</v>
      </c>
      <c r="C1580" t="str">
        <f>IFERROR(__xludf.DUMMYFUNCTION("GOOGLETRANSLATE(B1580, ""zh"", ""en"")"),"A little off paint insulation effect, Chinese production, high 22㎝ and pictures do not meet, paint chips")</f>
        <v>A little off paint insulation effect, Chinese production, high 22㎝ and pictures do not meet, paint chips</v>
      </c>
    </row>
    <row r="1581">
      <c r="A1581" s="1">
        <v>2.0</v>
      </c>
      <c r="B1581" s="1" t="s">
        <v>1579</v>
      </c>
      <c r="C1581" t="str">
        <f>IFERROR(__xludf.DUMMYFUNCTION("GOOGLETRANSLATE(B1581, ""zh"", ""en"")"),"With a taste for so long, glass or taste, and big. Before holding 100 points trust did not pay attention today to drink water with children find delicious large quilt. Fake or so? Worth the price! ! !")</f>
        <v>With a taste for so long, glass or taste, and big. Before holding 100 points trust did not pay attention today to drink water with children find delicious large quilt. Fake or so? Worth the price! ! !</v>
      </c>
    </row>
    <row r="1582">
      <c r="A1582" s="1">
        <v>3.0</v>
      </c>
      <c r="B1582" s="1" t="s">
        <v>1580</v>
      </c>
      <c r="C1582" t="str">
        <f>IFERROR(__xludf.DUMMYFUNCTION("GOOGLETRANSLATE(B1582, ""zh"", ""en"")"),"A little disappointed, did not achieve the desired effect for two years for the first time to change head, a little disappointed with the results, must be shaved clean by hand pulling faces, had to shave back and forth several times")</f>
        <v>A little disappointed, did not achieve the desired effect for two years for the first time to change head, a little disappointed with the results, must be shaved clean by hand pulling faces, had to shave back and forth several times</v>
      </c>
    </row>
    <row r="1583">
      <c r="A1583" s="1">
        <v>3.0</v>
      </c>
      <c r="B1583" s="1" t="s">
        <v>1581</v>
      </c>
      <c r="C1583" t="str">
        <f>IFERROR(__xludf.DUMMYFUNCTION("GOOGLETRANSLATE(B1583, ""zh"", ""en"")"),"Some shoes usually wear shoe 41 is narrow, this is 41, the length of the shoe is enough, is a little narrow. The rest are pretty good")</f>
        <v>Some shoes usually wear shoe 41 is narrow, this is 41, the length of the shoe is enough, is a little narrow. The rest are pretty good</v>
      </c>
    </row>
    <row r="1584">
      <c r="A1584" s="1">
        <v>3.0</v>
      </c>
      <c r="B1584" s="1" t="s">
        <v>1582</v>
      </c>
      <c r="C1584" t="str">
        <f>IFERROR(__xludf.DUMMYFUNCTION("GOOGLETRANSLATE(B1584, ""zh"", ""en"")"),"too sweet! Although there are Smelly taste than on the feeling there is progress, but it really is too sweet!")</f>
        <v>too sweet! Although there are Smelly taste than on the feeling there is progress, but it really is too sweet!</v>
      </c>
    </row>
    <row r="1585">
      <c r="A1585" s="1">
        <v>1.0</v>
      </c>
      <c r="B1585" s="1" t="s">
        <v>1583</v>
      </c>
      <c r="C1585" t="str">
        <f>IFERROR(__xludf.DUMMYFUNCTION("GOOGLETRANSLATE(B1585, ""zh"", ""en"")"),"Three months on the bad quality is poor, the quality of worrying, I'm still in with a baby")</f>
        <v>Three months on the bad quality is poor, the quality of worrying, I'm still in with a baby</v>
      </c>
    </row>
    <row r="1586">
      <c r="A1586" s="1">
        <v>1.0</v>
      </c>
      <c r="B1586" s="1" t="s">
        <v>1584</v>
      </c>
      <c r="C1586" t="str">
        <f>IFERROR(__xludf.DUMMYFUNCTION("GOOGLETRANSLATE(B1586, ""zh"", ""en"")"),"The poor quality of customer service of goods to the other buyers. Poor customer service to Central Asia, customers get the runaround head.")</f>
        <v>The poor quality of customer service of goods to the other buyers. Poor customer service to Central Asia, customers get the runaround head.</v>
      </c>
    </row>
    <row r="1587">
      <c r="A1587" s="1">
        <v>1.0</v>
      </c>
      <c r="B1587" s="1" t="s">
        <v>1585</v>
      </c>
      <c r="C1587" t="str">
        <f>IFERROR(__xludf.DUMMYFUNCTION("GOOGLETRANSLATE(B1587, ""zh"", ""en"")"),"Rotten buy is bad, returns also pit, rotten")</f>
        <v>Rotten buy is bad, returns also pit, rotten</v>
      </c>
    </row>
    <row r="1588">
      <c r="A1588" s="1">
        <v>4.0</v>
      </c>
      <c r="B1588" s="1" t="s">
        <v>1586</v>
      </c>
      <c r="C1588" t="str">
        <f>IFERROR(__xludf.DUMMYFUNCTION("GOOGLETRANSLATE(B1588, ""zh"", ""en"")"),"Value for money is very fond of children")</f>
        <v>Value for money is very fond of children</v>
      </c>
    </row>
    <row r="1589">
      <c r="A1589" s="1">
        <v>4.0</v>
      </c>
      <c r="B1589" s="1" t="s">
        <v>1587</v>
      </c>
      <c r="C1589" t="str">
        <f>IFERROR(__xludf.DUMMYFUNCTION("GOOGLETRANSLATE(B1589, ""zh"", ""en"")"),"Inseam inseam for beauty legs")</f>
        <v>Inseam inseam for beauty legs</v>
      </c>
    </row>
    <row r="1590">
      <c r="A1590" s="1">
        <v>4.0</v>
      </c>
      <c r="B1590" s="1" t="s">
        <v>1588</v>
      </c>
      <c r="C1590" t="str">
        <f>IFERROR(__xludf.DUMMYFUNCTION("GOOGLETRANSLATE(B1590, ""zh"", ""en"")"),"Safety and effectiveness of vanilla ice cream did not taste good chocolate")</f>
        <v>Safety and effectiveness of vanilla ice cream did not taste good chocolate</v>
      </c>
    </row>
    <row r="1591">
      <c r="A1591" s="1">
        <v>4.0</v>
      </c>
      <c r="B1591" s="1" t="s">
        <v>1589</v>
      </c>
      <c r="C1591" t="str">
        <f>IFERROR(__xludf.DUMMYFUNCTION("GOOGLETRANSLATE(B1591, ""zh"", ""en"")"),"The effect is not obvious and more and more obvious the effect is not.")</f>
        <v>The effect is not obvious and more and more obvious the effect is not.</v>
      </c>
    </row>
    <row r="1592">
      <c r="A1592" s="1">
        <v>4.0</v>
      </c>
      <c r="B1592" s="1" t="s">
        <v>1590</v>
      </c>
      <c r="C1592" t="str">
        <f>IFERROR(__xludf.DUMMYFUNCTION("GOOGLETRANSLATE(B1592, ""zh"", ""en"")"),"Generally small, less than 100 yuan to buy really good stuff")</f>
        <v>Generally small, less than 100 yuan to buy really good stuff</v>
      </c>
    </row>
    <row r="1593">
      <c r="A1593" s="1">
        <v>5.0</v>
      </c>
      <c r="B1593" s="1" t="s">
        <v>1591</v>
      </c>
      <c r="C1593" t="str">
        <f>IFERROR(__xludf.DUMMYFUNCTION("GOOGLETRANSLATE(B1593, ""zh"", ""en"")"),"Good bowls good, there is straw, sucking child can eat. Good bowl design, can be hidden in the straw bowl.")</f>
        <v>Good bowls good, there is straw, sucking child can eat. Good bowl design, can be hidden in the straw bowl.</v>
      </c>
    </row>
    <row r="1594">
      <c r="A1594" s="1">
        <v>5.0</v>
      </c>
      <c r="B1594" s="1" t="s">
        <v>1592</v>
      </c>
      <c r="C1594" t="str">
        <f>IFERROR(__xludf.DUMMYFUNCTION("GOOGLETRANSLATE(B1594, ""zh"", ""en"")"),"Like sea Amoy really very good, faster than expected four days send at hand. Speed, installed in the invincible lion in shooting snapshots accessible!")</f>
        <v>Like sea Amoy really very good, faster than expected four days send at hand. Speed, installed in the invincible lion in shooting snapshots accessible!</v>
      </c>
    </row>
    <row r="1595">
      <c r="A1595" s="1">
        <v>5.0</v>
      </c>
      <c r="B1595" s="1" t="s">
        <v>1593</v>
      </c>
      <c r="C1595" t="str">
        <f>IFERROR(__xludf.DUMMYFUNCTION("GOOGLETRANSLATE(B1595, ""zh"", ""en"")"),"Deserve the right size, quality, reliable, cost-effective.")</f>
        <v>Deserve the right size, quality, reliable, cost-effective.</v>
      </c>
    </row>
    <row r="1596">
      <c r="A1596" s="1">
        <v>5.0</v>
      </c>
      <c r="B1596" s="1" t="s">
        <v>1594</v>
      </c>
      <c r="C1596" t="str">
        <f>IFERROR(__xludf.DUMMYFUNCTION("GOOGLETRANSLATE(B1596, ""zh"", ""en"")"),"Nice pants did not pass through the counter, but the price of this quality already. Waist 170,130 pounds, 31 just fine. Version or slant a little fat, are satisfied")</f>
        <v>Nice pants did not pass through the counter, but the price of this quality already. Waist 170,130 pounds, 31 just fine. Version or slant a little fat, are satisfied</v>
      </c>
    </row>
    <row r="1597">
      <c r="A1597" s="1">
        <v>5.0</v>
      </c>
      <c r="B1597" s="1" t="s">
        <v>1595</v>
      </c>
      <c r="C1597" t="str">
        <f>IFERROR(__xludf.DUMMYFUNCTION("GOOGLETRANSLATE(B1597, ""zh"", ""en"")"),"Good not used other bottles, it feels pretty good")</f>
        <v>Good not used other bottles, it feels pretty good</v>
      </c>
    </row>
    <row r="1598">
      <c r="A1598" s="1">
        <v>5.0</v>
      </c>
      <c r="B1598" s="1" t="s">
        <v>1596</v>
      </c>
      <c r="C1598" t="str">
        <f>IFERROR(__xludf.DUMMYFUNCTION("GOOGLETRANSLATE(B1598, ""zh"", ""en"")"),"Cotton Cotton, mother identified before, feel super good, the right size. Just finished, waiting for her husband Evaluation")</f>
        <v>Cotton Cotton, mother identified before, feel super good, the right size. Just finished, waiting for her husband Evaluation</v>
      </c>
    </row>
    <row r="1599">
      <c r="A1599" s="1">
        <v>5.0</v>
      </c>
      <c r="B1599" s="1" t="s">
        <v>1597</v>
      </c>
      <c r="C1599" t="str">
        <f>IFERROR(__xludf.DUMMYFUNCTION("GOOGLETRANSLATE(B1599, ""zh"", ""en"")"),"ok very good pair of shoes, the right size, comfortable and breathable!")</f>
        <v>ok very good pair of shoes, the right size, comfortable and breathable!</v>
      </c>
    </row>
    <row r="1600">
      <c r="A1600" s="1">
        <v>5.0</v>
      </c>
      <c r="B1600" s="1" t="s">
        <v>1598</v>
      </c>
      <c r="C1600" t="str">
        <f>IFERROR(__xludf.DUMMYFUNCTION("GOOGLETRANSLATE(B1600, ""zh"", ""en"")"),"A big bottle of ah packaging intact, express delivery soon, is said to liquid calcium absorption is better")</f>
        <v>A big bottle of ah packaging intact, express delivery soon, is said to liquid calcium absorption is better</v>
      </c>
    </row>
    <row r="1601">
      <c r="A1601" s="1">
        <v>5.0</v>
      </c>
      <c r="B1601" s="1" t="s">
        <v>1599</v>
      </c>
      <c r="C1601" t="str">
        <f>IFERROR(__xludf.DUMMYFUNCTION("GOOGLETRANSLATE(B1601, ""zh"", ""en"")"),"Clothing is very good, size is also very suitable because it is overseas purchase, the buyer before the US message read before, they think this jacket size is too small, has also been worried. But when I received the jacket, dress behind him, very happy f"&amp;"or this jacket is perfect for me.")</f>
        <v>Clothing is very good, size is also very suitable because it is overseas purchase, the buyer before the US message read before, they think this jacket size is too small, has also been worried. But when I received the jacket, dress behind him, very happy for this jacket is perfect for me.</v>
      </c>
    </row>
    <row r="1602">
      <c r="A1602" s="1">
        <v>5.0</v>
      </c>
      <c r="B1602" s="1" t="s">
        <v>1600</v>
      </c>
      <c r="C1602" t="str">
        <f>IFERROR(__xludf.DUMMYFUNCTION("GOOGLETRANSLATE(B1602, ""zh"", ""en"")"),"Reasonably comfortable design style, comfortable, ready to buy one.")</f>
        <v>Reasonably comfortable design style, comfortable, ready to buy one.</v>
      </c>
    </row>
    <row r="1603">
      <c r="A1603" s="1">
        <v>5.0</v>
      </c>
      <c r="B1603" s="1" t="s">
        <v>1601</v>
      </c>
      <c r="C1603" t="str">
        <f>IFERROR(__xludf.DUMMYFUNCTION("GOOGLETRANSLATE(B1603, ""zh"", ""en"")"),"Good, it looks very handsome and very comfortable to wear")</f>
        <v>Good, it looks very handsome and very comfortable to wear</v>
      </c>
    </row>
    <row r="1604">
      <c r="A1604" s="1">
        <v>5.0</v>
      </c>
      <c r="B1604" s="1" t="s">
        <v>1602</v>
      </c>
      <c r="C1604" t="str">
        <f>IFERROR(__xludf.DUMMYFUNCTION("GOOGLETRANSLATE(B1604, ""zh"", ""en"")"),"It fit very fit, the right size, pants good shape")</f>
        <v>It fit very fit, the right size, pants good shape</v>
      </c>
    </row>
    <row r="1605">
      <c r="A1605" s="1">
        <v>5.0</v>
      </c>
      <c r="B1605" s="1" t="s">
        <v>1603</v>
      </c>
      <c r="C1605" t="str">
        <f>IFERROR(__xludf.DUMMYFUNCTION("GOOGLETRANSLATE(B1605, ""zh"", ""en"")"),"In addition to very much like a little big point, the other are very good! Very warm Bang Bangbang")</f>
        <v>In addition to very much like a little big point, the other are very good! Very warm Bang Bangbang</v>
      </c>
    </row>
    <row r="1606">
      <c r="A1606" s="1">
        <v>5.0</v>
      </c>
      <c r="B1606" s="1" t="s">
        <v>1604</v>
      </c>
      <c r="C1606" t="str">
        <f>IFERROR(__xludf.DUMMYFUNCTION("GOOGLETRANSLATE(B1606, ""zh"", ""en"")"),"Bottle small nephew liked the look, it is also comfortable with, very nice little bottle")</f>
        <v>Bottle small nephew liked the look, it is also comfortable with, very nice little bottle</v>
      </c>
    </row>
    <row r="1607">
      <c r="A1607" s="1">
        <v>5.0</v>
      </c>
      <c r="B1607" s="1" t="s">
        <v>1605</v>
      </c>
      <c r="C1607" t="str">
        <f>IFERROR(__xludf.DUMMYFUNCTION("GOOGLETRANSLATE(B1607, ""zh"", ""en"")"),"Shoes are very good, very satisfied with the very good")</f>
        <v>Shoes are very good, very satisfied with the very good</v>
      </c>
    </row>
    <row r="1608">
      <c r="A1608" s="1">
        <v>5.0</v>
      </c>
      <c r="B1608" s="1" t="s">
        <v>1606</v>
      </c>
      <c r="C1608" t="str">
        <f>IFERROR(__xludf.DUMMYFUNCTION("GOOGLETRANSLATE(B1608, ""zh"", ""en"")"),"awesome! Nice, fine, workmanship, quality Leverage insulation effect Leverage, 12:00 filling into water 85 degrees, at 20 degrees at room temperature, to 20:00 open, further hot not enter the mouth, super satisfied!")</f>
        <v>awesome! Nice, fine, workmanship, quality Leverage insulation effect Leverage, 12:00 filling into water 85 degrees, at 20 degrees at room temperature, to 20:00 open, further hot not enter the mouth, super satisfied!</v>
      </c>
    </row>
    <row r="1609">
      <c r="A1609" s="1">
        <v>5.0</v>
      </c>
      <c r="B1609" s="1" t="s">
        <v>1607</v>
      </c>
      <c r="C1609" t="str">
        <f>IFERROR(__xludf.DUMMYFUNCTION("GOOGLETRANSLATE(B1609, ""zh"", ""en"")"),"Cost-effective high speed and sometimes fast, sometimes slow, high cost, big man, but plug the computer does not take, I do not know how to get, will partially formatted hard disk format conversion, it is ok. However, no response interpolation MAC")</f>
        <v>Cost-effective high speed and sometimes fast, sometimes slow, high cost, big man, but plug the computer does not take, I do not know how to get, will partially formatted hard disk format conversion, it is ok. However, no response interpolation MAC</v>
      </c>
    </row>
    <row r="1610">
      <c r="A1610" s="1">
        <v>5.0</v>
      </c>
      <c r="B1610" s="1" t="s">
        <v>1608</v>
      </c>
      <c r="C1610" t="str">
        <f>IFERROR(__xludf.DUMMYFUNCTION("GOOGLETRANSLATE(B1610, ""zh"", ""en"")"),"Amazon to buy shoes must be absolutely authentic, than the same money would buy only products work much better, feeling great value")</f>
        <v>Amazon to buy shoes must be absolutely authentic, than the same money would buy only products work much better, feeling great value</v>
      </c>
    </row>
    <row r="1611">
      <c r="A1611" s="1">
        <v>5.0</v>
      </c>
      <c r="B1611" s="1" t="s">
        <v>1609</v>
      </c>
      <c r="C1611" t="str">
        <f>IFERROR(__xludf.DUMMYFUNCTION("GOOGLETRANSLATE(B1611, ""zh"", ""en"")"),"Overall, good shoes is good, PUMA shoes on the market with little to sell, only to have these models on Amazon, then you can consider this a long-term purchase")</f>
        <v>Overall, good shoes is good, PUMA shoes on the market with little to sell, only to have these models on Amazon, then you can consider this a long-term purchase</v>
      </c>
    </row>
    <row r="1612">
      <c r="A1612" s="1">
        <v>5.0</v>
      </c>
      <c r="B1612" s="1" t="s">
        <v>1610</v>
      </c>
      <c r="C1612" t="str">
        <f>IFERROR(__xludf.DUMMYFUNCTION("GOOGLETRANSLATE(B1612, ""zh"", ""en"")"),"Suitable very good, as good as imagined. Fabric texture comfortable fit.")</f>
        <v>Suitable very good, as good as imagined. Fabric texture comfortable fit.</v>
      </c>
    </row>
    <row r="1613">
      <c r="A1613" s="1">
        <v>5.0</v>
      </c>
      <c r="B1613" s="1" t="s">
        <v>1611</v>
      </c>
      <c r="C1613" t="str">
        <f>IFERROR(__xludf.DUMMYFUNCTION("GOOGLETRANSLATE(B1613, ""zh"", ""en"")"),"Good &lt;div id = ""video-block-R1LHTUMK9DWLBM"" class = ""a-section a-spacing-small a-spacing-top-mini video-block""&gt; &lt;/ div&gt; &lt;input type = ""hidden"" name = """" value = ""https://images-cn.ssl-images-amazon.com/images/I/91qMJmlASmS.mp4"" class = ""video-u"&amp;"rl""&gt; &lt;input type = ""hidden"" name = """" value = ""https : //images-cn.ssl-images-amazon.com/images/I/716l6+VTkyS.png ""class ="" video-slate-img-url ""&gt; &amp; nbsp; corners will not rub in place, but overall are clean a lot, the liberation of the human")</f>
        <v>Good &lt;div id = "video-block-R1LHTUMK9DWLBM" class = "a-section a-spacing-small a-spacing-top-mini video-block"&gt; &lt;/ div&gt; &lt;input type = "hidden" name = "" value = "https://images-cn.ssl-images-amazon.com/images/I/91qMJmlASmS.mp4" class = "video-url"&gt; &lt;input type = "hidden" name = "" value = "https : //images-cn.ssl-images-amazon.com/images/I/716l6+VTkyS.png "class =" video-slate-img-url "&gt; &amp; nbsp; corners will not rub in place, but overall are clean a lot, the liberation of the human</v>
      </c>
    </row>
    <row r="1614">
      <c r="A1614" s="1">
        <v>5.0</v>
      </c>
      <c r="B1614" s="1" t="s">
        <v>1612</v>
      </c>
      <c r="C1614" t="str">
        <f>IFERROR(__xludf.DUMMYFUNCTION("GOOGLETRANSLATE(B1614, ""zh"", ""en"")"),"And Chinese version are different, the Chinese version of the wear 3XL, L are estimated to wear this big purchase in accordance with the Chinese version, complete results can not wear, buy accordance with the normal waist on the right")</f>
        <v>And Chinese version are different, the Chinese version of the wear 3XL, L are estimated to wear this big purchase in accordance with the Chinese version, complete results can not wear, buy accordance with the normal waist on the right</v>
      </c>
    </row>
    <row r="1615">
      <c r="A1615" s="1">
        <v>2.0</v>
      </c>
      <c r="B1615" s="1" t="s">
        <v>1613</v>
      </c>
      <c r="C1615" t="str">
        <f>IFERROR(__xludf.DUMMYFUNCTION("GOOGLETRANSLATE(B1615, ""zh"", ""en"")"),"Feel like a fake is fake, underwear sewing is crooked!")</f>
        <v>Feel like a fake is fake, underwear sewing is crooked!</v>
      </c>
    </row>
    <row r="1616">
      <c r="A1616" s="1">
        <v>3.0</v>
      </c>
      <c r="B1616" s="1" t="s">
        <v>1614</v>
      </c>
      <c r="C1616" t="str">
        <f>IFERROR(__xludf.DUMMYFUNCTION("GOOGLETRANSLATE(B1616, ""zh"", ""en"")"),"This is very cost-effective Amazon silent shoes entirely discrimination high instep ...... 37 yards, long half-length codes, can not get into a flute. Shoes mouth is too small, uncomfortable pressure instep pressure, not quite that good, good-looking is g"&amp;"ood looking, very cheap to buy Amazon")</f>
        <v>This is very cost-effective Amazon silent shoes entirely discrimination high instep ...... 37 yards, long half-length codes, can not get into a flute. Shoes mouth is too small, uncomfortable pressure instep pressure, not quite that good, good-looking is good looking, very cheap to buy Amazon</v>
      </c>
    </row>
    <row r="1617">
      <c r="A1617" s="1">
        <v>3.0</v>
      </c>
      <c r="B1617" s="1" t="s">
        <v>1615</v>
      </c>
      <c r="C1617" t="str">
        <f>IFERROR(__xludf.DUMMYFUNCTION("GOOGLETRANSLATE(B1617, ""zh"", ""en"")"),"Overall OK leather, small scratches, the overall situation also, the old wearing this brand, very comfortable shoes or")</f>
        <v>Overall OK leather, small scratches, the overall situation also, the old wearing this brand, very comfortable shoes or</v>
      </c>
    </row>
    <row r="1618">
      <c r="A1618" s="1">
        <v>3.0</v>
      </c>
      <c r="B1618" s="1" t="s">
        <v>1616</v>
      </c>
      <c r="C1618" t="str">
        <f>IFERROR(__xludf.DUMMYFUNCTION("GOOGLETRANSLATE(B1618, ""zh"", ""en"")"),"180,75 poor workmanship, wear m, Honduras yield poor workmanship, as to spread the goods.")</f>
        <v>180,75 poor workmanship, wear m, Honduras yield poor workmanship, as to spread the goods.</v>
      </c>
    </row>
    <row r="1619">
      <c r="A1619" s="1">
        <v>1.0</v>
      </c>
      <c r="B1619" s="1" t="s">
        <v>1617</v>
      </c>
      <c r="C1619" t="str">
        <f>IFERROR(__xludf.DUMMYFUNCTION("GOOGLETRANSLATE(B1619, ""zh"", ""en"")"),"Version version too tight too tight ... I am a normal body type")</f>
        <v>Version version too tight too tight ... I am a normal body type</v>
      </c>
    </row>
    <row r="1620">
      <c r="A1620" s="1">
        <v>1.0</v>
      </c>
      <c r="B1620" s="1" t="s">
        <v>1618</v>
      </c>
      <c r="C1620" t="str">
        <f>IFERROR(__xludf.DUMMYFUNCTION("GOOGLETRANSLATE(B1620, ""zh"", ""en"")"),"China says the United States made the bottom of Chinese design and manufacture of China assembled in China, what the hell. Only a few times with the frequent failure, the machine back spin")</f>
        <v>China says the United States made the bottom of Chinese design and manufacture of China assembled in China, what the hell. Only a few times with the frequent failure, the machine back spin</v>
      </c>
    </row>
    <row r="1621">
      <c r="A1621" s="1">
        <v>4.0</v>
      </c>
      <c r="B1621" s="1" t="s">
        <v>1619</v>
      </c>
      <c r="C1621" t="str">
        <f>IFERROR(__xludf.DUMMYFUNCTION("GOOGLETRANSLATE(B1621, ""zh"", ""en"")"),"Size is too large to buy big, quality is also good.")</f>
        <v>Size is too large to buy big, quality is also good.</v>
      </c>
    </row>
    <row r="1622">
      <c r="A1622" s="1">
        <v>4.0</v>
      </c>
      <c r="B1622" s="1" t="s">
        <v>1620</v>
      </c>
      <c r="C1622" t="str">
        <f>IFERROR(__xludf.DUMMYFUNCTION("GOOGLETRANSLATE(B1622, ""zh"", ""en"")"),"Stick blade design is unreasonable, clean vain to do something good, found that there is a problem, head of plastic rod chopper, which can not clean up dirt, dirty, asked Taobao customer service, is said to be designed so , can not be completely cleaned u"&amp;"p. Do to the baby food supplement, feel unsafe. We want others to learn from. Hit the customer service, he has been busy. The black part of the picture. It took a year.")</f>
        <v>Stick blade design is unreasonable, clean vain to do something good, found that there is a problem, head of plastic rod chopper, which can not clean up dirt, dirty, asked Taobao customer service, is said to be designed so , can not be completely cleaned up. Do to the baby food supplement, feel unsafe. We want others to learn from. Hit the customer service, he has been busy. The black part of the picture. It took a year.</v>
      </c>
    </row>
    <row r="1623">
      <c r="A1623" s="1">
        <v>4.0</v>
      </c>
      <c r="B1623" s="1" t="s">
        <v>1621</v>
      </c>
      <c r="C1623" t="str">
        <f>IFERROR(__xludf.DUMMYFUNCTION("GOOGLETRANSLATE(B1623, ""zh"", ""en"")"),"A little thin right size, material a little thin, the price on the case")</f>
        <v>A little thin right size, material a little thin, the price on the case</v>
      </c>
    </row>
    <row r="1624">
      <c r="A1624" s="1">
        <v>4.0</v>
      </c>
      <c r="B1624" s="1" t="s">
        <v>1622</v>
      </c>
      <c r="C1624" t="str">
        <f>IFERROR(__xludf.DUMMYFUNCTION("GOOGLETRANSLATE(B1624, ""zh"", ""en"")"),"More moderate face value of a good pen; plastic pen body strong sense; a good quality pen, writing smooth, evenly spit ink; writing have a dry sense, no hunting like lamy brain slippery, but slightly inferior to the hands of the gold tip Tupper 92 and 800"&amp;" heroes. Binding the ink reservoir of the piston, and a light pen body, the recommended daily.")</f>
        <v>More moderate face value of a good pen; plastic pen body strong sense; a good quality pen, writing smooth, evenly spit ink; writing have a dry sense, no hunting like lamy brain slippery, but slightly inferior to the hands of the gold tip Tupper 92 and 800 heroes. Binding the ink reservoir of the piston, and a light pen body, the recommended daily.</v>
      </c>
    </row>
    <row r="1625">
      <c r="A1625" s="1">
        <v>4.0</v>
      </c>
      <c r="B1625" s="1" t="s">
        <v>1623</v>
      </c>
      <c r="C1625" t="str">
        <f>IFERROR(__xludf.DUMMYFUNCTION("GOOGLETRANSLATE(B1625, ""zh"", ""en"")"),"Dress was too big, please note. Clothes very good, if not too large, I liked the. My height is 171 cm, to buy the S number, bodice, the sleeves are too long.")</f>
        <v>Dress was too big, please note. Clothes very good, if not too large, I liked the. My height is 171 cm, to buy the S number, bodice, the sleeves are too long.</v>
      </c>
    </row>
    <row r="1626">
      <c r="A1626" s="1">
        <v>5.0</v>
      </c>
      <c r="B1626" s="1" t="s">
        <v>1624</v>
      </c>
      <c r="C1626" t="str">
        <f>IFERROR(__xludf.DUMMYFUNCTION("GOOGLETRANSLATE(B1626, ""zh"", ""en"")"),"Summer essential summer essential, not a trace")</f>
        <v>Summer essential summer essential, not a trace</v>
      </c>
    </row>
    <row r="1627">
      <c r="A1627" s="1">
        <v>5.0</v>
      </c>
      <c r="B1627" s="1" t="s">
        <v>1625</v>
      </c>
      <c r="C1627" t="str">
        <f>IFERROR(__xludf.DUMMYFUNCTION("GOOGLETRANSLATE(B1627, ""zh"", ""en"")"),"5 to start off, cost is particularly high. New live old houses, especially small water pressure, water heater Haier is the original gift of showers. Originally water is not large, coupled with the scale vintage bathing water did not feel it. Simply to a l"&amp;"arge new ones, into the shower showers 120 plus 3M filter out the effect of a sudden. By the way, remember not to install a small hydraulic cut nets. In fact, I feel the problem is the scale block, and this should buy just want to chop hands down ... 🤣")</f>
        <v>5 to start off, cost is particularly high. New live old houses, especially small water pressure, water heater Haier is the original gift of showers. Originally water is not large, coupled with the scale vintage bathing water did not feel it. Simply to a large new ones, into the shower showers 120 plus 3M filter out the effect of a sudden. By the way, remember not to install a small hydraulic cut nets. In fact, I feel the problem is the scale block, and this should buy just want to chop hands down ... 🤣</v>
      </c>
    </row>
    <row r="1628">
      <c r="A1628" s="1">
        <v>5.0</v>
      </c>
      <c r="B1628" s="1" t="s">
        <v>1626</v>
      </c>
      <c r="C1628" t="str">
        <f>IFERROR(__xludf.DUMMYFUNCTION("GOOGLETRANSLATE(B1628, ""zh"", ""en"")"),"Girls achieve the psychological expectations and folk music performed better, I hope over time to a higher level, not deliberately burn, books Direct Push, decoder and amp are in DIY")</f>
        <v>Girls achieve the psychological expectations and folk music performed better, I hope over time to a higher level, not deliberately burn, books Direct Push, decoder and amp are in DIY</v>
      </c>
    </row>
    <row r="1629">
      <c r="A1629" s="1">
        <v>5.0</v>
      </c>
      <c r="B1629" s="1" t="s">
        <v>1627</v>
      </c>
      <c r="C1629" t="str">
        <f>IFERROR(__xludf.DUMMYFUNCTION("GOOGLETRANSLATE(B1629, ""zh"", ""en"")"),"Praise the quality of a good size just right.")</f>
        <v>Praise the quality of a good size just right.</v>
      </c>
    </row>
    <row r="1630">
      <c r="A1630" s="1">
        <v>5.0</v>
      </c>
      <c r="B1630" s="1" t="s">
        <v>1628</v>
      </c>
      <c r="C1630" t="str">
        <f>IFERROR(__xludf.DUMMYFUNCTION("GOOGLETRANSLATE(B1630, ""zh"", ""en"")"),"Particularly easy to use, it is worth starting. Clean teeth very clean, just after the beginning of the gear with a low gear can adapt, little bleeding; Flush after a bit of dry mouth, may be appropriate to supplement drinking water. Products equipped wit"&amp;"h punches 4, but basically only one; very human charging, charging head can be attached to the fuselage. If you carry travel, or slightly larger than the slightly heavier points. A few months down the greatest feeling is that for so many years before whit"&amp;"e teeth are brushed, this thing you deserve!")</f>
        <v>Particularly easy to use, it is worth starting. Clean teeth very clean, just after the beginning of the gear with a low gear can adapt, little bleeding; Flush after a bit of dry mouth, may be appropriate to supplement drinking water. Products equipped with punches 4, but basically only one; very human charging, charging head can be attached to the fuselage. If you carry travel, or slightly larger than the slightly heavier points. A few months down the greatest feeling is that for so many years before white teeth are brushed, this thing you deserve!</v>
      </c>
    </row>
    <row r="1631">
      <c r="A1631" s="1">
        <v>5.0</v>
      </c>
      <c r="B1631" s="1" t="s">
        <v>1629</v>
      </c>
      <c r="C1631" t="str">
        <f>IFERROR(__xludf.DUMMYFUNCTION("GOOGLETRANSLATE(B1631, ""zh"", ""en"")"),"Comfortable, worth starting comfortable to wear may be running, but Yue Chuanyue comfortable, and now want to start with a pair, I do not know how long have the goods")</f>
        <v>Comfortable, worth starting comfortable to wear may be running, but Yue Chuanyue comfortable, and now want to start with a pair, I do not know how long have the goods</v>
      </c>
    </row>
    <row r="1632">
      <c r="A1632" s="1">
        <v>5.0</v>
      </c>
      <c r="B1632" s="1" t="s">
        <v>1630</v>
      </c>
      <c r="C1632" t="str">
        <f>IFERROR(__xludf.DUMMYFUNCTION("GOOGLETRANSLATE(B1632, ""zh"", ""en"")"),"This improvement in constipation than that to facilitate brewing, suitable for baby's ability to chew.")</f>
        <v>This improvement in constipation than that to facilitate brewing, suitable for baby's ability to chew.</v>
      </c>
    </row>
    <row r="1633">
      <c r="A1633" s="1">
        <v>5.0</v>
      </c>
      <c r="B1633" s="1" t="s">
        <v>1631</v>
      </c>
      <c r="C1633" t="str">
        <f>IFERROR(__xludf.DUMMYFUNCTION("GOOGLETRANSLATE(B1633, ""zh"", ""en"")"),"Good strong elastic wrap, wrap and strong. I 1.68 m, weight 130 pounds, wearing just!")</f>
        <v>Good strong elastic wrap, wrap and strong. I 1.68 m, weight 130 pounds, wearing just!</v>
      </c>
    </row>
    <row r="1634">
      <c r="A1634" s="1">
        <v>5.0</v>
      </c>
      <c r="B1634" s="1" t="s">
        <v>1632</v>
      </c>
      <c r="C1634" t="str">
        <f>IFERROR(__xludf.DUMMYFUNCTION("GOOGLETRANSLATE(B1634, ""zh"", ""en"")"),"Worth having very good set of headphones, noise reduction function is also very good!")</f>
        <v>Worth having very good set of headphones, noise reduction function is also very good!</v>
      </c>
    </row>
    <row r="1635">
      <c r="A1635" s="1">
        <v>5.0</v>
      </c>
      <c r="B1635" s="1" t="s">
        <v>1633</v>
      </c>
      <c r="C1635" t="str">
        <f>IFERROR(__xludf.DUMMYFUNCTION("GOOGLETRANSLATE(B1635, ""zh"", ""en"")"),"Indeed the king of the pen nib is very smooth, very good ink spiral! That is not blocked when writing ink")</f>
        <v>Indeed the king of the pen nib is very smooth, very good ink spiral! That is not blocked when writing ink</v>
      </c>
    </row>
    <row r="1636">
      <c r="A1636" s="1">
        <v>5.0</v>
      </c>
      <c r="B1636" s="1" t="s">
        <v>1634</v>
      </c>
      <c r="C1636" t="str">
        <f>IFERROR(__xludf.DUMMYFUNCTION("GOOGLETRANSLATE(B1636, ""zh"", ""en"")"),"Good shoes these shoes very good, cheaper than half of the country to buy, wear very bottom of Oxford, is to wear a long time will be deformed, possibly because of too much foot")</f>
        <v>Good shoes these shoes very good, cheaper than half of the country to buy, wear very bottom of Oxford, is to wear a long time will be deformed, possibly because of too much foot</v>
      </c>
    </row>
    <row r="1637">
      <c r="A1637" s="1">
        <v>5.0</v>
      </c>
      <c r="B1637" s="1" t="s">
        <v>1635</v>
      </c>
      <c r="C1637" t="str">
        <f>IFERROR(__xludf.DUMMYFUNCTION("GOOGLETRANSLATE(B1637, ""zh"", ""en"")"),"The first double ecco good, very light and very comfortable, uk7 670 to start, but also a little explanation, scouring the sea before their music uk7 is eu41, this ecco uk7 corresponding eu40, almost small")</f>
        <v>The first double ecco good, very light and very comfortable, uk7 670 to start, but also a little explanation, scouring the sea before their music uk7 is eu41, this ecco uk7 corresponding eu40, almost small</v>
      </c>
    </row>
    <row r="1638">
      <c r="A1638" s="1">
        <v>5.0</v>
      </c>
      <c r="B1638" s="1" t="s">
        <v>1636</v>
      </c>
      <c r="C1638" t="str">
        <f>IFERROR(__xludf.DUMMYFUNCTION("GOOGLETRANSLATE(B1638, ""zh"", ""en"")"),"Normal size of the usual 38, to buy this pair of uk5 just, just the right size")</f>
        <v>Normal size of the usual 38, to buy this pair of uk5 just, just the right size</v>
      </c>
    </row>
    <row r="1639">
      <c r="A1639" s="1">
        <v>5.0</v>
      </c>
      <c r="B1639" s="1" t="s">
        <v>1637</v>
      </c>
      <c r="C1639" t="str">
        <f>IFERROR(__xludf.DUMMYFUNCTION("GOOGLETRANSLATE(B1639, ""zh"", ""en"")"),"Worth the shot. Very good ten days arrive, I'm in great beauty of Xinjiang. Advantages: 1, quiet, high-speed. 2, although the sea Amoy, but cost-effective, quality is guaranteed. Cons: The new discwizp software is not easy to get started, wondering for th"&amp;"ree days to get partition. Who abandon the XP system and hold it!")</f>
        <v>Worth the shot. Very good ten days arrive, I'm in great beauty of Xinjiang. Advantages: 1, quiet, high-speed. 2, although the sea Amoy, but cost-effective, quality is guaranteed. Cons: The new discwizp software is not easy to get started, wondering for three days to get partition. Who abandon the XP system and hold it!</v>
      </c>
    </row>
    <row r="1640">
      <c r="A1640" s="1">
        <v>5.0</v>
      </c>
      <c r="B1640" s="1" t="s">
        <v>1638</v>
      </c>
      <c r="C1640" t="str">
        <f>IFERROR(__xludf.DUMMYFUNCTION("GOOGLETRANSLATE(B1640, ""zh"", ""en"")"),"This is a very good buy pants have been a pair of jeans, a good version, was thin, like")</f>
        <v>This is a very good buy pants have been a pair of jeans, a good version, was thin, like</v>
      </c>
    </row>
    <row r="1641">
      <c r="A1641" s="1">
        <v>5.0</v>
      </c>
      <c r="B1641" s="1" t="s">
        <v>1639</v>
      </c>
      <c r="C1641" t="str">
        <f>IFERROR(__xludf.DUMMYFUNCTION("GOOGLETRANSLATE(B1641, ""zh"", ""en"")"),"A high quality headset! After listening to more than 100 hours of fast, buy amp still on the road, only 300 open files Euro Tiger card to listen, first of all resolve is high indeed, but did not reach beyond the level of around four iron-ear earplugs, as "&amp;"the move circle, has been very good, the sense of hearing indeed, as most people have said, a little straightforward, after all, is listening, this can not be considered disadvantage bought is listening headphones. And then there are musical background so"&amp;"und feeling a little big, sometimes feel overshadowed by the human voice, and a little overwhelming feeling of, arguably, should be prominent human voice-based ah, there may be on the amp to be a good point of it. Then a little, those who wear glasses if "&amp;"you want to listen to wearing glasses, ears a bit uncomfortable, wearing the estimated have this wrong right, the other is still relatively satisfied!")</f>
        <v>A high quality headset! After listening to more than 100 hours of fast, buy amp still on the road, only 300 open files Euro Tiger card to listen, first of all resolve is high indeed, but did not reach beyond the level of around four iron-ear earplugs, as the move circle, has been very good, the sense of hearing indeed, as most people have said, a little straightforward, after all, is listening, this can not be considered disadvantage bought is listening headphones. And then there are musical background sound feeling a little big, sometimes feel overshadowed by the human voice, and a little overwhelming feeling of, arguably, should be prominent human voice-based ah, there may be on the amp to be a good point of it. Then a little, those who wear glasses if you want to listen to wearing glasses, ears a bit uncomfortable, wearing the estimated have this wrong right, the other is still relatively satisfied!</v>
      </c>
    </row>
    <row r="1642">
      <c r="A1642" s="1">
        <v>5.0</v>
      </c>
      <c r="B1642" s="1" t="s">
        <v>1640</v>
      </c>
      <c r="C1642" t="str">
        <f>IFERROR(__xludf.DUMMYFUNCTION("GOOGLETRANSLATE(B1642, ""zh"", ""en"")"),"Art supplies very good Mexican origin")</f>
        <v>Art supplies very good Mexican origin</v>
      </c>
    </row>
    <row r="1643">
      <c r="A1643" s="1">
        <v>5.0</v>
      </c>
      <c r="B1643" s="1" t="s">
        <v>1641</v>
      </c>
      <c r="C1643" t="str">
        <f>IFERROR(__xludf.DUMMYFUNCTION("GOOGLETRANSLATE(B1643, ""zh"", ""en"")"),"Value used to listen to vinyl, catch up with really special value, bought two did not expect were the courier, to start one, buy the wrong thought")</f>
        <v>Value used to listen to vinyl, catch up with really special value, bought two did not expect were the courier, to start one, buy the wrong thought</v>
      </c>
    </row>
    <row r="1644">
      <c r="A1644" s="1">
        <v>5.0</v>
      </c>
      <c r="B1644" s="1" t="s">
        <v>1642</v>
      </c>
      <c r="C1644" t="str">
        <f>IFERROR(__xludf.DUMMYFUNCTION("GOOGLETRANSLATE(B1644, ""zh"", ""en"")"),"In addition to excellent volume a little big, the rest are good.")</f>
        <v>In addition to excellent volume a little big, the rest are good.</v>
      </c>
    </row>
    <row r="1645">
      <c r="A1645" s="1">
        <v>5.0</v>
      </c>
      <c r="B1645" s="1" t="s">
        <v>1643</v>
      </c>
      <c r="C1645" t="str">
        <f>IFERROR(__xludf.DUMMYFUNCTION("GOOGLETRANSLATE(B1645, ""zh"", ""en"")"),"Like packaging appearance (delivery tray) looks good, but there is only a very empty damping crumpled paper, which sent sloshing badly. In addition ghd box no plastic wrap or seal Han, and can be opened directly so I do not know someone or be torn out, gh"&amp;"d black box surface is not particularly new, but scuffed corners intact no bump. Deliberately chose German direct mail, domestic socket can be used directly, very convenient. Is platinum plus version, try a bit, no problem. Overall satisfaction, but no pl"&amp;"astic boxes sealed, others could be opened was a little awkward, or give five-star")</f>
        <v>Like packaging appearance (delivery tray) looks good, but there is only a very empty damping crumpled paper, which sent sloshing badly. In addition ghd box no plastic wrap or seal Han, and can be opened directly so I do not know someone or be torn out, ghd black box surface is not particularly new, but scuffed corners intact no bump. Deliberately chose German direct mail, domestic socket can be used directly, very convenient. Is platinum plus version, try a bit, no problem. Overall satisfaction, but no plastic boxes sealed, others could be opened was a little awkward, or give five-star</v>
      </c>
    </row>
    <row r="1646">
      <c r="A1646" s="1">
        <v>5.0</v>
      </c>
      <c r="B1646" s="1" t="s">
        <v>1644</v>
      </c>
      <c r="C1646" t="str">
        <f>IFERROR(__xludf.DUMMYFUNCTION("GOOGLETRANSLATE(B1646, ""zh"", ""en"")"),"Fit height 178 weight 170 L No. buy, possible! ! !")</f>
        <v>Fit height 178 weight 170 L No. buy, possible! ! !</v>
      </c>
    </row>
    <row r="1647">
      <c r="A1647" s="1">
        <v>5.0</v>
      </c>
      <c r="B1647" s="1" t="s">
        <v>1645</v>
      </c>
      <c r="C1647" t="str">
        <f>IFERROR(__xludf.DUMMYFUNCTION("GOOGLETRANSLATE(B1647, ""zh"", ""en"")"),"T-shirt clothes, some large, good quality. Shipping Soon")</f>
        <v>T-shirt clothes, some large, good quality. Shipping Soon</v>
      </c>
    </row>
    <row r="1648">
      <c r="A1648" s="1">
        <v>2.0</v>
      </c>
      <c r="B1648" s="1" t="s">
        <v>1646</v>
      </c>
      <c r="C1648" t="str">
        <f>IFERROR(__xludf.DUMMYFUNCTION("GOOGLETRANSLATE(B1648, ""zh"", ""en"")"),"Three a day to eat, too much. Three a day to eat, too much. Also a little gastrointestinal irritation. The effect okay. Hoping to make better, eat a day. Not to intestines and stomach irritation.")</f>
        <v>Three a day to eat, too much. Three a day to eat, too much. Also a little gastrointestinal irritation. The effect okay. Hoping to make better, eat a day. Not to intestines and stomach irritation.</v>
      </c>
    </row>
    <row r="1649">
      <c r="A1649" s="1">
        <v>3.0</v>
      </c>
      <c r="B1649" s="1" t="s">
        <v>1647</v>
      </c>
      <c r="C1649" t="str">
        <f>IFERROR(__xludf.DUMMYFUNCTION("GOOGLETRANSLATE(B1649, ""zh"", ""en"")"),"Sports shoes to wear slightly larger 40.5 permeability temporary general feeling overpaid ¥ 490 purchase of personal preference what aspect did not feel good to see")</f>
        <v>Sports shoes to wear slightly larger 40.5 permeability temporary general feeling overpaid ¥ 490 purchase of personal preference what aspect did not feel good to see</v>
      </c>
    </row>
    <row r="1650">
      <c r="A1650" s="1">
        <v>3.0</v>
      </c>
      <c r="B1650" s="1" t="s">
        <v>1648</v>
      </c>
      <c r="C1650" t="str">
        <f>IFERROR(__xludf.DUMMYFUNCTION("GOOGLETRANSLATE(B1650, ""zh"", ""en"")"),"Something good is nice, but look at the tag guess not genuine.")</f>
        <v>Something good is nice, but look at the tag guess not genuine.</v>
      </c>
    </row>
    <row r="1651">
      <c r="A1651" s="1">
        <v>1.0</v>
      </c>
      <c r="B1651" s="1" t="s">
        <v>1649</v>
      </c>
      <c r="C1651" t="str">
        <f>IFERROR(__xludf.DUMMYFUNCTION("GOOGLETRANSLATE(B1651, ""zh"", ""en"")"),"Sea Amoy sale of electronic products after a high risk of failure can not be purchased Seagate hard drive warranty in the country. Seagate, China does not provide turn security services, security Amazon month. Purchase need to be cautious.")</f>
        <v>Sea Amoy sale of electronic products after a high risk of failure can not be purchased Seagate hard drive warranty in the country. Seagate, China does not provide turn security services, security Amazon month. Purchase need to be cautious.</v>
      </c>
    </row>
    <row r="1652">
      <c r="A1652" s="1">
        <v>1.0</v>
      </c>
      <c r="B1652" s="1" t="s">
        <v>1650</v>
      </c>
      <c r="C1652" t="str">
        <f>IFERROR(__xludf.DUMMYFUNCTION("GOOGLETRANSLATE(B1652, ""zh"", ""en"")"),"Get our hands on first impressions, coarse fiber, slightly thick. Worn, too large, rough uncomfortable, and spread the goods no difference.")</f>
        <v>Get our hands on first impressions, coarse fiber, slightly thick. Worn, too large, rough uncomfortable, and spread the goods no difference.</v>
      </c>
    </row>
    <row r="1653">
      <c r="A1653" s="1">
        <v>1.0</v>
      </c>
      <c r="B1653" s="1" t="s">
        <v>1651</v>
      </c>
      <c r="C1653" t="str">
        <f>IFERROR(__xludf.DUMMYFUNCTION("GOOGLETRANSLATE(B1653, ""zh"", ""en"")"),"Clothes good bad customer service very good clothes that stars to Amazon's customer service is very poor")</f>
        <v>Clothes good bad customer service very good clothes that stars to Amazon's customer service is very poor</v>
      </c>
    </row>
    <row r="1654">
      <c r="A1654" s="1">
        <v>4.0</v>
      </c>
      <c r="B1654" s="1" t="s">
        <v>1652</v>
      </c>
      <c r="C1654" t="str">
        <f>IFERROR(__xludf.DUMMYFUNCTION("GOOGLETRANSLATE(B1654, ""zh"", ""en"")"),"Overall still can. Box design is not very satisfactory, partial too big. Sound quality, sound, and other parsing is not talked about, there are many consumers it has been described. I would say that this pair of speakers seem to be opened, or behind the m"&amp;"outh screw bright, there are signs of wear. If it is returned after the demolition of the consumer, and that is the scum. I open the packaging are cautious for fear of problems we need to return, to smash things up on the bad. If it is official, as if una"&amp;"ble to find the reason. But did not recognize what the problem ...... I want to see what little there or changed anything, not removed, it will not split, but some worry. First listen to it, it is not only a replacement of the ......")</f>
        <v>Overall still can. Box design is not very satisfactory, partial too big. Sound quality, sound, and other parsing is not talked about, there are many consumers it has been described. I would say that this pair of speakers seem to be opened, or behind the mouth screw bright, there are signs of wear. If it is returned after the demolition of the consumer, and that is the scum. I open the packaging are cautious for fear of problems we need to return, to smash things up on the bad. If it is official, as if unable to find the reason. But did not recognize what the problem ...... I want to see what little there or changed anything, not removed, it will not split, but some worry. First listen to it, it is not only a replacement of the ......</v>
      </c>
    </row>
    <row r="1655">
      <c r="A1655" s="1">
        <v>4.0</v>
      </c>
      <c r="B1655" s="1" t="s">
        <v>1653</v>
      </c>
      <c r="C1655" t="str">
        <f>IFERROR(__xludf.DUMMYFUNCTION("GOOGLETRANSLATE(B1655, ""zh"", ""en"")"),"Very appropriate super fit, feel more Western style than the color black")</f>
        <v>Very appropriate super fit, feel more Western style than the color black</v>
      </c>
    </row>
    <row r="1656">
      <c r="A1656" s="1">
        <v>4.0</v>
      </c>
      <c r="B1656" s="1" t="s">
        <v>1654</v>
      </c>
      <c r="C1656" t="str">
        <f>IFERROR(__xludf.DUMMYFUNCTION("GOOGLETRANSLATE(B1656, ""zh"", ""en"")"),"Version is too large clothes are good, but the version code and the number is too large. I 90kg, 1.75m, were heavier, I usually wear XL, this dress is selected L or large, and rather long partial fat, tall 175 M should be selected appropriate.")</f>
        <v>Version is too large clothes are good, but the version code and the number is too large. I 90kg, 1.75m, were heavier, I usually wear XL, this dress is selected L or large, and rather long partial fat, tall 175 M should be selected appropriate.</v>
      </c>
    </row>
    <row r="1657">
      <c r="A1657" s="1">
        <v>4.0</v>
      </c>
      <c r="B1657" s="1" t="s">
        <v>1655</v>
      </c>
      <c r="C1657" t="str">
        <f>IFERROR(__xludf.DUMMYFUNCTION("GOOGLETRANSLATE(B1657, ""zh"", ""en"")"),"Leather, leather products of high quality, very strong, quality is not lost big!")</f>
        <v>Leather, leather products of high quality, very strong, quality is not lost big!</v>
      </c>
    </row>
    <row r="1658">
      <c r="A1658" s="1">
        <v>5.0</v>
      </c>
      <c r="B1658" s="1" t="s">
        <v>1656</v>
      </c>
      <c r="C1658" t="str">
        <f>IFERROR(__xludf.DUMMYFUNCTION("GOOGLETRANSLATE(B1658, ""zh"", ""en"")"),"Good packaging is not damaged, something very good. Been eating")</f>
        <v>Good packaging is not damaged, something very good. Been eating</v>
      </c>
    </row>
    <row r="1659">
      <c r="A1659" s="1">
        <v>5.0</v>
      </c>
      <c r="B1659" s="1" t="s">
        <v>1657</v>
      </c>
      <c r="C1659" t="str">
        <f>IFERROR(__xludf.DUMMYFUNCTION("GOOGLETRANSLATE(B1659, ""zh"", ""en"")"),"More value than 120 a genuine, feeling very value of. Work okay, worthy of the price - in general as saying A goods are more than this price.")</f>
        <v>More value than 120 a genuine, feeling very value of. Work okay, worthy of the price - in general as saying A goods are more than this price.</v>
      </c>
    </row>
    <row r="1660">
      <c r="A1660" s="1">
        <v>5.0</v>
      </c>
      <c r="B1660" s="1" t="s">
        <v>1658</v>
      </c>
      <c r="C1660" t="str">
        <f>IFERROR(__xludf.DUMMYFUNCTION("GOOGLETRANSLATE(B1660, ""zh"", ""en"")"),"Dema Dema powder has been buying clothes. Excellent scouring overseas is still very good, but also cheaper than the sea Amoy. Very good shoes to wear, NB and AD usually wear 42.5. Dema buy 43, wearing appropriate, encapsulated good. . . There is a price t"&amp;"oo beautiful.")</f>
        <v>Dema Dema powder has been buying clothes. Excellent scouring overseas is still very good, but also cheaper than the sea Amoy. Very good shoes to wear, NB and AD usually wear 42.5. Dema buy 43, wearing appropriate, encapsulated good. . . There is a price too beautiful.</v>
      </c>
    </row>
    <row r="1661">
      <c r="A1661" s="1">
        <v>5.0</v>
      </c>
      <c r="B1661" s="1" t="s">
        <v>1659</v>
      </c>
      <c r="C1661" t="str">
        <f>IFERROR(__xludf.DUMMYFUNCTION("GOOGLETRANSLATE(B1661, ""zh"", ""en"")"),"Never go to a good evaluation before, which I bought several pieces of this brand of clothes, and very good. Not from the previous evaluation, I do not know how many wasted points, points can change money now know, they should look carefully evaluated, th"&amp;"en I put these words to copy to go, both to earn points, but also save trouble, they go where copy the most important thing is, do not seriously review, do not think how much worse word, sent directly to it, recommend it to everyone!")</f>
        <v>Never go to a good evaluation before, which I bought several pieces of this brand of clothes, and very good. Not from the previous evaluation, I do not know how many wasted points, points can change money now know, they should look carefully evaluated, then I put these words to copy to go, both to earn points, but also save trouble, they go where copy the most important thing is, do not seriously review, do not think how much worse word, sent directly to it, recommend it to everyone!</v>
      </c>
    </row>
    <row r="1662">
      <c r="A1662" s="1">
        <v>5.0</v>
      </c>
      <c r="B1662" s="1" t="s">
        <v>1660</v>
      </c>
      <c r="C1662" t="str">
        <f>IFERROR(__xludf.DUMMYFUNCTION("GOOGLETRANSLATE(B1662, ""zh"", ""en"")"),"Little big a little big, but also more suitable as a low rise")</f>
        <v>Little big a little big, but also more suitable as a low rise</v>
      </c>
    </row>
    <row r="1663">
      <c r="A1663" s="1">
        <v>5.0</v>
      </c>
      <c r="B1663" s="1" t="s">
        <v>1661</v>
      </c>
      <c r="C1663" t="str">
        <f>IFERROR(__xludf.DUMMYFUNCTION("GOOGLETRANSLATE(B1663, ""zh"", ""en"")"),"Amazon sent the United States cost-effective, almost ten days now, and I asked my friend from South Korea with the same key also cheaper than that, very good.")</f>
        <v>Amazon sent the United States cost-effective, almost ten days now, and I asked my friend from South Korea with the same key also cheaper than that, very good.</v>
      </c>
    </row>
    <row r="1664">
      <c r="A1664" s="1">
        <v>5.0</v>
      </c>
      <c r="B1664" s="1" t="s">
        <v>1662</v>
      </c>
      <c r="C1664" t="str">
        <f>IFERROR(__xludf.DUMMYFUNCTION("GOOGLETRANSLATE(B1664, ""zh"", ""en"")"),"Feel good in the hand feels pretty good, and then use it to recover comment")</f>
        <v>Feel good in the hand feels pretty good, and then use it to recover comment</v>
      </c>
    </row>
    <row r="1665">
      <c r="A1665" s="1">
        <v>5.0</v>
      </c>
      <c r="B1665" s="1" t="s">
        <v>1663</v>
      </c>
      <c r="C1665" t="str">
        <f>IFERROR(__xludf.DUMMYFUNCTION("GOOGLETRANSLATE(B1665, ""zh"", ""en"")"),"174,136 Japanese version l wear appropriate. Japanese version of the champion Bimei version number to fit, comfortable, good upper body")</f>
        <v>174,136 Japanese version l wear appropriate. Japanese version of the champion Bimei version number to fit, comfortable, good upper body</v>
      </c>
    </row>
    <row r="1666">
      <c r="A1666" s="1">
        <v>5.0</v>
      </c>
      <c r="B1666" s="1" t="s">
        <v>1664</v>
      </c>
      <c r="C1666" t="str">
        <f>IFERROR(__xludf.DUMMYFUNCTION("GOOGLETRANSLATE(B1666, ""zh"", ""en"")"),"A second change Tyrant bitch Daikin Daikin ah ah bitch a second change Tyrant")</f>
        <v>A second change Tyrant bitch Daikin Daikin ah ah bitch a second change Tyrant</v>
      </c>
    </row>
    <row r="1667">
      <c r="A1667" s="1">
        <v>5.0</v>
      </c>
      <c r="B1667" s="1" t="s">
        <v>1665</v>
      </c>
      <c r="C1667" t="str">
        <f>IFERROR(__xludf.DUMMYFUNCTION("GOOGLETRANSLATE(B1667, ""zh"", ""en"")"),"Wearing a pretty good like this relatively simple design, and Germany Braun quality or trustworthy. Table is also thin, wear very appropriate.")</f>
        <v>Wearing a pretty good like this relatively simple design, and Germany Braun quality or trustworthy. Table is also thin, wear very appropriate.</v>
      </c>
    </row>
    <row r="1668">
      <c r="A1668" s="1">
        <v>5.0</v>
      </c>
      <c r="B1668" s="1" t="s">
        <v>1666</v>
      </c>
      <c r="C1668" t="str">
        <f>IFERROR(__xludf.DUMMYFUNCTION("GOOGLETRANSLATE(B1668, ""zh"", ""en"")"),"Pot quality is very good, is the size of the pot with a lid great trouble very slippery, family size of four appropriate. Red dot on the technology used every day to see signs can put the dishwasher. 28mm refers to the outer edge of the pot is, in fact, o"&amp;"nly about 27 along the inside, because the first wife without a cover, he bought a 28mm cap is not very fit, generally within the domestic pot along the 28mm")</f>
        <v>Pot quality is very good, is the size of the pot with a lid great trouble very slippery, family size of four appropriate. Red dot on the technology used every day to see signs can put the dishwasher. 28mm refers to the outer edge of the pot is, in fact, only about 27 along the inside, because the first wife without a cover, he bought a 28mm cap is not very fit, generally within the domestic pot along the 28mm</v>
      </c>
    </row>
    <row r="1669">
      <c r="A1669" s="1">
        <v>5.0</v>
      </c>
      <c r="B1669" s="1" t="s">
        <v>1667</v>
      </c>
      <c r="C1669" t="str">
        <f>IFERROR(__xludf.DUMMYFUNCTION("GOOGLETRANSLATE(B1669, ""zh"", ""en"")"),"Abdomen abdomen can effect good results, good quality. Black is the piece slightly faded")</f>
        <v>Abdomen abdomen can effect good results, good quality. Black is the piece slightly faded</v>
      </c>
    </row>
    <row r="1670">
      <c r="A1670" s="1">
        <v>5.0</v>
      </c>
      <c r="B1670" s="1" t="s">
        <v>1668</v>
      </c>
      <c r="C1670" t="str">
        <f>IFERROR(__xludf.DUMMYFUNCTION("GOOGLETRANSLATE(B1670, ""zh"", ""en"")"),"Handsome pair of shoes to wear very comfortable, very appropriate to wear 254 feet long. The price is very affordable")</f>
        <v>Handsome pair of shoes to wear very comfortable, very appropriate to wear 254 feet long. The price is very affordable</v>
      </c>
    </row>
    <row r="1671">
      <c r="A1671" s="1">
        <v>5.0</v>
      </c>
      <c r="B1671" s="1" t="s">
        <v>1669</v>
      </c>
      <c r="C1671" t="str">
        <f>IFERROR(__xludf.DUMMYFUNCTION("GOOGLETRANSLATE(B1671, ""zh"", ""en"")"),"Imported authentic quality is very practical")</f>
        <v>Imported authentic quality is very practical</v>
      </c>
    </row>
    <row r="1672">
      <c r="A1672" s="1">
        <v>5.0</v>
      </c>
      <c r="B1672" s="1" t="s">
        <v>1670</v>
      </c>
      <c r="C1672" t="str">
        <f>IFERROR(__xludf.DUMMYFUNCTION("GOOGLETRANSLATE(B1672, ""zh"", ""en"")"),"Amazon shipped from the US fast logistics, eight days into the packaging is very simple, but the goods intact, satisfaction")</f>
        <v>Amazon shipped from the US fast logistics, eight days into the packaging is very simple, but the goods intact, satisfaction</v>
      </c>
    </row>
    <row r="1673">
      <c r="A1673" s="1">
        <v>5.0</v>
      </c>
      <c r="B1673" s="1" t="s">
        <v>1671</v>
      </c>
      <c r="C1673" t="str">
        <f>IFERROR(__xludf.DUMMYFUNCTION("GOOGLETRANSLATE(B1673, ""zh"", ""en"")"),"Ugly but extremely comfortable bra just get our hands a little disappointed: only a thin layer of terrifying, especially material savings, I thought the Japanese stingy it. And other wear body was found, less material is breathable for comfort, no edge se"&amp;"am so there is no pressure, really like wearing comfortable, like, oh no, even more comfortable than wearing, because there was a gentle wrapped feeling. Do not take a snap as long as the position is too loose in some tight, breast shape is good. For the "&amp;"sake of comfortable and healthy, we decided to replace all of this without steel ring after the.")</f>
        <v>Ugly but extremely comfortable bra just get our hands a little disappointed: only a thin layer of terrifying, especially material savings, I thought the Japanese stingy it. And other wear body was found, less material is breathable for comfort, no edge seam so there is no pressure, really like wearing comfortable, like, oh no, even more comfortable than wearing, because there was a gentle wrapped feeling. Do not take a snap as long as the position is too loose in some tight, breast shape is good. For the sake of comfortable and healthy, we decided to replace all of this without steel ring after the.</v>
      </c>
    </row>
    <row r="1674">
      <c r="A1674" s="1">
        <v>5.0</v>
      </c>
      <c r="B1674" s="1" t="s">
        <v>1672</v>
      </c>
      <c r="C1674" t="str">
        <f>IFERROR(__xludf.DUMMYFUNCTION("GOOGLETRANSLATE(B1674, ""zh"", ""en"")"),"Receive radio waves fast, accurate travel time. &lt;Div id = ""video-block-RAVQRR217LTR2"" class = ""a-section a-spacing-small a-spacing-top-mini video-block""&gt; &lt;/ div&gt; &lt;input type = ""hidden"" name = """" value = ""https://images-cn.ssl-images-amazon.com/im"&amp;"ages/I/B1Y68DPHyYS.mp4"" class = ""video-url""&gt; &lt;input type = ""hidden"" name = """" value = ""https: //images-cn.ssl-images-amazon.com/images/I/A1cCkNSQ0xS.png ""class ="" video-slate-img-url ""&gt; &amp; nbsp; practical and useful.")</f>
        <v>Receive radio waves fast, accurate travel time. &lt;Div id = "video-block-RAVQRR217LTR2" class = "a-section a-spacing-small a-spacing-top-mini video-block"&gt; &lt;/ div&gt; &lt;input type = "hidden" name = "" value = "https://images-cn.ssl-images-amazon.com/images/I/B1Y68DPHyYS.mp4" class = "video-url"&gt; &lt;input type = "hidden" name = "" value = "https: //images-cn.ssl-images-amazon.com/images/I/A1cCkNSQ0xS.png "class =" video-slate-img-url "&gt; &amp; nbsp; practical and useful.</v>
      </c>
    </row>
    <row r="1675">
      <c r="A1675" s="1">
        <v>5.0</v>
      </c>
      <c r="B1675" s="1" t="s">
        <v>1673</v>
      </c>
      <c r="C1675" t="str">
        <f>IFERROR(__xludf.DUMMYFUNCTION("GOOGLETRANSLATE(B1675, ""zh"", ""en"")"),"Slightly more expensive, but the quality did not say not at all loose, very good, feeling a little expensive")</f>
        <v>Slightly more expensive, but the quality did not say not at all loose, very good, feeling a little expensive</v>
      </c>
    </row>
    <row r="1676">
      <c r="A1676" s="1">
        <v>5.0</v>
      </c>
      <c r="B1676" s="1" t="s">
        <v>1674</v>
      </c>
      <c r="C1676" t="str">
        <f>IFERROR(__xludf.DUMMYFUNCTION("GOOGLETRANSLATE(B1676, ""zh"", ""en"")"),"First-class shape simple smooth, great feeling to hold a pen")</f>
        <v>First-class shape simple smooth, great feeling to hold a pen</v>
      </c>
    </row>
    <row r="1677">
      <c r="A1677" s="1">
        <v>5.0</v>
      </c>
      <c r="B1677" s="1" t="s">
        <v>1675</v>
      </c>
      <c r="C1677" t="str">
        <f>IFERROR(__xludf.DUMMYFUNCTION("GOOGLETRANSLATE(B1677, ""zh"", ""en"")"),"Easy to use spray is very good, there is a certain supercharging.")</f>
        <v>Easy to use spray is very good, there is a certain supercharging.</v>
      </c>
    </row>
    <row r="1678">
      <c r="A1678" s="1">
        <v>5.0</v>
      </c>
      <c r="B1678" s="1" t="s">
        <v>1676</v>
      </c>
      <c r="C1678" t="str">
        <f>IFERROR(__xludf.DUMMYFUNCTION("GOOGLETRANSLATE(B1678, ""zh"", ""en"")"),"Belt really good, is feeling nervous is not enough, we need to go outside to play their own Yaner")</f>
        <v>Belt really good, is feeling nervous is not enough, we need to go outside to play their own Yaner</v>
      </c>
    </row>
    <row r="1679">
      <c r="A1679" s="1">
        <v>2.0</v>
      </c>
      <c r="B1679" s="1" t="s">
        <v>1677</v>
      </c>
      <c r="C1679" t="str">
        <f>IFERROR(__xludf.DUMMYFUNCTION("GOOGLETRANSLATE(B1679, ""zh"", ""en"")"),"No wear wear has now been broken with a full off-line and broken-hole mass similar suitable Wal Jane")</f>
        <v>No wear wear has now been broken with a full off-line and broken-hole mass similar suitable Wal Jane</v>
      </c>
    </row>
    <row r="1680">
      <c r="A1680" s="1">
        <v>3.0</v>
      </c>
      <c r="B1680" s="1" t="s">
        <v>1678</v>
      </c>
      <c r="C1680" t="str">
        <f>IFERROR(__xludf.DUMMYFUNCTION("GOOGLETRANSLATE(B1680, ""zh"", ""en"")"),"Shrunk soft, very comfortable. Logistics slow for a whole ten days to wash a shrink.")</f>
        <v>Shrunk soft, very comfortable. Logistics slow for a whole ten days to wash a shrink.</v>
      </c>
    </row>
    <row r="1681">
      <c r="A1681" s="1">
        <v>3.0</v>
      </c>
      <c r="B1681" s="1" t="s">
        <v>1679</v>
      </c>
      <c r="C1681" t="str">
        <f>IFERROR(__xludf.DUMMYFUNCTION("GOOGLETRANSLATE(B1681, ""zh"", ""en"")"),"Thin Thin ah, even QiuKu thickness are not.")</f>
        <v>Thin Thin ah, even QiuKu thickness are not.</v>
      </c>
    </row>
    <row r="1682">
      <c r="A1682" s="1">
        <v>3.0</v>
      </c>
      <c r="B1682" s="1" t="s">
        <v>1680</v>
      </c>
      <c r="C1682" t="str">
        <f>IFERROR(__xludf.DUMMYFUNCTION("GOOGLETRANSLATE(B1682, ""zh"", ""en"")"),"Daughter likes a good cup. . . . . . .")</f>
        <v>Daughter likes a good cup. . . . . . .</v>
      </c>
    </row>
    <row r="1683">
      <c r="A1683" s="1">
        <v>1.0</v>
      </c>
      <c r="B1683" s="1" t="s">
        <v>1681</v>
      </c>
      <c r="C1683" t="str">
        <f>IFERROR(__xludf.DUMMYFUNCTION("GOOGLETRANSLATE(B1683, ""zh"", ""en"")"),"Not surprisingly, only to be fake is a fake Parker is also very serious bleeds written neatly do not buy this waste of money")</f>
        <v>Not surprisingly, only to be fake is a fake Parker is also very serious bleeds written neatly do not buy this waste of money</v>
      </c>
    </row>
    <row r="1684">
      <c r="A1684" s="1">
        <v>1.0</v>
      </c>
      <c r="B1684" s="1" t="s">
        <v>1682</v>
      </c>
      <c r="C1684" t="str">
        <f>IFERROR(__xludf.DUMMYFUNCTION("GOOGLETRANSLATE(B1684, ""zh"", ""en"")"),"Poor, poor looks gorgeous, muddy sound quality, too terrible, Marshall hit the face of the brand, and poor!")</f>
        <v>Poor, poor looks gorgeous, muddy sound quality, too terrible, Marshall hit the face of the brand, and poor!</v>
      </c>
    </row>
    <row r="1685">
      <c r="A1685" s="1">
        <v>4.0</v>
      </c>
      <c r="B1685" s="1" t="s">
        <v>1683</v>
      </c>
      <c r="C1685" t="str">
        <f>IFERROR(__xludf.DUMMYFUNCTION("GOOGLETRANSLATE(B1685, ""zh"", ""en"")"),"Also can work better, height 186, weight 210, sleeve length is just right, a little bit big")</f>
        <v>Also can work better, height 186, weight 210, sleeve length is just right, a little bit big</v>
      </c>
    </row>
    <row r="1686">
      <c r="A1686" s="1">
        <v>4.0</v>
      </c>
      <c r="B1686" s="1" t="s">
        <v>1684</v>
      </c>
      <c r="C1686" t="str">
        <f>IFERROR(__xludf.DUMMYFUNCTION("GOOGLETRANSLATE(B1686, ""zh"", ""en"")"),"Wear comfortable to buy S, or appear to be large, especially the hem is too long, it may be the reason I am slim now. Clothes really good, next time you start with a few pieces.")</f>
        <v>Wear comfortable to buy S, or appear to be large, especially the hem is too long, it may be the reason I am slim now. Clothes really good, next time you start with a few pieces.</v>
      </c>
    </row>
    <row r="1687">
      <c r="A1687" s="1">
        <v>4.0</v>
      </c>
      <c r="B1687" s="1" t="s">
        <v>1685</v>
      </c>
      <c r="C1687" t="str">
        <f>IFERROR(__xludf.DUMMYFUNCTION("GOOGLETRANSLATE(B1687, ""zh"", ""en"")"),"Also the version good, waist elastic, yes.")</f>
        <v>Also the version good, waist elastic, yes.</v>
      </c>
    </row>
    <row r="1688">
      <c r="A1688" s="1">
        <v>4.0</v>
      </c>
      <c r="B1688" s="1" t="s">
        <v>1686</v>
      </c>
      <c r="C1688" t="str">
        <f>IFERROR(__xludf.DUMMYFUNCTION("GOOGLETRANSLATE(B1688, ""zh"", ""en"")"),"Well wait a week before the day of the temptation to see the middle of the night, immediately orders, and then the next day to continue to show no goods, this hat ,, see hat size, that would be more shallow. . After receiving very fit, salted fish had int"&amp;"ended to hand out ,,, after the results actually reluctant to, ha ha, into the treasure in a similar cottage the two, a little shallower, and finally return")</f>
        <v>Well wait a week before the day of the temptation to see the middle of the night, immediately orders, and then the next day to continue to show no goods, this hat ,, see hat size, that would be more shallow. . After receiving very fit, salted fish had intended to hand out ,,, after the results actually reluctant to, ha ha, into the treasure in a similar cottage the two, a little shallower, and finally return</v>
      </c>
    </row>
    <row r="1689">
      <c r="A1689" s="1">
        <v>4.0</v>
      </c>
      <c r="B1689" s="1" t="s">
        <v>1687</v>
      </c>
      <c r="C1689" t="str">
        <f>IFERROR(__xludf.DUMMYFUNCTION("GOOGLETRANSLATE(B1689, ""zh"", ""en"")"),"You can buy two, a thickness of a thin")</f>
        <v>You can buy two, a thickness of a thin</v>
      </c>
    </row>
    <row r="1690">
      <c r="A1690" s="1">
        <v>5.0</v>
      </c>
      <c r="B1690" s="1" t="s">
        <v>1688</v>
      </c>
      <c r="C1690" t="str">
        <f>IFERROR(__xludf.DUMMYFUNCTION("GOOGLETRANSLATE(B1690, ""zh"", ""en"")"),"Satisfaction on foot for some time, to sum up. Heavy, really began to wear the ankle, wear thick socks, plus a run-in period Band-Aid spent. New Balance wear 40, bought 7e, the length is just right, but for me too broad a. Tie the laces need, or do not Ge"&amp;"njiao. Now running almost. Wearing normal socks, do not wear the ankle, also Genjiao, and Yue Chuanyue will feel comfortable.")</f>
        <v>Satisfaction on foot for some time, to sum up. Heavy, really began to wear the ankle, wear thick socks, plus a run-in period Band-Aid spent. New Balance wear 40, bought 7e, the length is just right, but for me too broad a. Tie the laces need, or do not Genjiao. Now running almost. Wearing normal socks, do not wear the ankle, also Genjiao, and Yue Chuanyue will feel comfortable.</v>
      </c>
    </row>
    <row r="1691">
      <c r="A1691" s="1">
        <v>5.0</v>
      </c>
      <c r="B1691" s="1" t="s">
        <v>1689</v>
      </c>
      <c r="C1691" t="str">
        <f>IFERROR(__xludf.DUMMYFUNCTION("GOOGLETRANSLATE(B1691, ""zh"", ""en"")"),"Great shoes the right size, delivery fast, fabulous, a lot cheaper than the domestic counter, huh")</f>
        <v>Great shoes the right size, delivery fast, fabulous, a lot cheaper than the domestic counter, huh</v>
      </c>
    </row>
    <row r="1692">
      <c r="A1692" s="1">
        <v>5.0</v>
      </c>
      <c r="B1692" s="1" t="s">
        <v>1690</v>
      </c>
      <c r="C1692" t="str">
        <f>IFERROR(__xludf.DUMMYFUNCTION("GOOGLETRANSLATE(B1692, ""zh"", ""en"")"),"Good hard bristles did not imagine good")</f>
        <v>Good hard bristles did not imagine good</v>
      </c>
    </row>
    <row r="1693">
      <c r="A1693" s="1">
        <v>5.0</v>
      </c>
      <c r="B1693" s="1" t="s">
        <v>1691</v>
      </c>
      <c r="C1693" t="str">
        <f>IFERROR(__xludf.DUMMYFUNCTION("GOOGLETRANSLATE(B1693, ""zh"", ""en"")"),"Good to trust this brand of probiotics, when the Amazon service is good, is the logistics information, if more detail is even more convenient")</f>
        <v>Good to trust this brand of probiotics, when the Amazon service is good, is the logistics information, if more detail is even more convenient</v>
      </c>
    </row>
    <row r="1694">
      <c r="A1694" s="1">
        <v>5.0</v>
      </c>
      <c r="B1694" s="1" t="s">
        <v>1692</v>
      </c>
      <c r="C1694" t="str">
        <f>IFERROR(__xludf.DUMMYFUNCTION("GOOGLETRANSLATE(B1694, ""zh"", ""en"")"),"Good satisfaction. Light and easy to carry out short-haul summer cup")</f>
        <v>Good satisfaction. Light and easy to carry out short-haul summer cup</v>
      </c>
    </row>
    <row r="1695">
      <c r="A1695" s="1">
        <v>5.0</v>
      </c>
      <c r="B1695" s="1" t="s">
        <v>1693</v>
      </c>
      <c r="C1695" t="str">
        <f>IFERROR(__xludf.DUMMYFUNCTION("GOOGLETRANSLATE(B1695, ""zh"", ""en"")"),"Elastic fabric elastic good very good, even like pants. General crotch jeans with different, more durable")</f>
        <v>Elastic fabric elastic good very good, even like pants. General crotch jeans with different, more durable</v>
      </c>
    </row>
    <row r="1696">
      <c r="A1696" s="1">
        <v>5.0</v>
      </c>
      <c r="B1696" s="1" t="s">
        <v>1694</v>
      </c>
      <c r="C1696" t="str">
        <f>IFERROR(__xludf.DUMMYFUNCTION("GOOGLETRANSLATE(B1696, ""zh"", ""en"")"),"Size matters pants good, is China's size and the size of foreign figure out, not buy, including clothing sizes, the size of their own do not know which, if too large too small, express delivery is not convenient, throw away waste")</f>
        <v>Size matters pants good, is China's size and the size of foreign figure out, not buy, including clothing sizes, the size of their own do not know which, if too large too small, express delivery is not convenient, throw away waste</v>
      </c>
    </row>
    <row r="1697">
      <c r="A1697" s="1">
        <v>5.0</v>
      </c>
      <c r="B1697" s="1" t="s">
        <v>1695</v>
      </c>
      <c r="C1697" t="str">
        <f>IFERROR(__xludf.DUMMYFUNCTION("GOOGLETRANSLATE(B1697, ""zh"", ""en"")"),"It can also feel authentic, wave-success, for the first time Amazon shopping, good")</f>
        <v>It can also feel authentic, wave-success, for the first time Amazon shopping, good</v>
      </c>
    </row>
    <row r="1698">
      <c r="A1698" s="1">
        <v>5.0</v>
      </c>
      <c r="B1698" s="1" t="s">
        <v>1696</v>
      </c>
      <c r="C1698" t="str">
        <f>IFERROR(__xludf.DUMMYFUNCTION("GOOGLETRANSLATE(B1698, ""zh"", ""en"")"),"Products of good faith for parents to buy this brand over")</f>
        <v>Products of good faith for parents to buy this brand over</v>
      </c>
    </row>
    <row r="1699">
      <c r="A1699" s="1">
        <v>5.0</v>
      </c>
      <c r="B1699" s="1" t="s">
        <v>1697</v>
      </c>
      <c r="C1699" t="str">
        <f>IFERROR(__xludf.DUMMYFUNCTION("GOOGLETRANSLATE(B1699, ""zh"", ""en"")"),"Satisfied very satisfied with the shopping, watch thin and light, medium size, wearing very comfortable.")</f>
        <v>Satisfied very satisfied with the shopping, watch thin and light, medium size, wearing very comfortable.</v>
      </c>
    </row>
    <row r="1700">
      <c r="A1700" s="1">
        <v>5.0</v>
      </c>
      <c r="B1700" s="1" t="s">
        <v>1698</v>
      </c>
      <c r="C1700" t="str">
        <f>IFERROR(__xludf.DUMMYFUNCTION("GOOGLETRANSLATE(B1700, ""zh"", ""en"")"),"Good cold water filter kettle by overseas shopping channel to buy, logistics speed is OK. Carton have been damaged, there is no problem, British-packaging but still better than Nichia. Much cheaper than similar domestic products offer the course. Filter q"&amp;"uality is also very good. Filter British production, not used domestically so I can not compare. Not from the previous evaluation, I do not know how many wasted points, points can change money now know, they should look carefully evaluated, then I put the"&amp;"se words to copy to go, both to earn points, but also save trouble, they go where copy the most important thing is, do not seriously review, do not think how much worse word, sent directly to it, recommend it to everyone! !")</f>
        <v>Good cold water filter kettle by overseas shopping channel to buy, logistics speed is OK. Carton have been damaged, there is no problem, British-packaging but still better than Nichia. Much cheaper than similar domestic products offer the course. Filter quality is also very good. Filter British production, not used domestically so I can not compare. Not from the previous evaluation, I do not know how many wasted points, points can change money now know, they should look carefully evaluated, then I put these words to copy to go, both to earn points, but also save trouble, they go where copy the most important thing is, do not seriously review, do not think how much worse word, sent directly to it, recommend it to everyone! !</v>
      </c>
    </row>
    <row r="1701">
      <c r="A1701" s="1">
        <v>5.0</v>
      </c>
      <c r="B1701" s="1" t="s">
        <v>1699</v>
      </c>
      <c r="C1701" t="str">
        <f>IFERROR(__xludf.DUMMYFUNCTION("GOOGLETRANSLATE(B1701, ""zh"", ""en"")"),"Easy to use good use, made in China in Guangzhou")</f>
        <v>Easy to use good use, made in China in Guangzhou</v>
      </c>
    </row>
    <row r="1702">
      <c r="A1702" s="1">
        <v>5.0</v>
      </c>
      <c r="B1702" s="1" t="s">
        <v>1700</v>
      </c>
      <c r="C1702" t="str">
        <f>IFERROR(__xludf.DUMMYFUNCTION("GOOGLETRANSLATE(B1702, ""zh"", ""en"")"),"Sports shoes usually feel shoes 36 yards, and sometimes can wear 35 yards, just the size of the length, width slightly narrower, still appropriate, suitable mainly price.")</f>
        <v>Sports shoes usually feel shoes 36 yards, and sometimes can wear 35 yards, just the size of the length, width slightly narrower, still appropriate, suitable mainly price.</v>
      </c>
    </row>
    <row r="1703">
      <c r="A1703" s="1">
        <v>5.0</v>
      </c>
      <c r="B1703" s="1" t="s">
        <v>1701</v>
      </c>
      <c r="C1703" t="str">
        <f>IFERROR(__xludf.DUMMYFUNCTION("GOOGLETRANSLATE(B1703, ""zh"", ""en"")"),"Very good ~ ~ just received 12 orders in addition to the outside of the box a little bit bad (it is estimated that through customs was a look inside the box is no problem at all the right size I bought 7m Big K in the country we buy shoes are at least 41 "&amp;"currently do not have any problem")</f>
        <v>Very good ~ ~ just received 12 orders in addition to the outside of the box a little bit bad (it is estimated that through customs was a look inside the box is no problem at all the right size I bought 7m Big K in the country we buy shoes are at least 41 currently do not have any problem</v>
      </c>
    </row>
    <row r="1704">
      <c r="A1704" s="1">
        <v>5.0</v>
      </c>
      <c r="B1704" s="1" t="s">
        <v>1702</v>
      </c>
      <c r="C1704" t="str">
        <f>IFERROR(__xludf.DUMMYFUNCTION("GOOGLETRANSLATE(B1704, ""zh"", ""en"")"),"Comfort height 180, weight 85 kg, wearing M size is slightly smaller, but like the Slim version of the proposal is still wear M. Comfort can.")</f>
        <v>Comfort height 180, weight 85 kg, wearing M size is slightly smaller, but like the Slim version of the proposal is still wear M. Comfort can.</v>
      </c>
    </row>
    <row r="1705">
      <c r="A1705" s="1">
        <v>5.0</v>
      </c>
      <c r="B1705" s="1" t="s">
        <v>1703</v>
      </c>
      <c r="C1705" t="str">
        <f>IFERROR(__xludf.DUMMYFUNCTION("GOOGLETRANSLATE(B1705, ""zh"", ""en"")"),"Baby food supplement box not with, feel the quality should be good, quite like their own, and to freeze the baby food supplement. But I did not write the manual cleaning Can boiling water disinfection, but just say wash dishwasher, microwave oven, it shou"&amp;"ld be possible.")</f>
        <v>Baby food supplement box not with, feel the quality should be good, quite like their own, and to freeze the baby food supplement. But I did not write the manual cleaning Can boiling water disinfection, but just say wash dishwasher, microwave oven, it should be possible.</v>
      </c>
    </row>
    <row r="1706">
      <c r="A1706" s="1">
        <v>5.0</v>
      </c>
      <c r="B1706" s="1" t="s">
        <v>1704</v>
      </c>
      <c r="C1706" t="str">
        <f>IFERROR(__xludf.DUMMYFUNCTION("GOOGLETRANSLATE(B1706, ""zh"", ""en"")"),"dt880 shipped quickly, packaging is very good, really good value for money, great sound.")</f>
        <v>dt880 shipped quickly, packaging is very good, really good value for money, great sound.</v>
      </c>
    </row>
    <row r="1707">
      <c r="A1707" s="1">
        <v>5.0</v>
      </c>
      <c r="B1707" s="1" t="s">
        <v>1705</v>
      </c>
      <c r="C1707" t="str">
        <f>IFERROR(__xludf.DUMMYFUNCTION("GOOGLETRANSLATE(B1707, ""zh"", ""en"")"),"Bought a little big brand's other models, this number looks bigger, arms that have a sponge, comfortable than other models.")</f>
        <v>Bought a little big brand's other models, this number looks bigger, arms that have a sponge, comfortable than other models.</v>
      </c>
    </row>
    <row r="1708">
      <c r="A1708" s="1">
        <v>5.0</v>
      </c>
      <c r="B1708" s="1" t="s">
        <v>1706</v>
      </c>
      <c r="C1708" t="str">
        <f>IFERROR(__xludf.DUMMYFUNCTION("GOOGLETRANSLATE(B1708, ""zh"", ""en"")"),"To his mother to buy, it is the prevention of mother older, some joint problems, bought for her to try, she asked the doctor, saying you can eat.")</f>
        <v>To his mother to buy, it is the prevention of mother older, some joint problems, bought for her to try, she asked the doctor, saying you can eat.</v>
      </c>
    </row>
    <row r="1709">
      <c r="A1709" s="1">
        <v>5.0</v>
      </c>
      <c r="B1709" s="1" t="s">
        <v>1707</v>
      </c>
      <c r="C1709" t="str">
        <f>IFERROR(__xludf.DUMMYFUNCTION("GOOGLETRANSLATE(B1709, ""zh"", ""en"")"),"Very good very satisfied with the price first. What is big is not all big clouds")</f>
        <v>Very good very satisfied with the price first. What is big is not all big clouds</v>
      </c>
    </row>
    <row r="1710">
      <c r="A1710" s="1">
        <v>5.0</v>
      </c>
      <c r="B1710" s="1" t="s">
        <v>1708</v>
      </c>
      <c r="C1710" t="str">
        <f>IFERROR(__xludf.DUMMYFUNCTION("GOOGLETRANSLATE(B1710, ""zh"", ""en"")"),"Good thick skin, produced in India, with jeans handsome, fine workmanship, satisfaction,")</f>
        <v>Good thick skin, produced in India, with jeans handsome, fine workmanship, satisfaction,</v>
      </c>
    </row>
    <row r="1711">
      <c r="A1711" s="1">
        <v>5.0</v>
      </c>
      <c r="B1711" s="1" t="s">
        <v>1709</v>
      </c>
      <c r="C1711" t="str">
        <f>IFERROR(__xludf.DUMMYFUNCTION("GOOGLETRANSLATE(B1711, ""zh"", ""en"")"),"Very good shoes comfortable breathable lightweight running well.")</f>
        <v>Very good shoes comfortable breathable lightweight running well.</v>
      </c>
    </row>
    <row r="1712">
      <c r="A1712" s="1">
        <v>2.0</v>
      </c>
      <c r="B1712" s="1" t="s">
        <v>1710</v>
      </c>
      <c r="C1712" t="str">
        <f>IFERROR(__xludf.DUMMYFUNCTION("GOOGLETRANSLATE(B1712, ""zh"", ""en"")"),"QC has been detected unsatisfactory poor quality, yellow label affixed. But eventually shipped ... really speechless!")</f>
        <v>QC has been detected unsatisfactory poor quality, yellow label affixed. But eventually shipped ... really speechless!</v>
      </c>
    </row>
    <row r="1713">
      <c r="A1713" s="1">
        <v>3.0</v>
      </c>
      <c r="B1713" s="1" t="s">
        <v>1711</v>
      </c>
      <c r="C1713" t="str">
        <f>IFERROR(__xludf.DUMMYFUNCTION("GOOGLETRANSLATE(B1713, ""zh"", ""en"")"),"High instep presser foot length would be more suitable, but there is relatively low instep, instep will be relatively high presser foot. Hard soles.")</f>
        <v>High instep presser foot length would be more suitable, but there is relatively low instep, instep will be relatively high presser foot. Hard soles.</v>
      </c>
    </row>
    <row r="1714">
      <c r="A1714" s="1">
        <v>3.0</v>
      </c>
      <c r="B1714" s="1" t="s">
        <v>1712</v>
      </c>
      <c r="C1714" t="str">
        <f>IFERROR(__xludf.DUMMYFUNCTION("GOOGLETRANSLATE(B1714, ""zh"", ""en"")"),"General quality of the shirt, although Lee is the brand name, but it is produced in Bangladesh, where some buttons at the cable head. Spring and Autumn thin section, size larger than our country. 70% cotton, general quality.")</f>
        <v>General quality of the shirt, although Lee is the brand name, but it is produced in Bangladesh, where some buttons at the cable head. Spring and Autumn thin section, size larger than our country. 70% cotton, general quality.</v>
      </c>
    </row>
    <row r="1715">
      <c r="A1715" s="1">
        <v>1.0</v>
      </c>
      <c r="B1715" s="1" t="s">
        <v>1713</v>
      </c>
      <c r="C1715" t="str">
        <f>IFERROR(__xludf.DUMMYFUNCTION("GOOGLETRANSLATE(B1715, ""zh"", ""en"")"),"Drain waste products store put a one-year, open now found that the use of filtered water is blue, and black scum, what quality ah! too poor.")</f>
        <v>Drain waste products store put a one-year, open now found that the use of filtered water is blue, and black scum, what quality ah! too poor.</v>
      </c>
    </row>
    <row r="1716">
      <c r="A1716" s="1">
        <v>1.0</v>
      </c>
      <c r="B1716" s="1" t="s">
        <v>1714</v>
      </c>
      <c r="C1716" t="str">
        <f>IFERROR(__xludf.DUMMYFUNCTION("GOOGLETRANSLATE(B1716, ""zh"", ""en"")"),"Corsair put too much garbage do more rugged exterior but the interior is too fragile life at the interface is not more than three months and will be done under the premise of normal use")</f>
        <v>Corsair put too much garbage do more rugged exterior but the interior is too fragile life at the interface is not more than three months and will be done under the premise of normal use</v>
      </c>
    </row>
    <row r="1717">
      <c r="A1717" s="1">
        <v>1.0</v>
      </c>
      <c r="B1717" s="1" t="s">
        <v>1715</v>
      </c>
      <c r="C1717" t="str">
        <f>IFERROR(__xludf.DUMMYFUNCTION("GOOGLETRANSLATE(B1717, ""zh"", ""en"")"),"Old pen box short of the sea for the first time to buy so satisfied, bought a box received was very old, 12 fewer open inside the pen color, 132 became 120, there are 12 colors Repeated. Returns ready to re-take a little longer to buy ... buy this ...")</f>
        <v>Old pen box short of the sea for the first time to buy so satisfied, bought a box received was very old, 12 fewer open inside the pen color, 132 became 120, there are 12 colors Repeated. Returns ready to re-take a little longer to buy ... buy this ...</v>
      </c>
    </row>
    <row r="1718">
      <c r="A1718" s="1">
        <v>4.0</v>
      </c>
      <c r="B1718" s="1" t="s">
        <v>1716</v>
      </c>
      <c r="C1718" t="str">
        <f>IFERROR(__xludf.DUMMYFUNCTION("GOOGLETRANSLATE(B1718, ""zh"", ""en"")"),"Good pot! Good maintenance can be a hundred years. 3.8kg! Really can be used to exercise! Single hand to about ten days, can also speed. Packaging is relatively simple, direct use of wrap and then sets out cartons, some small scratches while to get our ha"&amp;"nds should be out of the way. Most dissatisfied with the handle there is a little rusty scratched! ! see the picture. Finally, I would ask how to boil, I feel on top of a layer of paint, you are not all off? ? Why can not upload pictures?")</f>
        <v>Good pot! Good maintenance can be a hundred years. 3.8kg! Really can be used to exercise! Single hand to about ten days, can also speed. Packaging is relatively simple, direct use of wrap and then sets out cartons, some small scratches while to get our hands should be out of the way. Most dissatisfied with the handle there is a little rusty scratched! ! see the picture. Finally, I would ask how to boil, I feel on top of a layer of paint, you are not all off? ? Why can not upload pictures?</v>
      </c>
    </row>
    <row r="1719">
      <c r="A1719" s="1">
        <v>4.0</v>
      </c>
      <c r="B1719" s="1" t="s">
        <v>1717</v>
      </c>
      <c r="C1719" t="str">
        <f>IFERROR(__xludf.DUMMYFUNCTION("GOOGLETRANSLATE(B1719, ""zh"", ""en"")"),"Taking a bad feeling than last wish counter to lean. . I really fat")</f>
        <v>Taking a bad feeling than last wish counter to lean. . I really fat</v>
      </c>
    </row>
    <row r="1720">
      <c r="A1720" s="1">
        <v>4.0</v>
      </c>
      <c r="B1720" s="1" t="s">
        <v>1718</v>
      </c>
      <c r="C1720" t="str">
        <f>IFERROR(__xludf.DUMMYFUNCTION("GOOGLETRANSLATE(B1720, ""zh"", ""en"")"),"Plastic straws bad flavor ...... do not drink baby")</f>
        <v>Plastic straws bad flavor ...... do not drink baby</v>
      </c>
    </row>
    <row r="1721">
      <c r="A1721" s="1">
        <v>4.0</v>
      </c>
      <c r="B1721" s="1" t="s">
        <v>1719</v>
      </c>
      <c r="C1721" t="str">
        <f>IFERROR(__xludf.DUMMYFUNCTION("GOOGLETRANSLATE(B1721, ""zh"", ""en"")"),"Cloth Yes, yes a little personal quality, a little bit of slightly elastic, supple fabric wearing more comfortable, a bit like Ms. tight jeans cloth. Slim style bias, relatively close to the trousers, not a straight-oh! Originally wanted to buy straight, "&amp;"and look at the good points even if the cloth (mainly the cost of returned scary) right, darker color, not the picture so white, light blue closer. 172/140 wear long pants 30 waist are just, over two hundred regarded value, the premise is genuine, then Ha"&amp;"! Write so rare, to refer to the newcomers, Amazon had not much comment, without reference to each other, do not buy.")</f>
        <v>Cloth Yes, yes a little personal quality, a little bit of slightly elastic, supple fabric wearing more comfortable, a bit like Ms. tight jeans cloth. Slim style bias, relatively close to the trousers, not a straight-oh! Originally wanted to buy straight, and look at the good points even if the cloth (mainly the cost of returned scary) right, darker color, not the picture so white, light blue closer. 172/140 wear long pants 30 waist are just, over two hundred regarded value, the premise is genuine, then Ha! Write so rare, to refer to the newcomers, Amazon had not much comment, without reference to each other, do not buy.</v>
      </c>
    </row>
    <row r="1722">
      <c r="A1722" s="1">
        <v>4.0</v>
      </c>
      <c r="B1722" s="1" t="s">
        <v>1720</v>
      </c>
      <c r="C1722" t="str">
        <f>IFERROR(__xludf.DUMMYFUNCTION("GOOGLETRANSLATE(B1722, ""zh"", ""en"")"),"It can also be a little expensive okay good little hard a little expensive")</f>
        <v>It can also be a little expensive okay good little hard a little expensive</v>
      </c>
    </row>
    <row r="1723">
      <c r="A1723" s="1">
        <v>5.0</v>
      </c>
      <c r="B1723" s="1" t="s">
        <v>1721</v>
      </c>
      <c r="C1723" t="str">
        <f>IFERROR(__xludf.DUMMYFUNCTION("GOOGLETRANSLATE(B1723, ""zh"", ""en"")"),"Basically satisfied with the first day after Asia, something which packaging can also, after a solid plastic as well as rubber band, was almost outside the box, when you receive the goods are damaged. Inside the cargo almost fell out ... thought buy is le"&amp;"ggings, pantyhose actually, I have 165,114 pounds, ML number is too large, the pants a little long, to wear little feeling of pressure, especially that ankle there is a big gap between no pressure, and ankle socks. Quality is good, very comfortable to wea"&amp;"r. Inside is a black velvet. Nichia buy cheaper than other places. Week to.")</f>
        <v>Basically satisfied with the first day after Asia, something which packaging can also, after a solid plastic as well as rubber band, was almost outside the box, when you receive the goods are damaged. Inside the cargo almost fell out ... thought buy is leggings, pantyhose actually, I have 165,114 pounds, ML number is too large, the pants a little long, to wear little feeling of pressure, especially that ankle there is a big gap between no pressure, and ankle socks. Quality is good, very comfortable to wear. Inside is a black velvet. Nichia buy cheaper than other places. Week to.</v>
      </c>
    </row>
    <row r="1724">
      <c r="A1724" s="1">
        <v>5.0</v>
      </c>
      <c r="B1724" s="1" t="s">
        <v>1722</v>
      </c>
      <c r="C1724" t="str">
        <f>IFERROR(__xludf.DUMMYFUNCTION("GOOGLETRANSLATE(B1724, ""zh"", ""en"")"),"Very good physical color not so bright picture, it should be close to dark purple, but also feel very good.")</f>
        <v>Very good physical color not so bright picture, it should be close to dark purple, but also feel very good.</v>
      </c>
    </row>
    <row r="1725">
      <c r="A1725" s="1">
        <v>5.0</v>
      </c>
      <c r="B1725" s="1" t="s">
        <v>1723</v>
      </c>
      <c r="C1725" t="str">
        <f>IFERROR(__xludf.DUMMYFUNCTION("GOOGLETRANSLATE(B1725, ""zh"", ""en"")"),"Buy cheap overseas hand, with a few months, solid steel, quartz watch. Also more peace of mind, work is absolutely worthy of the price.")</f>
        <v>Buy cheap overseas hand, with a few months, solid steel, quartz watch. Also more peace of mind, work is absolutely worthy of the price.</v>
      </c>
    </row>
    <row r="1726">
      <c r="A1726" s="1">
        <v>5.0</v>
      </c>
      <c r="B1726" s="1" t="s">
        <v>1724</v>
      </c>
      <c r="C1726" t="str">
        <f>IFERROR(__xludf.DUMMYFUNCTION("GOOGLETRANSLATE(B1726, ""zh"", ""en"")"),"Good Very Good friends are like!")</f>
        <v>Good Very Good friends are like!</v>
      </c>
    </row>
    <row r="1727">
      <c r="A1727" s="1">
        <v>5.0</v>
      </c>
      <c r="B1727" s="1" t="s">
        <v>1725</v>
      </c>
      <c r="C1727" t="str">
        <f>IFERROR(__xludf.DUMMYFUNCTION("GOOGLETRANSLATE(B1727, ""zh"", ""en"")"),"Quality good quality is very good. . . .")</f>
        <v>Quality good quality is very good. . . .</v>
      </c>
    </row>
    <row r="1728">
      <c r="A1728" s="1">
        <v>5.0</v>
      </c>
      <c r="B1728" s="1" t="s">
        <v>1726</v>
      </c>
      <c r="C1728" t="str">
        <f>IFERROR(__xludf.DUMMYFUNCTION("GOOGLETRANSLATE(B1728, ""zh"", ""en"")"),"Good quality, cost-effective. Basketball shoes usually wear 40.5 feet long 26cm, bought US8, just right.")</f>
        <v>Good quality, cost-effective. Basketball shoes usually wear 40.5 feet long 26cm, bought US8, just right.</v>
      </c>
    </row>
    <row r="1729">
      <c r="A1729" s="1">
        <v>5.0</v>
      </c>
      <c r="B1729" s="1" t="s">
        <v>1727</v>
      </c>
      <c r="C1729" t="str">
        <f>IFERROR(__xludf.DUMMYFUNCTION("GOOGLETRANSLATE(B1729, ""zh"", ""en"")"),"Genuine praise! like very much. It flows to date! Dressing a good fit.")</f>
        <v>Genuine praise! like very much. It flows to date! Dressing a good fit.</v>
      </c>
    </row>
    <row r="1730">
      <c r="A1730" s="1">
        <v>5.0</v>
      </c>
      <c r="B1730" s="1" t="s">
        <v>1728</v>
      </c>
      <c r="C1730" t="str">
        <f>IFERROR(__xludf.DUMMYFUNCTION("GOOGLETRANSLATE(B1730, ""zh"", ""en"")"),"The cup is like, and trust Amazon.")</f>
        <v>The cup is like, and trust Amazon.</v>
      </c>
    </row>
    <row r="1731">
      <c r="A1731" s="1">
        <v>5.0</v>
      </c>
      <c r="B1731" s="1" t="s">
        <v>1729</v>
      </c>
      <c r="C1731" t="str">
        <f>IFERROR(__xludf.DUMMYFUNCTION("GOOGLETRANSLATE(B1731, ""zh"", ""en"")"),"Very satisfied 166/102, election xs, fit, a little bit longer")</f>
        <v>Very satisfied 166/102, election xs, fit, a little bit longer</v>
      </c>
    </row>
    <row r="1732">
      <c r="A1732" s="1">
        <v>5.0</v>
      </c>
      <c r="B1732" s="1" t="s">
        <v>1730</v>
      </c>
      <c r="C1732" t="str">
        <f>IFERROR(__xludf.DUMMYFUNCTION("GOOGLETRANSLATE(B1732, ""zh"", ""en"")"),"Easy to use good use! Arbitrary burn the desired temperature")</f>
        <v>Easy to use good use! Arbitrary burn the desired temperature</v>
      </c>
    </row>
    <row r="1733">
      <c r="A1733" s="1">
        <v>5.0</v>
      </c>
      <c r="B1733" s="1" t="s">
        <v>1731</v>
      </c>
      <c r="C1733" t="str">
        <f>IFERROR(__xludf.DUMMYFUNCTION("GOOGLETRANSLATE(B1733, ""zh"", ""en"")"),"Logistics, excellent Mishap! Commodity play 5 minutes, 1 minute to play excellent service. After receiving the check is Emperor Jie licensed, quality headset there are many professional reviews online, I believe we have done all their homework before you "&amp;"buy. Burning machine, temporarily no comment. On a lot of excellent shopping, online shopping or bulky precious commodities, generally it. But this time the feeling there are two sorts: 1. manufacturers may have to turn over packed, packed the 2011's has "&amp;"no bag to send, but excellent in the trade description or did not change overnight. 2. is the logistics, this can be said to be excellent Mishap. Temporary problems, and want to communicate with logistics personnel at delivery time. The system displays th"&amp;"e parcel has been in the station, but the logistics to fight the phone, they say not to, playing exceptional customer service telephone to find the logistics letting myself. Nima do you Qucai customer service, you should be recommended to the Camacho! The"&amp;" future will be easy to turn a fast and Jingdong. In particular Yi Xun, sent three times a day: One night in and sent the next morning; orders in the morning, at noon to; to a single night before 15:00. And the system can be found names and phone logistic"&amp;"s personnel can communicate directly. We can say that the logistics alone in this regard, a few blocks thrown excellent!")</f>
        <v>Logistics, excellent Mishap! Commodity play 5 minutes, 1 minute to play excellent service. After receiving the check is Emperor Jie licensed, quality headset there are many professional reviews online, I believe we have done all their homework before you buy. Burning machine, temporarily no comment. On a lot of excellent shopping, online shopping or bulky precious commodities, generally it. But this time the feeling there are two sorts: 1. manufacturers may have to turn over packed, packed the 2011's has no bag to send, but excellent in the trade description or did not change overnight. 2. is the logistics, this can be said to be excellent Mishap. Temporary problems, and want to communicate with logistics personnel at delivery time. The system displays the parcel has been in the station, but the logistics to fight the phone, they say not to, playing exceptional customer service telephone to find the logistics letting myself. Nima do you Qucai customer service, you should be recommended to the Camacho! The future will be easy to turn a fast and Jingdong. In particular Yi Xun, sent three times a day: One night in and sent the next morning; orders in the morning, at noon to; to a single night before 15:00. And the system can be found names and phone logistics personnel can communicate directly. We can say that the logistics alone in this regard, a few blocks thrown excellent!</v>
      </c>
    </row>
    <row r="1734">
      <c r="A1734" s="1">
        <v>5.0</v>
      </c>
      <c r="B1734" s="1" t="s">
        <v>1732</v>
      </c>
      <c r="C1734" t="str">
        <f>IFERROR(__xludf.DUMMYFUNCTION("GOOGLETRANSLATE(B1734, ""zh"", ""en"")"),"nas nas used by warehouse dish, very good")</f>
        <v>nas nas used by warehouse dish, very good</v>
      </c>
    </row>
    <row r="1735">
      <c r="A1735" s="1">
        <v>5.0</v>
      </c>
      <c r="B1735" s="1" t="s">
        <v>1733</v>
      </c>
      <c r="C1735" t="str">
        <f>IFERROR(__xludf.DUMMYFUNCTION("GOOGLETRANSLATE(B1735, ""zh"", ""en"")"),"A good deal of good, pretty cool, very cost-effective. . .")</f>
        <v>A good deal of good, pretty cool, very cost-effective. . .</v>
      </c>
    </row>
    <row r="1736">
      <c r="A1736" s="1">
        <v>5.0</v>
      </c>
      <c r="B1736" s="1" t="s">
        <v>1734</v>
      </c>
      <c r="C1736" t="str">
        <f>IFERROR(__xludf.DUMMYFUNCTION("GOOGLETRANSLATE(B1736, ""zh"", ""en"")"),"Line is broken, replace well. Not from the previous evaluation, I do not know how many points wasted, now know that integration can change money necessary to properly evaluate, and then I put these words to copy to go, both to earn points, but also save t"&amp;"rouble, they go where copy , sent directly to it, recommend it to everyone! !")</f>
        <v>Line is broken, replace well. Not from the previous evaluation, I do not know how many points wasted, now know that integration can change money necessary to properly evaluate, and then I put these words to copy to go, both to earn points, but also save trouble, they go where copy , sent directly to it, recommend it to everyone! !</v>
      </c>
    </row>
    <row r="1737">
      <c r="A1737" s="1">
        <v>5.0</v>
      </c>
      <c r="B1737" s="1" t="s">
        <v>1735</v>
      </c>
      <c r="C1737" t="str">
        <f>IFERROR(__xludf.DUMMYFUNCTION("GOOGLETRANSLATE(B1737, ""zh"", ""en"")"),"Satisfaction classic style, low-key, keep good time, in addition to express slow, other are good!")</f>
        <v>Satisfaction classic style, low-key, keep good time, in addition to express slow, other are good!</v>
      </c>
    </row>
    <row r="1738">
      <c r="A1738" s="1">
        <v>5.0</v>
      </c>
      <c r="B1738" s="1" t="s">
        <v>1736</v>
      </c>
      <c r="C1738" t="str">
        <f>IFERROR(__xludf.DUMMYFUNCTION("GOOGLETRANSLATE(B1738, ""zh"", ""en"")"),"ok very good buy small one yard just right.")</f>
        <v>ok very good buy small one yard just right.</v>
      </c>
    </row>
    <row r="1739">
      <c r="A1739" s="1">
        <v>5.0</v>
      </c>
      <c r="B1739" s="1" t="s">
        <v>1737</v>
      </c>
      <c r="C1739" t="str">
        <f>IFERROR(__xludf.DUMMYFUNCTION("GOOGLETRANSLATE(B1739, ""zh"", ""en"")"),"Yes 165cm, 46kg right size")</f>
        <v>Yes 165cm, 46kg right size</v>
      </c>
    </row>
    <row r="1740">
      <c r="A1740" s="1">
        <v>5.0</v>
      </c>
      <c r="B1740" s="1" t="s">
        <v>1738</v>
      </c>
      <c r="C1740" t="str">
        <f>IFERROR(__xludf.DUMMYFUNCTION("GOOGLETRANSLATE(B1740, ""zh"", ""en"")"),"Good-looking, good-looking it is too slippery insole is nice, and indeed relatively large, long and short yardage and own almost normal shoes, is too fat look larger. Very soft, comfortable. It is really the only insoles slip")</f>
        <v>Good-looking, good-looking it is too slippery insole is nice, and indeed relatively large, long and short yardage and own almost normal shoes, is too fat look larger. Very soft, comfortable. It is really the only insoles slip</v>
      </c>
    </row>
    <row r="1741">
      <c r="A1741" s="1">
        <v>5.0</v>
      </c>
      <c r="B1741" s="1" t="s">
        <v>1739</v>
      </c>
      <c r="C1741" t="str">
        <f>IFERROR(__xludf.DUMMYFUNCTION("GOOGLETRANSLATE(B1741, ""zh"", ""en"")"),"Super good style good-looking shoes, wear comfortable, soft leather super comfortable, out of")</f>
        <v>Super good style good-looking shoes, wear comfortable, soft leather super comfortable, out of</v>
      </c>
    </row>
    <row r="1742">
      <c r="A1742" s="1">
        <v>5.0</v>
      </c>
      <c r="B1742" s="1" t="s">
        <v>1740</v>
      </c>
      <c r="C1742" t="str">
        <f>IFERROR(__xludf.DUMMYFUNCTION("GOOGLETRANSLATE(B1742, ""zh"", ""en"")"),"Good quality size is too large, good quality.")</f>
        <v>Good quality size is too large, good quality.</v>
      </c>
    </row>
    <row r="1743">
      <c r="A1743" s="1">
        <v>5.0</v>
      </c>
      <c r="B1743" s="1" t="s">
        <v>1741</v>
      </c>
      <c r="C1743" t="str">
        <f>IFERROR(__xludf.DUMMYFUNCTION("GOOGLETRANSLATE(B1743, ""zh"", ""en"")"),"Size, perfect texture are good, the price is also good, very comfortable Pima cotton")</f>
        <v>Size, perfect texture are good, the price is also good, very comfortable Pima cotton</v>
      </c>
    </row>
    <row r="1744">
      <c r="A1744" s="1">
        <v>5.0</v>
      </c>
      <c r="B1744" s="1" t="s">
        <v>1742</v>
      </c>
      <c r="C1744" t="str">
        <f>IFERROR(__xludf.DUMMYFUNCTION("GOOGLETRANSLATE(B1744, ""zh"", ""en"")"),"Good things, is too weighty a dishwasher after buying accidentally planted this grass, and finally pulled")</f>
        <v>Good things, is too weighty a dishwasher after buying accidentally planted this grass, and finally pulled</v>
      </c>
    </row>
    <row r="1745">
      <c r="A1745" s="1">
        <v>2.0</v>
      </c>
      <c r="B1745" s="1" t="s">
        <v>1743</v>
      </c>
      <c r="C1745" t="str">
        <f>IFERROR(__xludf.DUMMYFUNCTION("GOOGLETRANSLATE(B1745, ""zh"", ""en"")"),"April 24, 2016 to purchase, until now in less than two months has been broken, can not be used, depressed, there is no place to buy the warranty and complaint April 24, 2016, and now with less than two may has been broken, can not be used, depressed, no p"&amp;"lace to warranty")</f>
        <v>April 24, 2016 to purchase, until now in less than two months has been broken, can not be used, depressed, there is no place to buy the warranty and complaint April 24, 2016, and now with less than two may has been broken, can not be used, depressed, no place to warranty</v>
      </c>
    </row>
    <row r="1746">
      <c r="A1746" s="1">
        <v>3.0</v>
      </c>
      <c r="B1746" s="1" t="s">
        <v>1744</v>
      </c>
      <c r="C1746" t="str">
        <f>IFERROR(__xludf.DUMMYFUNCTION("GOOGLETRANSLATE(B1746, ""zh"", ""en"")"),"Currently lacks effect with family")</f>
        <v>Currently lacks effect with family</v>
      </c>
    </row>
    <row r="1747">
      <c r="A1747" s="1">
        <v>3.0</v>
      </c>
      <c r="B1747" s="1" t="s">
        <v>1745</v>
      </c>
      <c r="C1747" t="str">
        <f>IFERROR(__xludf.DUMMYFUNCTION("GOOGLETRANSLATE(B1747, ""zh"", ""en"")"),"Packaging bad! Bad packaging, are broken, the machine also has the appearance of damage! Fortunately, not bad!")</f>
        <v>Packaging bad! Bad packaging, are broken, the machine also has the appearance of damage! Fortunately, not bad!</v>
      </c>
    </row>
    <row r="1748">
      <c r="A1748" s="1">
        <v>1.0</v>
      </c>
      <c r="B1748" s="1" t="s">
        <v>1746</v>
      </c>
      <c r="C1748" t="str">
        <f>IFERROR(__xludf.DUMMYFUNCTION("GOOGLETRANSLATE(B1748, ""zh"", ""en"")"),"mac support too disgusting for the first time are also likely to be the last with wd! It is too hard to use! !")</f>
        <v>mac support too disgusting for the first time are also likely to be the last with wd! It is too hard to use! !</v>
      </c>
    </row>
    <row r="1749">
      <c r="A1749" s="1">
        <v>1.0</v>
      </c>
      <c r="B1749" s="1" t="s">
        <v>1747</v>
      </c>
      <c r="C1749" t="str">
        <f>IFERROR(__xludf.DUMMYFUNCTION("GOOGLETRANSLATE(B1749, ""zh"", ""en"")"),"200 wife wife big bucks, if returned, gave 74, clothes too big, can not wear, waiting for someone to donate it")</f>
        <v>200 wife wife big bucks, if returned, gave 74, clothes too big, can not wear, waiting for someone to donate it</v>
      </c>
    </row>
    <row r="1750">
      <c r="A1750" s="1">
        <v>4.0</v>
      </c>
      <c r="B1750" s="1" t="s">
        <v>1748</v>
      </c>
      <c r="C1750" t="str">
        <f>IFERROR(__xludf.DUMMYFUNCTION("GOOGLETRANSLATE(B1750, ""zh"", ""en"")"),"Overall okay belt can, I believe the quality of Timberland, with the same expectations!")</f>
        <v>Overall okay belt can, I believe the quality of Timberland, with the same expectations!</v>
      </c>
    </row>
    <row r="1751">
      <c r="A1751" s="1">
        <v>4.0</v>
      </c>
      <c r="B1751" s="1" t="s">
        <v>1749</v>
      </c>
      <c r="C1751" t="str">
        <f>IFERROR(__xludf.DUMMYFUNCTION("GOOGLETRANSLATE(B1751, ""zh"", ""en"")"),"Right size feel nothing special. Less value.")</f>
        <v>Right size feel nothing special. Less value.</v>
      </c>
    </row>
    <row r="1752">
      <c r="A1752" s="1">
        <v>4.0</v>
      </c>
      <c r="B1752" s="1" t="s">
        <v>1750</v>
      </c>
      <c r="C1752" t="str">
        <f>IFERROR(__xludf.DUMMYFUNCTION("GOOGLETRANSLATE(B1752, ""zh"", ""en"")"),"The box has been opened inside a plastic box marks have no problem using a new instrument breakage received on both sides of labels may be ripped up one side of the plastic base mat customs check broken new instrument is nothing big problems with the ligh"&amp;"t outlet baffle is loose shaking sound domestic no conversion plug")</f>
        <v>The box has been opened inside a plastic box marks have no problem using a new instrument breakage received on both sides of labels may be ripped up one side of the plastic base mat customs check broken new instrument is nothing big problems with the light outlet baffle is loose shaking sound domestic no conversion plug</v>
      </c>
    </row>
    <row r="1753">
      <c r="A1753" s="1">
        <v>4.0</v>
      </c>
      <c r="B1753" s="1" t="s">
        <v>1751</v>
      </c>
      <c r="C1753" t="str">
        <f>IFERROR(__xludf.DUMMYFUNCTION("GOOGLETRANSLATE(B1753, ""zh"", ""en"")"),"Too large a little bit too large, domestic 80B, 80B on the election of the larger, 75A can be")</f>
        <v>Too large a little bit too large, domestic 80B, 80B on the election of the larger, 75A can be</v>
      </c>
    </row>
    <row r="1754">
      <c r="A1754" s="1">
        <v>4.0</v>
      </c>
      <c r="B1754" s="1" t="s">
        <v>1752</v>
      </c>
      <c r="C1754" t="str">
        <f>IFERROR(__xludf.DUMMYFUNCTION("GOOGLETRANSLATE(B1754, ""zh"", ""en"")"),"Cost can, good cost can be, good good!")</f>
        <v>Cost can, good cost can be, good good!</v>
      </c>
    </row>
    <row r="1755">
      <c r="A1755" s="1">
        <v>5.0</v>
      </c>
      <c r="B1755" s="1" t="s">
        <v>1753</v>
      </c>
      <c r="C1755" t="str">
        <f>IFERROR(__xludf.DUMMYFUNCTION("GOOGLETRANSLATE(B1755, ""zh"", ""en"")"),"Good very comfortable, good! The future will buy.")</f>
        <v>Good very comfortable, good! The future will buy.</v>
      </c>
    </row>
    <row r="1756">
      <c r="A1756" s="1">
        <v>5.0</v>
      </c>
      <c r="B1756" s="1" t="s">
        <v>1754</v>
      </c>
      <c r="C1756" t="str">
        <f>IFERROR(__xludf.DUMMYFUNCTION("GOOGLETRANSLATE(B1756, ""zh"", ""en"")"),"Color and delicate easy to color a very powerful love it! While waiting for ten days but also the value!")</f>
        <v>Color and delicate easy to color a very powerful love it! While waiting for ten days but also the value!</v>
      </c>
    </row>
    <row r="1757">
      <c r="A1757" s="1">
        <v>5.0</v>
      </c>
      <c r="B1757" s="1" t="s">
        <v>1755</v>
      </c>
      <c r="C1757" t="str">
        <f>IFERROR(__xludf.DUMMYFUNCTION("GOOGLETRANSLATE(B1757, ""zh"", ""en"")"),"Breakfast suddenly feeling a senior smoothly with them, cleaning is also convenient for the morning rush of rhythm.")</f>
        <v>Breakfast suddenly feeling a senior smoothly with them, cleaning is also convenient for the morning rush of rhythm.</v>
      </c>
    </row>
    <row r="1758">
      <c r="A1758" s="1">
        <v>5.0</v>
      </c>
      <c r="B1758" s="1" t="s">
        <v>1756</v>
      </c>
      <c r="C1758" t="str">
        <f>IFERROR(__xludf.DUMMYFUNCTION("GOOGLETRANSLATE(B1758, ""zh"", ""en"")"),"Not allergic Biniukangte good, baby love to eat.")</f>
        <v>Not allergic Biniukangte good, baby love to eat.</v>
      </c>
    </row>
    <row r="1759">
      <c r="A1759" s="1">
        <v>5.0</v>
      </c>
      <c r="B1759" s="1" t="s">
        <v>1757</v>
      </c>
      <c r="C1759" t="str">
        <f>IFERROR(__xludf.DUMMYFUNCTION("GOOGLETRANSLATE(B1759, ""zh"", ""en"")"),"The new packaging is made easy to use, Kao spent two years, and used other, eventually go back to Kao.")</f>
        <v>The new packaging is made easy to use, Kao spent two years, and used other, eventually go back to Kao.</v>
      </c>
    </row>
    <row r="1760">
      <c r="A1760" s="1">
        <v>5.0</v>
      </c>
      <c r="B1760" s="1" t="s">
        <v>1758</v>
      </c>
      <c r="C1760" t="str">
        <f>IFERROR(__xludf.DUMMYFUNCTION("GOOGLETRANSLATE(B1760, ""zh"", ""en"")"),"Amazon Japan Cup is very beautiful packaging is really good! The cup is very beautiful, also very satisfied with the size, but it has not bought a 20 shipments to drop the price floating a little too big, not very satisfied.")</f>
        <v>Amazon Japan Cup is very beautiful packaging is really good! The cup is very beautiful, also very satisfied with the size, but it has not bought a 20 shipments to drop the price floating a little too big, not very satisfied.</v>
      </c>
    </row>
    <row r="1761">
      <c r="A1761" s="1">
        <v>5.0</v>
      </c>
      <c r="B1761" s="1" t="s">
        <v>1759</v>
      </c>
      <c r="C1761" t="str">
        <f>IFERROR(__xludf.DUMMYFUNCTION("GOOGLETRANSLATE(B1761, ""zh"", ""en"")"),"Suction cup to the baby colleagues liked, and now this is our country created")</f>
        <v>Suction cup to the baby colleagues liked, and now this is our country created</v>
      </c>
    </row>
    <row r="1762">
      <c r="A1762" s="1">
        <v>5.0</v>
      </c>
      <c r="B1762" s="1" t="s">
        <v>1760</v>
      </c>
      <c r="C1762" t="str">
        <f>IFERROR(__xludf.DUMMYFUNCTION("GOOGLETRANSLATE(B1762, ""zh"", ""en"")"),"Recommendations from the first contact with mx500, the innovative air, k450, ie80, great bread, hd650, ue18, Sony a3, z5, in addition to customized ue18, most comfortable wearing this regard, as we say in high school may sound, the bass is very casual but"&amp;" this price is the value.")</f>
        <v>Recommendations from the first contact with mx500, the innovative air, k450, ie80, great bread, hd650, ue18, Sony a3, z5, in addition to customized ue18, most comfortable wearing this regard, as we say in high school may sound, the bass is very casual but this price is the value.</v>
      </c>
    </row>
    <row r="1763">
      <c r="A1763" s="1">
        <v>5.0</v>
      </c>
      <c r="B1763" s="1" t="s">
        <v>1761</v>
      </c>
      <c r="C1763" t="str">
        <f>IFERROR(__xludf.DUMMYFUNCTION("GOOGLETRANSLATE(B1763, ""zh"", ""en"")"),"When compact appearance and home kitchen tap connection, and found that tap water filters are in contact at the interface of an external thread, the internal thread requires a separate adapter ring together in combination can be used, it is necessary to p"&amp;"rovide the seller! As shown urgent need ....")</f>
        <v>When compact appearance and home kitchen tap connection, and found that tap water filters are in contact at the interface of an external thread, the internal thread requires a separate adapter ring together in combination can be used, it is necessary to provide the seller! As shown urgent need ....</v>
      </c>
    </row>
    <row r="1764">
      <c r="A1764" s="1">
        <v>5.0</v>
      </c>
      <c r="B1764" s="1" t="s">
        <v>1762</v>
      </c>
      <c r="C1764" t="str">
        <f>IFERROR(__xludf.DUMMYFUNCTION("GOOGLETRANSLATE(B1764, ""zh"", ""en"")"),"The new high-capacity hard drives, stable and efficient second purchase, the price is regarded advantage, came back also checked, new and original, speed and stability, very good things recommended to purchase a hard disk protection package")</f>
        <v>The new high-capacity hard drives, stable and efficient second purchase, the price is regarded advantage, came back also checked, new and original, speed and stability, very good things recommended to purchase a hard disk protection package</v>
      </c>
    </row>
    <row r="1765">
      <c r="A1765" s="1">
        <v>5.0</v>
      </c>
      <c r="B1765" s="1" t="s">
        <v>1763</v>
      </c>
      <c r="C1765" t="str">
        <f>IFERROR(__xludf.DUMMYFUNCTION("GOOGLETRANSLATE(B1765, ""zh"", ""en"")"),"Very good very good, no smell. With a sterilizer disinfection, and we have not found any changes. See the instructions on the box should be steam sterilized.")</f>
        <v>Very good very good, no smell. With a sterilizer disinfection, and we have not found any changes. See the instructions on the box should be steam sterilized.</v>
      </c>
    </row>
    <row r="1766">
      <c r="A1766" s="1">
        <v>5.0</v>
      </c>
      <c r="B1766" s="1" t="s">
        <v>1764</v>
      </c>
      <c r="C1766" t="str">
        <f>IFERROR(__xludf.DUMMYFUNCTION("GOOGLETRANSLATE(B1766, ""zh"", ""en"")"),"Insulation quite a force well this direct screw insulation effect, the previous day afternoon installed, the third day as well as temperature, really good than Starbucks that easy to use, but because of the insulation effect good, do not drink mouth ah, n"&amp;"ext times or to buy the kind with a small cup is better")</f>
        <v>Insulation quite a force well this direct screw insulation effect, the previous day afternoon installed, the third day as well as temperature, really good than Starbucks that easy to use, but because of the insulation effect good, do not drink mouth ah, next times or to buy the kind with a small cup is better</v>
      </c>
    </row>
    <row r="1767">
      <c r="A1767" s="1">
        <v>5.0</v>
      </c>
      <c r="B1767" s="1" t="s">
        <v>1765</v>
      </c>
      <c r="C1767" t="str">
        <f>IFERROR(__xludf.DUMMYFUNCTION("GOOGLETRANSLATE(B1767, ""zh"", ""en"")"),"165 like normal wear or code, this code right size S available.")</f>
        <v>165 like normal wear or code, this code right size S available.</v>
      </c>
    </row>
    <row r="1768">
      <c r="A1768" s="1">
        <v>5.0</v>
      </c>
      <c r="B1768" s="1" t="s">
        <v>1766</v>
      </c>
      <c r="C1768" t="str">
        <f>IFERROR(__xludf.DUMMYFUNCTION("GOOGLETRANSLATE(B1768, ""zh"", ""en"")"),"Good price very comfortable wife liked to wear very comfortable like wearing the same as what")</f>
        <v>Good price very comfortable wife liked to wear very comfortable like wearing the same as what</v>
      </c>
    </row>
    <row r="1769">
      <c r="A1769" s="1">
        <v>5.0</v>
      </c>
      <c r="B1769" s="1" t="s">
        <v>1767</v>
      </c>
      <c r="C1769" t="str">
        <f>IFERROR(__xludf.DUMMYFUNCTION("GOOGLETRANSLATE(B1769, ""zh"", ""en"")"),"Good 173,65KG. Buy the S number is still relatively fit")</f>
        <v>Good 173,65KG. Buy the S number is still relatively fit</v>
      </c>
    </row>
    <row r="1770">
      <c r="A1770" s="1">
        <v>5.0</v>
      </c>
      <c r="B1770" s="1" t="s">
        <v>1768</v>
      </c>
      <c r="C1770" t="str">
        <f>IFERROR(__xludf.DUMMYFUNCTION("GOOGLETRANSLATE(B1770, ""zh"", ""en"")"),"Something really good product quality is good, much better than imagined.")</f>
        <v>Something really good product quality is good, much better than imagined.</v>
      </c>
    </row>
    <row r="1771">
      <c r="A1771" s="1">
        <v>5.0</v>
      </c>
      <c r="B1771" s="1" t="s">
        <v>1769</v>
      </c>
      <c r="C1771" t="str">
        <f>IFERROR(__xludf.DUMMYFUNCTION("GOOGLETRANSLATE(B1771, ""zh"", ""en"")"),"1. feel very good logistics soon, received a single week;. The results shown in Figure 2 Master Lu, display unused.")</f>
        <v>1. feel very good logistics soon, received a single week;. The results shown in Figure 2 Master Lu, display unused.</v>
      </c>
    </row>
    <row r="1772">
      <c r="A1772" s="1">
        <v>5.0</v>
      </c>
      <c r="B1772" s="1" t="s">
        <v>1770</v>
      </c>
      <c r="C1772" t="str">
        <f>IFERROR(__xludf.DUMMYFUNCTION("GOOGLETRANSLATE(B1772, ""zh"", ""en"")"),"Perfectly appropriate to wear for the first time do not wear foot")</f>
        <v>Perfectly appropriate to wear for the first time do not wear foot</v>
      </c>
    </row>
    <row r="1773">
      <c r="A1773" s="1">
        <v>5.0</v>
      </c>
      <c r="B1773" s="1" t="s">
        <v>1771</v>
      </c>
      <c r="C1773" t="str">
        <f>IFERROR(__xludf.DUMMYFUNCTION("GOOGLETRANSLATE(B1773, ""zh"", ""en"")"),"Casio F-108WHC-7ACF watch is authentic, quality is better than expected, just do not know in China can guarantee it? Cover the table below to write manufactured in China.")</f>
        <v>Casio F-108WHC-7ACF watch is authentic, quality is better than expected, just do not know in China can guarantee it? Cover the table below to write manufactured in China.</v>
      </c>
    </row>
    <row r="1774">
      <c r="A1774" s="1">
        <v>5.0</v>
      </c>
      <c r="B1774" s="1" t="s">
        <v>1772</v>
      </c>
      <c r="C1774" t="str">
        <f>IFERROR(__xludf.DUMMYFUNCTION("GOOGLETRANSLATE(B1774, ""zh"", ""en"")"),"Value great pair of small speakers small box, I bought it home in one-piece Bluetooth speaker then start it right. After the desktop gracefully can easily show small sound field, very vocal cohesion. For two-way speaker 3-inch bass, the high school bass p"&amp;"erformance but yet, neutral colors. From the home, the lifting angle of the speaker it is necessary. Wire connection with the first wife has better sound quality than Bluetooth and loudness. I am very interested in trying to better use third-party wire. s"&amp;"c203 more pleasant than it is, but on the price, or is this small box victory. Another impressed me deeply is that the left and right speaker cables really rough ...... This is also effective measures to ensure sound quality")</f>
        <v>Value great pair of small speakers small box, I bought it home in one-piece Bluetooth speaker then start it right. After the desktop gracefully can easily show small sound field, very vocal cohesion. For two-way speaker 3-inch bass, the high school bass performance but yet, neutral colors. From the home, the lifting angle of the speaker it is necessary. Wire connection with the first wife has better sound quality than Bluetooth and loudness. I am very interested in trying to better use third-party wire. sc203 more pleasant than it is, but on the price, or is this small box victory. Another impressed me deeply is that the left and right speaker cables really rough ...... This is also effective measures to ensure sound quality</v>
      </c>
    </row>
    <row r="1775">
      <c r="A1775" s="1">
        <v>5.0</v>
      </c>
      <c r="B1775" s="1" t="s">
        <v>1773</v>
      </c>
      <c r="C1775" t="str">
        <f>IFERROR(__xludf.DUMMYFUNCTION("GOOGLETRANSLATE(B1775, ""zh"", ""en"")"),"Not how to eat good things, but not how to eat")</f>
        <v>Not how to eat good things, but not how to eat</v>
      </c>
    </row>
    <row r="1776">
      <c r="A1776" s="1">
        <v>5.0</v>
      </c>
      <c r="B1776" s="1" t="s">
        <v>1774</v>
      </c>
      <c r="C1776" t="str">
        <f>IFERROR(__xludf.DUMMYFUNCTION("GOOGLETRANSLATE(B1776, ""zh"", ""en"")"),"Easy to use, heat quickly, does have the effect of hair care, do not panic")</f>
        <v>Easy to use, heat quickly, does have the effect of hair care, do not panic</v>
      </c>
    </row>
    <row r="1777">
      <c r="A1777" s="1">
        <v>2.0</v>
      </c>
      <c r="B1777" s="1" t="s">
        <v>1775</v>
      </c>
      <c r="C1777" t="str">
        <f>IFERROR(__xludf.DUMMYFUNCTION("GOOGLETRANSLATE(B1777, ""zh"", ""en"")"),"Suspect bought a fake First of all the clothes out color, washed three times with warm colors in there, the quality is very general, I 80KG 172cm bust size 100cm. On the long sleeves, the overall size is also suitable")</f>
        <v>Suspect bought a fake First of all the clothes out color, washed three times with warm colors in there, the quality is very general, I 80KG 172cm bust size 100cm. On the long sleeves, the overall size is also suitable</v>
      </c>
    </row>
    <row r="1778">
      <c r="A1778" s="1">
        <v>3.0</v>
      </c>
      <c r="B1778" s="1" t="s">
        <v>1776</v>
      </c>
      <c r="C1778" t="str">
        <f>IFERROR(__xludf.DUMMYFUNCTION("GOOGLETRANSLATE(B1778, ""zh"", ""en"")"),"Thick soles children the right length, fly in the ointment is too thick soles children, only winter wear")</f>
        <v>Thick soles children the right length, fly in the ointment is too thick soles children, only winter wear</v>
      </c>
    </row>
    <row r="1779">
      <c r="A1779" s="1">
        <v>3.0</v>
      </c>
      <c r="B1779" s="1" t="s">
        <v>1777</v>
      </c>
      <c r="C1779" t="str">
        <f>IFERROR(__xludf.DUMMYFUNCTION("GOOGLETRANSLATE(B1779, ""zh"", ""en"")"),"Too many car thieves unfair entire line really do not see many, many thread is from Lee")</f>
        <v>Too many car thieves unfair entire line really do not see many, many thread is from Lee</v>
      </c>
    </row>
    <row r="1780">
      <c r="A1780" s="1">
        <v>1.0</v>
      </c>
      <c r="B1780" s="1" t="s">
        <v>1778</v>
      </c>
      <c r="C1780" t="str">
        <f>IFERROR(__xludf.DUMMYFUNCTION("GOOGLETRANSLATE(B1780, ""zh"", ""en"")"),"The first star to fade, fade serious.")</f>
        <v>The first star to fade, fade serious.</v>
      </c>
    </row>
    <row r="1781">
      <c r="A1781" s="1">
        <v>1.0</v>
      </c>
      <c r="B1781" s="1" t="s">
        <v>1779</v>
      </c>
      <c r="C1781" t="str">
        <f>IFERROR(__xludf.DUMMYFUNCTION("GOOGLETRANSLATE(B1781, ""zh"", ""en"")"),"Comments feels like more than a fake, and the store, not soft")</f>
        <v>Comments feels like more than a fake, and the store, not soft</v>
      </c>
    </row>
    <row r="1782">
      <c r="A1782" s="1">
        <v>1.0</v>
      </c>
      <c r="B1782" s="1" t="s">
        <v>1780</v>
      </c>
      <c r="C1782" t="str">
        <f>IFERROR(__xludf.DUMMYFUNCTION("GOOGLETRANSLATE(B1782, ""zh"", ""en"")"),"Not worth the price like a general, not as good, or there is background noise, too tall")</f>
        <v>Not worth the price like a general, not as good, or there is background noise, too tall</v>
      </c>
    </row>
    <row r="1783">
      <c r="A1783" s="1">
        <v>4.0</v>
      </c>
      <c r="B1783" s="1" t="s">
        <v>1781</v>
      </c>
      <c r="C1783" t="str">
        <f>IFERROR(__xludf.DUMMYFUNCTION("GOOGLETRANSLATE(B1783, ""zh"", ""en"")"),"Good color looks good, lighter than the picture, but, vamp high, with another one pairs brand is very appropriate, this pair on empty, obviously is one yards")</f>
        <v>Good color looks good, lighter than the picture, but, vamp high, with another one pairs brand is very appropriate, this pair on empty, obviously is one yards</v>
      </c>
    </row>
    <row r="1784">
      <c r="A1784" s="1">
        <v>4.0</v>
      </c>
      <c r="B1784" s="1" t="s">
        <v>1782</v>
      </c>
      <c r="C1784" t="str">
        <f>IFERROR(__xludf.DUMMYFUNCTION("GOOGLETRANSLATE(B1784, ""zh"", ""en"")"),"Black is buying less stable received quite a surprise. But with today when the write speed is there 6m +, I do not know computer problems or hard drive problems. When cancel the transfer reaction is also very slow, internal injuries.")</f>
        <v>Black is buying less stable received quite a surprise. But with today when the write speed is there 6m +, I do not know computer problems or hard drive problems. When cancel the transfer reaction is also very slow, internal injuries.</v>
      </c>
    </row>
    <row r="1785">
      <c r="A1785" s="1">
        <v>4.0</v>
      </c>
      <c r="B1785" s="1" t="s">
        <v>1783</v>
      </c>
      <c r="C1785" t="str">
        <f>IFERROR(__xludf.DUMMYFUNCTION("GOOGLETRANSLATE(B1785, ""zh"", ""en"")"),"Good quality good quality, then a little to perfect Slim")</f>
        <v>Good quality good quality, then a little to perfect Slim</v>
      </c>
    </row>
    <row r="1786">
      <c r="A1786" s="1">
        <v>4.0</v>
      </c>
      <c r="B1786" s="1" t="s">
        <v>1784</v>
      </c>
      <c r="C1786" t="str">
        <f>IFERROR(__xludf.DUMMYFUNCTION("GOOGLETRANSLATE(B1786, ""zh"", ""en"")"),"Thin fabric thin fabrics feel more 181/80 M wear feeling tight ...... code Asia")</f>
        <v>Thin fabric thin fabrics feel more 181/80 M wear feeling tight ...... code Asia</v>
      </c>
    </row>
    <row r="1787">
      <c r="A1787" s="1">
        <v>5.0</v>
      </c>
      <c r="B1787" s="1" t="s">
        <v>1785</v>
      </c>
      <c r="C1787" t="str">
        <f>IFERROR(__xludf.DUMMYFUNCTION("GOOGLETRANSLATE(B1787, ""zh"", ""en"")"),"Cost-effective helium disk, 7.27gb, 5400 rpm, 256mb cache. Cost-effective, the only drawback is a large shock.")</f>
        <v>Cost-effective helium disk, 7.27gb, 5400 rpm, 256mb cache. Cost-effective, the only drawback is a large shock.</v>
      </c>
    </row>
    <row r="1788">
      <c r="A1788" s="1">
        <v>5.0</v>
      </c>
      <c r="B1788" s="1" t="s">
        <v>1786</v>
      </c>
      <c r="C1788" t="str">
        <f>IFERROR(__xludf.DUMMYFUNCTION("GOOGLETRANSLATE(B1788, ""zh"", ""en"")"),"Very comfortable, that does not stimulate very comfortable, nothing exciting.")</f>
        <v>Very comfortable, that does not stimulate very comfortable, nothing exciting.</v>
      </c>
    </row>
    <row r="1789">
      <c r="A1789" s="1">
        <v>5.0</v>
      </c>
      <c r="B1789" s="1" t="s">
        <v>1787</v>
      </c>
      <c r="C1789" t="str">
        <f>IFERROR(__xludf.DUMMYFUNCTION("GOOGLETRANSLATE(B1789, ""zh"", ""en"")"),"The high cost of a high cost of a razor razors, noise is also acceptable range!")</f>
        <v>The high cost of a high cost of a razor razors, noise is also acceptable range!</v>
      </c>
    </row>
    <row r="1790">
      <c r="A1790" s="1">
        <v>5.0</v>
      </c>
      <c r="B1790" s="1" t="s">
        <v>1788</v>
      </c>
      <c r="C1790" t="str">
        <f>IFERROR(__xludf.DUMMYFUNCTION("GOOGLETRANSLATE(B1790, ""zh"", ""en"")"),"Artifact calligraphy pen super-smooth, M models just water. Calligraphy artifact. A pen-shaped design stable atmosphere, moderate weight, safe home business. Good pen!")</f>
        <v>Artifact calligraphy pen super-smooth, M models just water. Calligraphy artifact. A pen-shaped design stable atmosphere, moderate weight, safe home business. Good pen!</v>
      </c>
    </row>
    <row r="1791">
      <c r="A1791" s="1">
        <v>5.0</v>
      </c>
      <c r="B1791" s="1" t="s">
        <v>1789</v>
      </c>
      <c r="C1791" t="str">
        <f>IFERROR(__xludf.DUMMYFUNCTION("GOOGLETRANSLATE(B1791, ""zh"", ""en"")"),"Your toothbrush head is good, but the price is more expensive")</f>
        <v>Your toothbrush head is good, but the price is more expensive</v>
      </c>
    </row>
    <row r="1792">
      <c r="A1792" s="1">
        <v>5.0</v>
      </c>
      <c r="B1792" s="1" t="s">
        <v>1790</v>
      </c>
      <c r="C1792" t="str">
        <f>IFERROR(__xludf.DUMMYFUNCTION("GOOGLETRANSLATE(B1792, ""zh"", ""en"")"),"Easy to use has been in use, good price.")</f>
        <v>Easy to use has been in use, good price.</v>
      </c>
    </row>
    <row r="1793">
      <c r="A1793" s="1">
        <v>5.0</v>
      </c>
      <c r="B1793" s="1" t="s">
        <v>1791</v>
      </c>
      <c r="C1793" t="str">
        <f>IFERROR(__xludf.DUMMYFUNCTION("GOOGLETRANSLATE(B1793, ""zh"", ""en"")"),"Comfortable thermal underwear. Wear comfortable, size is very positive. Length is a little long.")</f>
        <v>Comfortable thermal underwear. Wear comfortable, size is very positive. Length is a little long.</v>
      </c>
    </row>
    <row r="1794">
      <c r="A1794" s="1">
        <v>5.0</v>
      </c>
      <c r="B1794" s="1" t="s">
        <v>1792</v>
      </c>
      <c r="C1794" t="str">
        <f>IFERROR(__xludf.DUMMYFUNCTION("GOOGLETRANSLATE(B1794, ""zh"", ""en"")"),"Some of the results of the machine Bang Bang episode very satisfied 😀 Amazon to praise the machine can do well with a very successful bakery bread noodles a good helper")</f>
        <v>Some of the results of the machine Bang Bang episode very satisfied 😀 Amazon to praise the machine can do well with a very successful bakery bread noodles a good helper</v>
      </c>
    </row>
    <row r="1795">
      <c r="A1795" s="1">
        <v>5.0</v>
      </c>
      <c r="B1795" s="1" t="s">
        <v>1793</v>
      </c>
      <c r="C1795" t="str">
        <f>IFERROR(__xludf.DUMMYFUNCTION("GOOGLETRANSLATE(B1795, ""zh"", ""en"")"),"Satisfied, very good commodity. Always wear. Fit and comfort. After the encounter will be a good price to buy back!")</f>
        <v>Satisfied, very good commodity. Always wear. Fit and comfort. After the encounter will be a good price to buy back!</v>
      </c>
    </row>
    <row r="1796">
      <c r="A1796" s="1">
        <v>5.0</v>
      </c>
      <c r="B1796" s="1" t="s">
        <v>1794</v>
      </c>
      <c r="C1796" t="str">
        <f>IFERROR(__xludf.DUMMYFUNCTION("GOOGLETRANSLATE(B1796, ""zh"", ""en"")"),"Quality good quality work well, soft and flexible, small one yard without problems because of the elastic waist slightly larger buy a little, not to say that good quality, very good!")</f>
        <v>Quality good quality work well, soft and flexible, small one yard without problems because of the elastic waist slightly larger buy a little, not to say that good quality, very good!</v>
      </c>
    </row>
    <row r="1797">
      <c r="A1797" s="1">
        <v>5.0</v>
      </c>
      <c r="B1797" s="1" t="s">
        <v>1795</v>
      </c>
      <c r="C1797" t="str">
        <f>IFERROR(__xludf.DUMMYFUNCTION("GOOGLETRANSLATE(B1797, ""zh"", ""en"")"),"Very good like the speed of delivery, quality can also be")</f>
        <v>Very good like the speed of delivery, quality can also be</v>
      </c>
    </row>
    <row r="1798">
      <c r="A1798" s="1">
        <v>5.0</v>
      </c>
      <c r="B1798" s="1" t="s">
        <v>1796</v>
      </c>
      <c r="C1798" t="str">
        <f>IFERROR(__xludf.DUMMYFUNCTION("GOOGLETRANSLATE(B1798, ""zh"", ""en"")"),"11 well, not from the previous evaluation, I do not know how many wasted points, points can change money now know, they should look carefully evaluated, this review helpful to you?")</f>
        <v>11 well, not from the previous evaluation, I do not know how many wasted points, points can change money now know, they should look carefully evaluated, this review helpful to you?</v>
      </c>
    </row>
    <row r="1799">
      <c r="A1799" s="1">
        <v>5.0</v>
      </c>
      <c r="B1799" s="1" t="s">
        <v>1797</v>
      </c>
      <c r="C1799" t="str">
        <f>IFERROR(__xludf.DUMMYFUNCTION("GOOGLETRANSLATE(B1799, ""zh"", ""en"")"),"Toothbrush with a good brushing too comfortable")</f>
        <v>Toothbrush with a good brushing too comfortable</v>
      </c>
    </row>
    <row r="1800">
      <c r="A1800" s="1">
        <v>5.0</v>
      </c>
      <c r="B1800" s="1" t="s">
        <v>1798</v>
      </c>
      <c r="C1800" t="str">
        <f>IFERROR(__xludf.DUMMYFUNCTION("GOOGLETRANSLATE(B1800, ""zh"", ""en"")"),"Cup ... not wireless speed fairly quickly, but I think the cup is wireless turned out I want more")</f>
        <v>Cup ... not wireless speed fairly quickly, but I think the cup is wireless turned out I want more</v>
      </c>
    </row>
    <row r="1801">
      <c r="A1801" s="1">
        <v>5.0</v>
      </c>
      <c r="B1801" s="1" t="s">
        <v>1799</v>
      </c>
      <c r="C1801" t="str">
        <f>IFERROR(__xludf.DUMMYFUNCTION("GOOGLETRANSLATE(B1801, ""zh"", ""en"")"),"Well worth buying! It is authentic! Fine workmanship, comfortable to hold a pen, the severity of the right, smooth writing, the price is reasonable.")</f>
        <v>Well worth buying! It is authentic! Fine workmanship, comfortable to hold a pen, the severity of the right, smooth writing, the price is reasonable.</v>
      </c>
    </row>
    <row r="1802">
      <c r="A1802" s="1">
        <v>5.0</v>
      </c>
      <c r="B1802" s="1" t="s">
        <v>1800</v>
      </c>
      <c r="C1802" t="str">
        <f>IFERROR(__xludf.DUMMYFUNCTION("GOOGLETRANSLATE(B1802, ""zh"", ""en"")"),"Cost can pants worthy of the price, the right size.")</f>
        <v>Cost can pants worthy of the price, the right size.</v>
      </c>
    </row>
    <row r="1803">
      <c r="A1803" s="1">
        <v>5.0</v>
      </c>
      <c r="B1803" s="1" t="s">
        <v>1801</v>
      </c>
      <c r="C1803" t="str">
        <f>IFERROR(__xludf.DUMMYFUNCTION("GOOGLETRANSLATE(B1803, ""zh"", ""en"")"),"Suitable size 176cm 71kg, 32 * 32 later, the right size.")</f>
        <v>Suitable size 176cm 71kg, 32 * 32 later, the right size.</v>
      </c>
    </row>
    <row r="1804">
      <c r="A1804" s="1">
        <v>5.0</v>
      </c>
      <c r="B1804" s="1" t="s">
        <v>1802</v>
      </c>
      <c r="C1804" t="str">
        <f>IFERROR(__xludf.DUMMYFUNCTION("GOOGLETRANSLATE(B1804, ""zh"", ""en"")"),"Very good package packet")</f>
        <v>Very good package packet</v>
      </c>
    </row>
    <row r="1805">
      <c r="A1805" s="1">
        <v>5.0</v>
      </c>
      <c r="B1805" s="1" t="s">
        <v>1803</v>
      </c>
      <c r="C1805" t="str">
        <f>IFERROR(__xludf.DUMMYFUNCTION("GOOGLETRANSLATE(B1805, ""zh"", ""en"")"),"Found that've been looking for, cotton, waist, comfortable")</f>
        <v>Found that've been looking for, cotton, waist, comfortable</v>
      </c>
    </row>
    <row r="1806">
      <c r="A1806" s="1">
        <v>5.0</v>
      </c>
      <c r="B1806" s="1" t="s">
        <v>1804</v>
      </c>
      <c r="C1806" t="str">
        <f>IFERROR(__xludf.DUMMYFUNCTION("GOOGLETRANSLATE(B1806, ""zh"", ""en"")"),"Good shoe can usually wear the Nike 42.5 is not playing bad buy 9US whole good. Yes, it is the right size to wear just a little foot where Ge feel uncomfortable, wearing a three-day get used to it did not feel. Shoes, great weight is very strong on-site w"&amp;"ork is not afraid to hit the kick to knock afraid to step on a nail.")</f>
        <v>Good shoe can usually wear the Nike 42.5 is not playing bad buy 9US whole good. Yes, it is the right size to wear just a little foot where Ge feel uncomfortable, wearing a three-day get used to it did not feel. Shoes, great weight is very strong on-site work is not afraid to hit the kick to knock afraid to step on a nail.</v>
      </c>
    </row>
    <row r="1807">
      <c r="A1807" s="1">
        <v>5.0</v>
      </c>
      <c r="B1807" s="1" t="s">
        <v>1805</v>
      </c>
      <c r="C1807" t="str">
        <f>IFERROR(__xludf.DUMMYFUNCTION("GOOGLETRANSLATE(B1807, ""zh"", ""en"")"),"Something very, very good value, although very expensive, can be used to describe quality")</f>
        <v>Something very, very good value, although very expensive, can be used to describe quality</v>
      </c>
    </row>
    <row r="1808">
      <c r="A1808" s="1">
        <v>5.0</v>
      </c>
      <c r="B1808" s="1" t="s">
        <v>1806</v>
      </c>
      <c r="C1808" t="str">
        <f>IFERROR(__xludf.DUMMYFUNCTION("GOOGLETRANSLATE(B1808, ""zh"", ""en"")"),"Good fabric to wear comfortable, basic fit, slightly fat ass")</f>
        <v>Good fabric to wear comfortable, basic fit, slightly fat ass</v>
      </c>
    </row>
    <row r="1809">
      <c r="A1809" s="1">
        <v>2.0</v>
      </c>
      <c r="B1809" s="1" t="s">
        <v>1807</v>
      </c>
      <c r="C1809" t="str">
        <f>IFERROR(__xludf.DUMMYFUNCTION("GOOGLETRANSLATE(B1809, ""zh"", ""en"")"),"Writing is not smooth, nothing special, this product is equivalent to China five years ago, the product is now difficult to buy the ballpoint pen in the Chinese market. Cheap, writing is not smooth, positioning forget to bring a pen for the meeting room o"&amp;"nce used, but in fact it is a waste, damage to the environment, so did not feel the positioning of the product. I do not recommend buying. Amazon do not always put foreign obsolete products purchased by overseas Chinese throw, I understand that the way to"&amp;" deal with inventory. Prior to include tommy wallets, RMB does not fit, India production than China's wallet do not know how bad, I guess tommy many years of inventory. Amazon gave us a lot of overseas purchase ""fresh"" content, thank you first, but also"&amp;" a lot of ""inventory""")</f>
        <v>Writing is not smooth, nothing special, this product is equivalent to China five years ago, the product is now difficult to buy the ballpoint pen in the Chinese market. Cheap, writing is not smooth, positioning forget to bring a pen for the meeting room once used, but in fact it is a waste, damage to the environment, so did not feel the positioning of the product. I do not recommend buying. Amazon do not always put foreign obsolete products purchased by overseas Chinese throw, I understand that the way to deal with inventory. Prior to include tommy wallets, RMB does not fit, India production than China's wallet do not know how bad, I guess tommy many years of inventory. Amazon gave us a lot of overseas purchase "fresh" content, thank you first, but also a lot of "inventory"</v>
      </c>
    </row>
    <row r="1810">
      <c r="A1810" s="1">
        <v>3.0</v>
      </c>
      <c r="B1810" s="1" t="s">
        <v>1808</v>
      </c>
      <c r="C1810" t="str">
        <f>IFERROR(__xludf.DUMMYFUNCTION("GOOGLETRANSLATE(B1810, ""zh"", ""en"")"),"Work in general work in general, than expected difference!")</f>
        <v>Work in general work in general, than expected difference!</v>
      </c>
    </row>
    <row r="1811">
      <c r="A1811" s="1">
        <v>3.0</v>
      </c>
      <c r="B1811" s="1" t="s">
        <v>1809</v>
      </c>
      <c r="C1811" t="str">
        <f>IFERROR(__xludf.DUMMYFUNCTION("GOOGLETRANSLATE(B1811, ""zh"", ""en"")"),"It looks quite lovely, but simple-minded. It looks quite lovely, but simple-minded.")</f>
        <v>It looks quite lovely, but simple-minded. It looks quite lovely, but simple-minded.</v>
      </c>
    </row>
    <row r="1812">
      <c r="A1812" s="1">
        <v>3.0</v>
      </c>
      <c r="B1812" s="1" t="s">
        <v>1810</v>
      </c>
      <c r="C1812" t="str">
        <f>IFERROR(__xludf.DUMMYFUNCTION("GOOGLETRANSLATE(B1812, ""zh"", ""en"")"),"Size is selected from buy small size hard, small height and weighing 75 to buy s 182 yards, there is no large buy m symbols replaced, or a List")</f>
        <v>Size is selected from buy small size hard, small height and weighing 75 to buy s 182 yards, there is no large buy m symbols replaced, or a List</v>
      </c>
    </row>
    <row r="1813">
      <c r="A1813" s="1">
        <v>1.0</v>
      </c>
      <c r="B1813" s="1" t="s">
        <v>1811</v>
      </c>
      <c r="C1813" t="str">
        <f>IFERROR(__xludf.DUMMYFUNCTION("GOOGLETRANSLATE(B1813, ""zh"", ""en"")"),"Mrs. follow the recommended size is too big, again referring to the comments already small one yards than the normal election, try to get the super big, not replacement, return should subsidize only bad review, and also the first a negative feedback ah! T"&amp;"his reference table size is too Kengren it!")</f>
        <v>Mrs. follow the recommended size is too big, again referring to the comments already small one yards than the normal election, try to get the super big, not replacement, return should subsidize only bad review, and also the first a negative feedback ah! This reference table size is too Kengren it!</v>
      </c>
    </row>
    <row r="1814">
      <c r="A1814" s="1">
        <v>1.0</v>
      </c>
      <c r="B1814" s="1" t="s">
        <v>1812</v>
      </c>
      <c r="C1814" t="str">
        <f>IFERROR(__xludf.DUMMYFUNCTION("GOOGLETRANSLATE(B1814, ""zh"", ""en"")"),"Graphic match for the first time to buy, and sent me the picture is not the same, re-buy after the return, and sent me the picture or the picture is not the same shoes ...... misplaced it")</f>
        <v>Graphic match for the first time to buy, and sent me the picture is not the same, re-buy after the return, and sent me the picture or the picture is not the same shoes ...... misplaced it</v>
      </c>
    </row>
    <row r="1815">
      <c r="A1815" s="1">
        <v>4.0</v>
      </c>
      <c r="B1815" s="1" t="s">
        <v>1813</v>
      </c>
      <c r="C1815" t="str">
        <f>IFERROR(__xludf.DUMMYFUNCTION("GOOGLETRANSLATE(B1815, ""zh"", ""en"")"),"Leather just does not seem to rub a bit on the broken skin, the feeling is not leather, the price is not high, looks can be.")</f>
        <v>Leather just does not seem to rub a bit on the broken skin, the feeling is not leather, the price is not high, looks can be.</v>
      </c>
    </row>
    <row r="1816">
      <c r="A1816" s="1">
        <v>4.0</v>
      </c>
      <c r="B1816" s="1" t="s">
        <v>1814</v>
      </c>
      <c r="C1816" t="str">
        <f>IFERROR(__xludf.DUMMYFUNCTION("GOOGLETRANSLATE(B1816, ""zh"", ""en"")"),"Cheap winter wear size is too large for very cheap, wool, suitable for winter wear. But they really too large and has a. Recently in the United States and Asia to buy shoes, clothes are too large.")</f>
        <v>Cheap winter wear size is too large for very cheap, wool, suitable for winter wear. But they really too large and has a. Recently in the United States and Asia to buy shoes, clothes are too large.</v>
      </c>
    </row>
    <row r="1817">
      <c r="A1817" s="1">
        <v>4.0</v>
      </c>
      <c r="B1817" s="1" t="s">
        <v>1815</v>
      </c>
      <c r="C1817" t="str">
        <f>IFERROR(__xludf.DUMMYFUNCTION("GOOGLETRANSLATE(B1817, ""zh"", ""en"")"),"Packaging bad headphones sound really great, but sent me packing for a long time sucks, that is not new, and 250 in Europe if there is no pre-push, then only use a computer is a mobile phone could not move. So back to change the ath m50x")</f>
        <v>Packaging bad headphones sound really great, but sent me packing for a long time sucks, that is not new, and 250 in Europe if there is no pre-push, then only use a computer is a mobile phone could not move. So back to change the ath m50x</v>
      </c>
    </row>
    <row r="1818">
      <c r="A1818" s="1">
        <v>4.0</v>
      </c>
      <c r="B1818" s="1" t="s">
        <v>1816</v>
      </c>
      <c r="C1818" t="str">
        <f>IFERROR(__xludf.DUMMYFUNCTION("GOOGLETRANSLATE(B1818, ""zh"", ""en"")"),"Special attention than less than half the code 650EE shoes shoe last: less than half than the shoes code 650EE shoe last (that is to say this is danner normal shoe size) I generally wear shoes with danner 8ee blue thick insole just wealthy 1 finger width,"&amp;" the 8.5 also so just the same. We all know the advantages I will not say + Disadvantages: 1 star buckle, a common problem metal parts will rust, so each way when oiled cast can be solved 2, skin rather hard, grinding foot comparison, first proposed on 3 "&amp;"better wear softening oil, and the white line will be meandering tongue .............")</f>
        <v>Special attention than less than half the code 650EE shoes shoe last: less than half than the shoes code 650EE shoe last (that is to say this is danner normal shoe size) I generally wear shoes with danner 8ee blue thick insole just wealthy 1 finger width, the 8.5 also so just the same. We all know the advantages I will not say + Disadvantages: 1 star buckle, a common problem metal parts will rust, so each way when oiled cast can be solved 2, skin rather hard, grinding foot comparison, first proposed on 3 better wear softening oil, and the white line will be meandering tongue .............</v>
      </c>
    </row>
    <row r="1819">
      <c r="A1819" s="1">
        <v>4.0</v>
      </c>
      <c r="B1819" s="1" t="s">
        <v>1817</v>
      </c>
      <c r="C1819" t="str">
        <f>IFERROR(__xludf.DUMMYFUNCTION("GOOGLETRANSLATE(B1819, ""zh"", ""en"")"),"Big point height 175cm, weight 77kg, XL is at least a yard.")</f>
        <v>Big point height 175cm, weight 77kg, XL is at least a yard.</v>
      </c>
    </row>
    <row r="1820">
      <c r="A1820" s="1">
        <v>5.0</v>
      </c>
      <c r="B1820" s="1" t="s">
        <v>1818</v>
      </c>
      <c r="C1820" t="str">
        <f>IFERROR(__xludf.DUMMYFUNCTION("GOOGLETRANSLATE(B1820, ""zh"", ""en"")"),"Nice shoes good, cost-effective than domestic, I wear Uk8 just 265 feet,")</f>
        <v>Nice shoes good, cost-effective than domestic, I wear Uk8 just 265 feet,</v>
      </c>
    </row>
    <row r="1821">
      <c r="A1821" s="1">
        <v>5.0</v>
      </c>
      <c r="B1821" s="1" t="s">
        <v>1819</v>
      </c>
      <c r="C1821" t="str">
        <f>IFERROR(__xludf.DUMMYFUNCTION("GOOGLETRANSLATE(B1821, ""zh"", ""en"")"),"Quite satisfied 178,63 study bought a half-day of 30/32, after the hand texture satisfied with the color styling, you want this to work are not able to wear trousers pants. But because it is a little low-cut and slightly further back so tight, a bit lengt"&amp;"h slightly longer, 31/31 should be more appropriate, 31/32 OK")</f>
        <v>Quite satisfied 178,63 study bought a half-day of 30/32, after the hand texture satisfied with the color styling, you want this to work are not able to wear trousers pants. But because it is a little low-cut and slightly further back so tight, a bit length slightly longer, 31/31 should be more appropriate, 31/32 OK</v>
      </c>
    </row>
    <row r="1822">
      <c r="A1822" s="1">
        <v>5.0</v>
      </c>
      <c r="B1822" s="1" t="s">
        <v>1820</v>
      </c>
      <c r="C1822" t="str">
        <f>IFERROR(__xludf.DUMMYFUNCTION("GOOGLETRANSLATE(B1822, ""zh"", ""en"")"),"Somatosensory good to send LP adults, good price, recommend to hurry with the goods purchased abroad")</f>
        <v>Somatosensory good to send LP adults, good price, recommend to hurry with the goods purchased abroad</v>
      </c>
    </row>
    <row r="1823">
      <c r="A1823" s="1">
        <v>5.0</v>
      </c>
      <c r="B1823" s="1" t="s">
        <v>1821</v>
      </c>
      <c r="C1823" t="str">
        <f>IFERROR(__xludf.DUMMYFUNCTION("GOOGLETRANSLATE(B1823, ""zh"", ""en"")"),"We look forward to the results did not eat, should be good")</f>
        <v>We look forward to the results did not eat, should be good</v>
      </c>
    </row>
    <row r="1824">
      <c r="A1824" s="1">
        <v>5.0</v>
      </c>
      <c r="B1824" s="1" t="s">
        <v>1822</v>
      </c>
      <c r="C1824" t="str">
        <f>IFERROR(__xludf.DUMMYFUNCTION("GOOGLETRANSLATE(B1824, ""zh"", ""en"")"),"Genuine good! And the United States bought the same! awesome!")</f>
        <v>Genuine good! And the United States bought the same! awesome!</v>
      </c>
    </row>
    <row r="1825">
      <c r="A1825" s="1">
        <v>5.0</v>
      </c>
      <c r="B1825" s="1" t="s">
        <v>1823</v>
      </c>
      <c r="C1825" t="str">
        <f>IFERROR(__xludf.DUMMYFUNCTION("GOOGLETRANSLATE(B1825, ""zh"", ""en"")"),"ecco hiking shoes, but fortunately, No. 14 overall orders, to No. 23 in Chongqing, faster. Color slightly darker than the picture, but also good. The right size, did not pass through outdoor hiking shoes ecco, hoping and other shoes as perfect experience."&amp;" And a tongue tie at the simple, I do not know whether there is gore as fabrics, soles lightweight, durable and wear-resistant hope")</f>
        <v>ecco hiking shoes, but fortunately, No. 14 overall orders, to No. 23 in Chongqing, faster. Color slightly darker than the picture, but also good. The right size, did not pass through outdoor hiking shoes ecco, hoping and other shoes as perfect experience. And a tongue tie at the simple, I do not know whether there is gore as fabrics, soles lightweight, durable and wear-resistant hope</v>
      </c>
    </row>
    <row r="1826">
      <c r="A1826" s="1">
        <v>5.0</v>
      </c>
      <c r="B1826" s="1" t="s">
        <v>1824</v>
      </c>
      <c r="C1826" t="str">
        <f>IFERROR(__xludf.DUMMYFUNCTION("GOOGLETRANSLATE(B1826, ""zh"", ""en"")"),"These shoes are very comfortable and very comfortable, the price is very appropriate")</f>
        <v>These shoes are very comfortable and very comfortable, the price is very appropriate</v>
      </c>
    </row>
    <row r="1827">
      <c r="A1827" s="1">
        <v>5.0</v>
      </c>
      <c r="B1827" s="1" t="s">
        <v>1825</v>
      </c>
      <c r="C1827" t="str">
        <f>IFERROR(__xludf.DUMMYFUNCTION("GOOGLETRANSLATE(B1827, ""zh"", ""en"")"),"Than the counter value is not the province of a Ding slightest, as long as the understanding of their size, or cost-effective, because it is overseas purchase, so the time is a bit long")</f>
        <v>Than the counter value is not the province of a Ding slightest, as long as the understanding of their size, or cost-effective, because it is overseas purchase, so the time is a bit long</v>
      </c>
    </row>
    <row r="1828">
      <c r="A1828" s="1">
        <v>5.0</v>
      </c>
      <c r="B1828" s="1" t="s">
        <v>1826</v>
      </c>
      <c r="C1828" t="str">
        <f>IFERROR(__xludf.DUMMYFUNCTION("GOOGLETRANSLATE(B1828, ""zh"", ""en"")"),"Satisfaction should be leather, taste, smell may be skin? satisfaction")</f>
        <v>Satisfaction should be leather, taste, smell may be skin? satisfaction</v>
      </c>
    </row>
    <row r="1829">
      <c r="A1829" s="1">
        <v>5.0</v>
      </c>
      <c r="B1829" s="1" t="s">
        <v>1827</v>
      </c>
      <c r="C1829" t="str">
        <f>IFERROR(__xludf.DUMMYFUNCTION("GOOGLETRANSLATE(B1829, ""zh"", ""en"")"),"Well once I took a two ML a L two colors are like the results are not willing to retreat on two left a very good fit 180cm 85kg")</f>
        <v>Well once I took a two ML a L two colors are like the results are not willing to retreat on two left a very good fit 180cm 85kg</v>
      </c>
    </row>
    <row r="1830">
      <c r="A1830" s="1">
        <v>5.0</v>
      </c>
      <c r="B1830" s="1" t="s">
        <v>1828</v>
      </c>
      <c r="C1830" t="str">
        <f>IFERROR(__xludf.DUMMYFUNCTION("GOOGLETRANSLATE(B1830, ""zh"", ""en"")"),"Insulation effect very good, strong thermal insulation effect")</f>
        <v>Insulation effect very good, strong thermal insulation effect</v>
      </c>
    </row>
    <row r="1831">
      <c r="A1831" s="1">
        <v>5.0</v>
      </c>
      <c r="B1831" s="1" t="s">
        <v>1829</v>
      </c>
      <c r="C1831" t="str">
        <f>IFERROR(__xludf.DUMMYFUNCTION("GOOGLETRANSLATE(B1831, ""zh"", ""en"")"),"Good quality good quality, slightly larger shoe")</f>
        <v>Good quality good quality, slightly larger shoe</v>
      </c>
    </row>
    <row r="1832">
      <c r="A1832" s="1">
        <v>5.0</v>
      </c>
      <c r="B1832" s="1" t="s">
        <v>1830</v>
      </c>
      <c r="C1832" t="str">
        <f>IFERROR(__xludf.DUMMYFUNCTION("GOOGLETRANSLATE(B1832, ""zh"", ""en"")"),"Leather shoes can be a little bit bigger")</f>
        <v>Leather shoes can be a little bit bigger</v>
      </c>
    </row>
    <row r="1833">
      <c r="A1833" s="1">
        <v>5.0</v>
      </c>
      <c r="B1833" s="1" t="s">
        <v>1831</v>
      </c>
      <c r="C1833" t="str">
        <f>IFERROR(__xludf.DUMMYFUNCTION("GOOGLETRANSLATE(B1833, ""zh"", ""en"")"),"Like like ~ bought back, the little guy a lot of times to wash hands")</f>
        <v>Like like ~ bought back, the little guy a lot of times to wash hands</v>
      </c>
    </row>
    <row r="1834">
      <c r="A1834" s="1">
        <v>5.0</v>
      </c>
      <c r="B1834" s="1" t="s">
        <v>1832</v>
      </c>
      <c r="C1834" t="str">
        <f>IFERROR(__xludf.DUMMYFUNCTION("GOOGLETRANSLATE(B1834, ""zh"", ""en"")"),"Expected effect I feel very real, very big bottle. Some whole, more than the outside layer of plastic film packaging than the Lynx, as well as in the cap layer of film, almost taste.")</f>
        <v>Expected effect I feel very real, very big bottle. Some whole, more than the outside layer of plastic film packaging than the Lynx, as well as in the cap layer of film, almost taste.</v>
      </c>
    </row>
    <row r="1835">
      <c r="A1835" s="1">
        <v>5.0</v>
      </c>
      <c r="B1835" s="1" t="s">
        <v>1833</v>
      </c>
      <c r="C1835" t="str">
        <f>IFERROR(__xludf.DUMMYFUNCTION("GOOGLETRANSLATE(B1835, ""zh"", ""en"")"),"It sounds great price spike was okay, the sound quality is also good, but power too small, can only be used very close monitoring.")</f>
        <v>It sounds great price spike was okay, the sound quality is also good, but power too small, can only be used very close monitoring.</v>
      </c>
    </row>
    <row r="1836">
      <c r="A1836" s="1">
        <v>5.0</v>
      </c>
      <c r="B1836" s="1" t="s">
        <v>1834</v>
      </c>
      <c r="C1836" t="str">
        <f>IFERROR(__xludf.DUMMYFUNCTION("GOOGLETRANSLATE(B1836, ""zh"", ""en"")"),"European standard national standard hot and cold water pipe fittings need another with the European standard interfaces appear to be three points, four points are the national standard interfaces. Good goods")</f>
        <v>European standard national standard hot and cold water pipe fittings need another with the European standard interfaces appear to be three points, four points are the national standard interfaces. Good goods</v>
      </c>
    </row>
    <row r="1837">
      <c r="A1837" s="1">
        <v>5.0</v>
      </c>
      <c r="B1837" s="1" t="s">
        <v>1835</v>
      </c>
      <c r="C1837" t="str">
        <f>IFERROR(__xludf.DUMMYFUNCTION("GOOGLETRANSLATE(B1837, ""zh"", ""en"")"),"Satisfied with the group table wine store three types of light, not wearing a winter ice hand and comfortable. 6 Bureau of Radio, solar, reverse display, store wine worth buying three of the group table, satisfied!")</f>
        <v>Satisfied with the group table wine store three types of light, not wearing a winter ice hand and comfortable. 6 Bureau of Radio, solar, reverse display, store wine worth buying three of the group table, satisfied!</v>
      </c>
    </row>
    <row r="1838">
      <c r="A1838" s="1">
        <v>5.0</v>
      </c>
      <c r="B1838" s="1" t="s">
        <v>1836</v>
      </c>
      <c r="C1838" t="str">
        <f>IFERROR(__xludf.DUMMYFUNCTION("GOOGLETRANSLATE(B1838, ""zh"", ""en"")"),"👍🏻 good, much cheaper than domestic")</f>
        <v>👍🏻 good, much cheaper than domestic</v>
      </c>
    </row>
    <row r="1839">
      <c r="A1839" s="1">
        <v>5.0</v>
      </c>
      <c r="B1839" s="1" t="s">
        <v>1837</v>
      </c>
      <c r="C1839" t="str">
        <f>IFERROR(__xludf.DUMMYFUNCTION("GOOGLETRANSLATE(B1839, ""zh"", ""en"")"),"Good wife 162 high, 100 pounds, wearing just right, work is also good")</f>
        <v>Good wife 162 high, 100 pounds, wearing just right, work is also good</v>
      </c>
    </row>
    <row r="1840">
      <c r="A1840" s="1">
        <v>5.0</v>
      </c>
      <c r="B1840" s="1" t="s">
        <v>1838</v>
      </c>
      <c r="C1840" t="str">
        <f>IFERROR(__xludf.DUMMYFUNCTION("GOOGLETRANSLATE(B1840, ""zh"", ""en"")"),"Acid composition is very good to see that my kids do not eat very sour taste")</f>
        <v>Acid composition is very good to see that my kids do not eat very sour taste</v>
      </c>
    </row>
    <row r="1841">
      <c r="A1841" s="1">
        <v>2.0</v>
      </c>
      <c r="B1841" s="1" t="s">
        <v>1839</v>
      </c>
      <c r="C1841" t="str">
        <f>IFERROR(__xludf.DUMMYFUNCTION("GOOGLETRANSLATE(B1841, ""zh"", ""en"")"),"Wash twice to become discolored discoloring, redness")</f>
        <v>Wash twice to become discolored discoloring, redness</v>
      </c>
    </row>
    <row r="1842">
      <c r="A1842" s="1">
        <v>3.0</v>
      </c>
      <c r="B1842" s="1" t="s">
        <v>1840</v>
      </c>
      <c r="C1842" t="str">
        <f>IFERROR(__xludf.DUMMYFUNCTION("GOOGLETRANSLATE(B1842, ""zh"", ""en"")"),"Clothes version is not suitable for bad 172/75, clothes too long overall")</f>
        <v>Clothes version is not suitable for bad 172/75, clothes too long overall</v>
      </c>
    </row>
    <row r="1843">
      <c r="A1843" s="1">
        <v>3.0</v>
      </c>
      <c r="B1843" s="1" t="s">
        <v>1841</v>
      </c>
      <c r="C1843" t="str">
        <f>IFERROR(__xludf.DUMMYFUNCTION("GOOGLETRANSLATE(B1843, ""zh"", ""en"")"),"Samsung evaluation Vietnamese, feel good, feeling a little sanding. Half the number shoulder width, long sleeves, short body, not as warm Fleece is not recommended")</f>
        <v>Samsung evaluation Vietnamese, feel good, feeling a little sanding. Half the number shoulder width, long sleeves, short body, not as warm Fleece is not recommended</v>
      </c>
    </row>
    <row r="1844">
      <c r="A1844" s="1">
        <v>1.0</v>
      </c>
      <c r="B1844" s="1" t="s">
        <v>1842</v>
      </c>
      <c r="C1844" t="str">
        <f>IFERROR(__xludf.DUMMYFUNCTION("GOOGLETRANSLATE(B1844, ""zh"", ""en"")"),"XL I really do not know, a mess of foreign dimensions are the same size just some brands, some big, some small. The problem has appeared in the LEE. The clothes obviously some big, and the size XXL I've bought abroad the same. I also bought LEE exception "&amp;"of jeans, 40/32 is significantly large, 38/30 have a significantly smaller. And I bought abroad levi's just fit on the 38/30. Is there a problem here? Who is in there out what hair thing!")</f>
        <v>XL I really do not know, a mess of foreign dimensions are the same size just some brands, some big, some small. The problem has appeared in the LEE. The clothes obviously some big, and the size XXL I've bought abroad the same. I also bought LEE exception of jeans, 40/32 is significantly large, 38/30 have a significantly smaller. And I bought abroad levi's just fit on the 38/30. Is there a problem here? Who is in there out what hair thing!</v>
      </c>
    </row>
    <row r="1845">
      <c r="A1845" s="1">
        <v>1.0</v>
      </c>
      <c r="B1845" s="1" t="s">
        <v>1843</v>
      </c>
      <c r="C1845" t="str">
        <f>IFERROR(__xludf.DUMMYFUNCTION("GOOGLETRANSLATE(B1845, ""zh"", ""en"")"),"There are serious quality problems and the Amazon is not to change the broken garbage garbage Amazon Seagate hard drive warranty evade two three-way calling each other so that together Seagate find Amazon, Amazon wants me to think for myself very bad shop"&amp;"ping experience I wish you an early leave China")</f>
        <v>There are serious quality problems and the Amazon is not to change the broken garbage garbage Amazon Seagate hard drive warranty evade two three-way calling each other so that together Seagate find Amazon, Amazon wants me to think for myself very bad shopping experience I wish you an early leave China</v>
      </c>
    </row>
    <row r="1846">
      <c r="A1846" s="1">
        <v>1.0</v>
      </c>
      <c r="B1846" s="1" t="s">
        <v>1844</v>
      </c>
      <c r="C1846" t="str">
        <f>IFERROR(__xludf.DUMMYFUNCTION("GOOGLETRANSLATE(B1846, ""zh"", ""en"")"),"This dress is too long, long clothes version is rather strange, rather long, I 167/63, s this dress code just Shoulder, chest taut, but below the hem was near the crotch, if you buy the m properly skirt to wear, very embarrassed, at the same time to buy R"&amp;"alph Lauren, hugo bosss code exactly. . . .")</f>
        <v>This dress is too long, long clothes version is rather strange, rather long, I 167/63, s this dress code just Shoulder, chest taut, but below the hem was near the crotch, if you buy the m properly skirt to wear, very embarrassed, at the same time to buy Ralph Lauren, hugo bosss code exactly. . . .</v>
      </c>
    </row>
    <row r="1847">
      <c r="A1847" s="1">
        <v>4.0</v>
      </c>
      <c r="B1847" s="1" t="s">
        <v>1845</v>
      </c>
      <c r="C1847" t="str">
        <f>IFERROR(__xludf.DUMMYFUNCTION("GOOGLETRANSLATE(B1847, ""zh"", ""en"")"),"24CM enamel pot boil, and do a bowl of soup, taste good, a good pot")</f>
        <v>24CM enamel pot boil, and do a bowl of soup, taste good, a good pot</v>
      </c>
    </row>
    <row r="1848">
      <c r="A1848" s="1">
        <v>4.0</v>
      </c>
      <c r="B1848" s="1" t="s">
        <v>1846</v>
      </c>
      <c r="C1848" t="str">
        <f>IFERROR(__xludf.DUMMYFUNCTION("GOOGLETRANSLATE(B1848, ""zh"", ""en"")"),"The general feeling sink side too dishwasher This seems the general feeling")</f>
        <v>The general feeling sink side too dishwasher This seems the general feeling</v>
      </c>
    </row>
    <row r="1849">
      <c r="A1849" s="1">
        <v>4.0</v>
      </c>
      <c r="B1849" s="1" t="s">
        <v>1847</v>
      </c>
      <c r="C1849" t="str">
        <f>IFERROR(__xludf.DUMMYFUNCTION("GOOGLETRANSLATE(B1849, ""zh"", ""en"")"),"Suitable size, heated, very hot pot, to be noted that the anti-hot pot gettin not used")</f>
        <v>Suitable size, heated, very hot pot, to be noted that the anti-hot pot gettin not used</v>
      </c>
    </row>
    <row r="1850">
      <c r="A1850" s="1">
        <v>4.0</v>
      </c>
      <c r="B1850" s="1" t="s">
        <v>1848</v>
      </c>
      <c r="C1850" t="str">
        <f>IFERROR(__xludf.DUMMYFUNCTION("GOOGLETRANSLATE(B1850, ""zh"", ""en"")"),"The preferred overall kinetic energy of young entry-level light is a perfect sea Amoy shopping experience. Table I expected, that is, before not wearing a watch, now wearing a watch a little less adaptation. Or it is too loose, or is strong, anyway, not v"&amp;"ery comfortable.")</f>
        <v>The preferred overall kinetic energy of young entry-level light is a perfect sea Amoy shopping experience. Table I expected, that is, before not wearing a watch, now wearing a watch a little less adaptation. Or it is too loose, or is strong, anyway, not very comfortable.</v>
      </c>
    </row>
    <row r="1851">
      <c r="A1851" s="1">
        <v>4.0</v>
      </c>
      <c r="B1851" s="1" t="s">
        <v>1849</v>
      </c>
      <c r="C1851" t="str">
        <f>IFERROR(__xludf.DUMMYFUNCTION("GOOGLETRANSLATE(B1851, ""zh"", ""en"")"),"In addition to the original factory packaging, no transport packaging, the arrival of the original packaging is damaged seriously! In addition to the original factory packaging, no transport packaging, the original packaging is damaged severely arrival! W"&amp;"anted to return, I thought for a moment too much trouble, when the courier surface inspection findings machine Accessories are, giving the capsule 14 are also not damaged, so they took home trial, but fortunately no problem. We hope businesses in the tran"&amp;"sport process to take account '.")</f>
        <v>In addition to the original factory packaging, no transport packaging, the arrival of the original packaging is damaged seriously! In addition to the original factory packaging, no transport packaging, the original packaging is damaged severely arrival! Wanted to return, I thought for a moment too much trouble, when the courier surface inspection findings machine Accessories are, giving the capsule 14 are also not damaged, so they took home trial, but fortunately no problem. We hope businesses in the transport process to take account '.</v>
      </c>
    </row>
    <row r="1852">
      <c r="A1852" s="1">
        <v>5.0</v>
      </c>
      <c r="B1852" s="1" t="s">
        <v>1850</v>
      </c>
      <c r="C1852" t="str">
        <f>IFERROR(__xludf.DUMMYFUNCTION("GOOGLETRANSLATE(B1852, ""zh"", ""en"")"),"Value for money hand quickly, the hard disk itself is good quality, cost-effective.")</f>
        <v>Value for money hand quickly, the hard disk itself is good quality, cost-effective.</v>
      </c>
    </row>
    <row r="1853">
      <c r="A1853" s="1">
        <v>5.0</v>
      </c>
      <c r="B1853" s="1" t="s">
        <v>1851</v>
      </c>
      <c r="C1853" t="str">
        <f>IFERROR(__xludf.DUMMYFUNCTION("GOOGLETRANSLATE(B1853, ""zh"", ""en"")"),"Taste good just fine, and product description, like son said to orange-flavored, this bottle eat, if good results will continue to stockpile 😊")</f>
        <v>Taste good just fine, and product description, like son said to orange-flavored, this bottle eat, if good results will continue to stockpile 😊</v>
      </c>
    </row>
    <row r="1854">
      <c r="A1854" s="1">
        <v>5.0</v>
      </c>
      <c r="B1854" s="1" t="s">
        <v>1852</v>
      </c>
      <c r="C1854" t="str">
        <f>IFERROR(__xludf.DUMMYFUNCTION("GOOGLETRANSLATE(B1854, ""zh"", ""en"")"),"Satisfied with the size is very accurate, neutral color, men and women can be.")</f>
        <v>Satisfied with the size is very accurate, neutral color, men and women can be.</v>
      </c>
    </row>
    <row r="1855">
      <c r="A1855" s="1">
        <v>5.0</v>
      </c>
      <c r="B1855" s="1" t="s">
        <v>1853</v>
      </c>
      <c r="C1855" t="str">
        <f>IFERROR(__xludf.DUMMYFUNCTION("GOOGLETRANSLATE(B1855, ""zh"", ""en"")"),"It was nice pen. Logistics quickly, very warm in charge of Amazon customers, pen is also very like, very pleasant shopping experience!")</f>
        <v>It was nice pen. Logistics quickly, very warm in charge of Amazon customers, pen is also very like, very pleasant shopping experience!</v>
      </c>
    </row>
    <row r="1856">
      <c r="A1856" s="1">
        <v>5.0</v>
      </c>
      <c r="B1856" s="1" t="s">
        <v>1854</v>
      </c>
      <c r="C1856" t="str">
        <f>IFERROR(__xludf.DUMMYFUNCTION("GOOGLETRANSLATE(B1856, ""zh"", ""en"")"),"Value. Like most ecco comfortable, very comfortable, with foot insoles, soft soles of shoes than similar, value")</f>
        <v>Value. Like most ecco comfortable, very comfortable, with foot insoles, soft soles of shoes than similar, value</v>
      </c>
    </row>
    <row r="1857">
      <c r="A1857" s="1">
        <v>5.0</v>
      </c>
      <c r="B1857" s="1" t="s">
        <v>1855</v>
      </c>
      <c r="C1857" t="str">
        <f>IFERROR(__xludf.DUMMYFUNCTION("GOOGLETRANSLATE(B1857, ""zh"", ""en"")"),"Bought a total of two effective price is very good but the other one is sent from Hong Kong but things are good, like a courier is sent from Wisconsin for the first time with front teeth bleeding gums now under eight stalls with some four or five times, w"&amp;"ell try to open higher after feeling a little flushed show is better able to feel")</f>
        <v>Bought a total of two effective price is very good but the other one is sent from Hong Kong but things are good, like a courier is sent from Wisconsin for the first time with front teeth bleeding gums now under eight stalls with some four or five times, well try to open higher after feeling a little flushed show is better able to feel</v>
      </c>
    </row>
    <row r="1858">
      <c r="A1858" s="1">
        <v>5.0</v>
      </c>
      <c r="B1858" s="1" t="s">
        <v>1856</v>
      </c>
      <c r="C1858" t="str">
        <f>IFERROR(__xludf.DUMMYFUNCTION("GOOGLETRANSLATE(B1858, ""zh"", ""en"")"),"I liked the coffee machine was like, express delivery speed is fast, all in a day. Small coffee machine, enhance happiness index, thumbs up 👍")</f>
        <v>I liked the coffee machine was like, express delivery speed is fast, all in a day. Small coffee machine, enhance happiness index, thumbs up 👍</v>
      </c>
    </row>
    <row r="1859">
      <c r="A1859" s="1">
        <v>5.0</v>
      </c>
      <c r="B1859" s="1" t="s">
        <v>1857</v>
      </c>
      <c r="C1859" t="str">
        <f>IFERROR(__xludf.DUMMYFUNCTION("GOOGLETRANSLATE(B1859, ""zh"", ""en"")"),"Shoe size standard, prior comfortable to wear ECCO 41 yards shoes, ASICS 8.5 yards sneakers, this election 41 yards, but also a little worried about the result just 😊; wear comfortable shoes, worth recommending!")</f>
        <v>Shoe size standard, prior comfortable to wear ECCO 41 yards shoes, ASICS 8.5 yards sneakers, this election 41 yards, but also a little worried about the result just 😊; wear comfortable shoes, worth recommending!</v>
      </c>
    </row>
    <row r="1860">
      <c r="A1860" s="1">
        <v>5.0</v>
      </c>
      <c r="B1860" s="1" t="s">
        <v>1858</v>
      </c>
      <c r="C1860" t="str">
        <f>IFERROR(__xludf.DUMMYFUNCTION("GOOGLETRANSLATE(B1860, ""zh"", ""en"")"),"Really fragrant bass lovers turn over gradually from 99 latent really fragrant bass is not very different but still better than a lot of potential but the 99 treble stronger than one star the slightest")</f>
        <v>Really fragrant bass lovers turn over gradually from 99 latent really fragrant bass is not very different but still better than a lot of potential but the 99 treble stronger than one star the slightest</v>
      </c>
    </row>
    <row r="1861">
      <c r="A1861" s="1">
        <v>5.0</v>
      </c>
      <c r="B1861" s="1" t="s">
        <v>1859</v>
      </c>
      <c r="C1861" t="str">
        <f>IFERROR(__xludf.DUMMYFUNCTION("GOOGLETRANSLATE(B1861, ""zh"", ""en"")"),"For fat people look good foot for foot fat people")</f>
        <v>For fat people look good foot for foot fat people</v>
      </c>
    </row>
    <row r="1862">
      <c r="A1862" s="1">
        <v>5.0</v>
      </c>
      <c r="B1862" s="1" t="s">
        <v>1860</v>
      </c>
      <c r="C1862" t="str">
        <f>IFERROR(__xludf.DUMMYFUNCTION("GOOGLETRANSLATE(B1862, ""zh"", ""en"")"),"Not bad products")</f>
        <v>Not bad products</v>
      </c>
    </row>
    <row r="1863">
      <c r="A1863" s="1">
        <v>5.0</v>
      </c>
      <c r="B1863" s="1" t="s">
        <v>1861</v>
      </c>
      <c r="C1863" t="str">
        <f>IFERROR(__xludf.DUMMYFUNCTION("GOOGLETRANSLATE(B1863, ""zh"", ""en"")"),"Purchasing spike is very good, a friend recommended this brand, Japanese shipments, much cheaper than purchasing, genuine easy to use.")</f>
        <v>Purchasing spike is very good, a friend recommended this brand, Japanese shipments, much cheaper than purchasing, genuine easy to use.</v>
      </c>
    </row>
    <row r="1864">
      <c r="A1864" s="1">
        <v>5.0</v>
      </c>
      <c r="B1864" s="1" t="s">
        <v>1862</v>
      </c>
      <c r="C1864" t="str">
        <f>IFERROR(__xludf.DUMMYFUNCTION("GOOGLETRANSLATE(B1864, ""zh"", ""en"")"),"Good quality and good quality, can not afford to velvet. It is slightly longer sleeves")</f>
        <v>Good quality and good quality, can not afford to velvet. It is slightly longer sleeves</v>
      </c>
    </row>
    <row r="1865">
      <c r="A1865" s="1">
        <v>5.0</v>
      </c>
      <c r="B1865" s="1" t="s">
        <v>1863</v>
      </c>
      <c r="C1865" t="str">
        <f>IFERROR(__xludf.DUMMYFUNCTION("GOOGLETRANSLATE(B1865, ""zh"", ""en"")"),"It feels good soft, lightweight and comfortable warm clothing")</f>
        <v>It feels good soft, lightweight and comfortable warm clothing</v>
      </c>
    </row>
    <row r="1866">
      <c r="A1866" s="1">
        <v>5.0</v>
      </c>
      <c r="B1866" s="1" t="s">
        <v>1864</v>
      </c>
      <c r="C1866" t="str">
        <f>IFERROR(__xludf.DUMMYFUNCTION("GOOGLETRANSLATE(B1866, ""zh"", ""en"")"),"Grinding foot problems can not be solved right foot a little wear, but the overall feeling okay quality.")</f>
        <v>Grinding foot problems can not be solved right foot a little wear, but the overall feeling okay quality.</v>
      </c>
    </row>
    <row r="1867">
      <c r="A1867" s="1">
        <v>5.0</v>
      </c>
      <c r="B1867" s="1" t="s">
        <v>1865</v>
      </c>
      <c r="C1867" t="str">
        <f>IFERROR(__xludf.DUMMYFUNCTION("GOOGLETRANSLATE(B1867, ""zh"", ""en"")"),"Great experience is very good, very fond of, leading very heavy, a bit surprised, honest use of materials.")</f>
        <v>Great experience is very good, very fond of, leading very heavy, a bit surprised, honest use of materials.</v>
      </c>
    </row>
    <row r="1868">
      <c r="A1868" s="1">
        <v>5.0</v>
      </c>
      <c r="B1868" s="1" t="s">
        <v>1866</v>
      </c>
      <c r="C1868" t="str">
        <f>IFERROR(__xludf.DUMMYFUNCTION("GOOGLETRANSLATE(B1868, ""zh"", ""en"")"),"Rigid good material, good size just right. Pretty good")</f>
        <v>Rigid good material, good size just right. Pretty good</v>
      </c>
    </row>
    <row r="1869">
      <c r="A1869" s="1">
        <v>5.0</v>
      </c>
      <c r="B1869" s="1" t="s">
        <v>1867</v>
      </c>
      <c r="C1869" t="str">
        <f>IFERROR(__xludf.DUMMYFUNCTION("GOOGLETRANSLATE(B1869, ""zh"", ""en"")"),"Very light and comfortable upper body is very comfortable and comfortable, suitable for summer wear!")</f>
        <v>Very light and comfortable upper body is very comfortable and comfortable, suitable for summer wear!</v>
      </c>
    </row>
    <row r="1870">
      <c r="A1870" s="1">
        <v>5.0</v>
      </c>
      <c r="B1870" s="1" t="s">
        <v>1868</v>
      </c>
      <c r="C1870" t="str">
        <f>IFERROR(__xludf.DUMMYFUNCTION("GOOGLETRANSLATE(B1870, ""zh"", ""en"")"),"Very fast delivery would have thought to wait until next week to receive, did not expect yesterday received. Free Trade Zone is estimated to be shipped from it - today began to eat, I hope bb healthy smart")</f>
        <v>Very fast delivery would have thought to wait until next week to receive, did not expect yesterday received. Free Trade Zone is estimated to be shipped from it - today began to eat, I hope bb healthy smart</v>
      </c>
    </row>
    <row r="1871">
      <c r="A1871" s="1">
        <v>5.0</v>
      </c>
      <c r="B1871" s="1" t="s">
        <v>1869</v>
      </c>
      <c r="C1871" t="str">
        <f>IFERROR(__xludf.DUMMYFUNCTION("GOOGLETRANSLATE(B1871, ""zh"", ""en"")"),"Cheap cheap ah, less than three hundred.")</f>
        <v>Cheap cheap ah, less than three hundred.</v>
      </c>
    </row>
    <row r="1872">
      <c r="A1872" s="1">
        <v>5.0</v>
      </c>
      <c r="B1872" s="1" t="s">
        <v>1870</v>
      </c>
      <c r="C1872" t="str">
        <f>IFERROR(__xludf.DUMMYFUNCTION("GOOGLETRANSLATE(B1872, ""zh"", ""en"")"),"Mainly cheap cheap, with a couple of boxes and found a leak bags")</f>
        <v>Mainly cheap cheap, with a couple of boxes and found a leak bags</v>
      </c>
    </row>
    <row r="1873">
      <c r="A1873" s="1">
        <v>5.0</v>
      </c>
      <c r="B1873" s="1" t="s">
        <v>1871</v>
      </c>
      <c r="C1873" t="str">
        <f>IFERROR(__xludf.DUMMYFUNCTION("GOOGLETRANSLATE(B1873, ""zh"", ""en"")"),"Very satisfied with the scissors out of the blue one has a red still working very good thing")</f>
        <v>Very satisfied with the scissors out of the blue one has a red still working very good thing</v>
      </c>
    </row>
    <row r="1874">
      <c r="A1874" s="1">
        <v>2.0</v>
      </c>
      <c r="B1874" s="1" t="s">
        <v>1872</v>
      </c>
      <c r="C1874" t="str">
        <f>IFERROR(__xludf.DUMMYFUNCTION("GOOGLETRANSLATE(B1874, ""zh"", ""en"")"),"Baggy size'd be right, but it is kind of loose, no type. I also look to buy four, are inappropriate! Can not buy after the Japanese bra!")</f>
        <v>Baggy size'd be right, but it is kind of loose, no type. I also look to buy four, are inappropriate! Can not buy after the Japanese bra!</v>
      </c>
    </row>
    <row r="1875">
      <c r="A1875" s="1">
        <v>3.0</v>
      </c>
      <c r="B1875" s="1" t="s">
        <v>1873</v>
      </c>
      <c r="C1875" t="str">
        <f>IFERROR(__xludf.DUMMYFUNCTION("GOOGLETRANSLATE(B1875, ""zh"", ""en"")"),"Buy a box before the whole rotten, I feel pretty good, ready to buy three sets to give as gifts, the result of all the rotten box, silent")</f>
        <v>Buy a box before the whole rotten, I feel pretty good, ready to buy three sets to give as gifts, the result of all the rotten box, silent</v>
      </c>
    </row>
    <row r="1876">
      <c r="A1876" s="1">
        <v>3.0</v>
      </c>
      <c r="B1876" s="1" t="s">
        <v>1874</v>
      </c>
      <c r="C1876" t="str">
        <f>IFERROR(__xludf.DUMMYFUNCTION("GOOGLETRANSLATE(B1876, ""zh"", ""en"")"),"New just have to wash several times it did not charcoal is not recommended to buy this, expensive and troublesome very annoying, as there will be this new charcoal. The old used up, these days with the opening of the Amazon to buy new, that can worry some"&amp;" of the results cup bottom there are still many small black particles. Remove the cartridge come washing, three times washing water are still black. That was no difference between the old and ah, as a hassle to clean several times to use. And the British "&amp;"have to send over more expensive, but also exposure to upload identity privacy. Might as well buy a new domestic forget. But I bought in Germany, the UK local filter does not need to wash, clean no particles in the bottom of the cup. I really do not know "&amp;"how,")</f>
        <v>New just have to wash several times it did not charcoal is not recommended to buy this, expensive and troublesome very annoying, as there will be this new charcoal. The old used up, these days with the opening of the Amazon to buy new, that can worry some of the results cup bottom there are still many small black particles. Remove the cartridge come washing, three times washing water are still black. That was no difference between the old and ah, as a hassle to clean several times to use. And the British have to send over more expensive, but also exposure to upload identity privacy. Might as well buy a new domestic forget. But I bought in Germany, the UK local filter does not need to wash, clean no particles in the bottom of the cup. I really do not know how,</v>
      </c>
    </row>
    <row r="1877">
      <c r="A1877" s="1">
        <v>3.0</v>
      </c>
      <c r="B1877" s="1" t="s">
        <v>1875</v>
      </c>
      <c r="C1877" t="str">
        <f>IFERROR(__xludf.DUMMYFUNCTION("GOOGLETRANSLATE(B1877, ""zh"", ""en"")"),"170 65kg s code bit long sleeve entirely appropriate, the sleeves sprinkling")</f>
        <v>170 65kg s code bit long sleeve entirely appropriate, the sleeves sprinkling</v>
      </c>
    </row>
    <row r="1878">
      <c r="A1878" s="1">
        <v>1.0</v>
      </c>
      <c r="B1878" s="1" t="s">
        <v>1876</v>
      </c>
      <c r="C1878" t="str">
        <f>IFERROR(__xludf.DUMMYFUNCTION("GOOGLETRANSLATE(B1878, ""zh"", ""en"")"),"Is too large, the details and photos do not match the details and photos do not match, buy big, too lazy to back")</f>
        <v>Is too large, the details and photos do not match the details and photos do not match, buy big, too lazy to back</v>
      </c>
    </row>
    <row r="1879">
      <c r="A1879" s="1">
        <v>1.0</v>
      </c>
      <c r="B1879" s="1" t="s">
        <v>1877</v>
      </c>
      <c r="C1879" t="str">
        <f>IFERROR(__xludf.DUMMYFUNCTION("GOOGLETRANSLATE(B1879, ""zh"", ""en"")"),"His family did not face mq70 hook, to purchase another home mq70 his face and no hook to purchase another")</f>
        <v>His family did not face mq70 hook, to purchase another home mq70 his face and no hook to purchase another</v>
      </c>
    </row>
    <row r="1880">
      <c r="A1880" s="1">
        <v>4.0</v>
      </c>
      <c r="B1880" s="1" t="s">
        <v>1878</v>
      </c>
      <c r="C1880" t="str">
        <f>IFERROR(__xludf.DUMMYFUNCTION("GOOGLETRANSLATE(B1880, ""zh"", ""en"")"),"Okay, a bit thick okay, that is a bit thick, the other better")</f>
        <v>Okay, a bit thick okay, that is a bit thick, the other better</v>
      </c>
    </row>
    <row r="1881">
      <c r="A1881" s="1">
        <v>4.0</v>
      </c>
      <c r="B1881" s="1" t="s">
        <v>1879</v>
      </c>
      <c r="C1881" t="str">
        <f>IFERROR(__xludf.DUMMYFUNCTION("GOOGLETRANSLATE(B1881, ""zh"", ""en"")"),"Price moving. Price moving: the purchase price. Logistics General: early delivery, early delivery, express little brother well. Quality line: trust WD, so buy it, but not very good data lines, two cable connectors are a bit loose, the feeling is not firm "&amp;"(plugged into the notebook USB2.0 transfer directly off a period of time)")</f>
        <v>Price moving. Price moving: the purchase price. Logistics General: early delivery, early delivery, express little brother well. Quality line: trust WD, so buy it, but not very good data lines, two cable connectors are a bit loose, the feeling is not firm (plugged into the notebook USB2.0 transfer directly off a period of time)</v>
      </c>
    </row>
    <row r="1882">
      <c r="A1882" s="1">
        <v>4.0</v>
      </c>
      <c r="B1882" s="1" t="s">
        <v>1880</v>
      </c>
      <c r="C1882" t="str">
        <f>IFERROR(__xludf.DUMMYFUNCTION("GOOGLETRANSLATE(B1882, ""zh"", ""en"")"),"Good fried steak is good, there is no coating of non-stick wok is impossible, makeshift bar, 10-inch has 5 pounds, and for women is also very heavy man, glad we did not buy more")</f>
        <v>Good fried steak is good, there is no coating of non-stick wok is impossible, makeshift bar, 10-inch has 5 pounds, and for women is also very heavy man, glad we did not buy more</v>
      </c>
    </row>
    <row r="1883">
      <c r="A1883" s="1">
        <v>4.0</v>
      </c>
      <c r="B1883" s="1" t="s">
        <v>1881</v>
      </c>
      <c r="C1883" t="str">
        <f>IFERROR(__xludf.DUMMYFUNCTION("GOOGLETRANSLATE(B1883, ""zh"", ""en"")"),"Color is too large, and thin fabric, suitable for spring wear computer ratio, color is too large, darker color, dark blue to nearly black, fabric and thin, but flexible, wear suitable for spring")</f>
        <v>Color is too large, and thin fabric, suitable for spring wear computer ratio, color is too large, darker color, dark blue to nearly black, fabric and thin, but flexible, wear suitable for spring</v>
      </c>
    </row>
    <row r="1884">
      <c r="A1884" s="1">
        <v>4.0</v>
      </c>
      <c r="B1884" s="1" t="s">
        <v>1882</v>
      </c>
      <c r="C1884" t="str">
        <f>IFERROR(__xludf.DUMMYFUNCTION("GOOGLETRANSLATE(B1884, ""zh"", ""en"")"),"Marshall Marshall Minor II early in the Amazon shopping experience for the first time, received headphones. 1. Watch the details, good shape, see the headset profile, details of the place, it should be genuine. 2. Just use sound, bass done very shocking, "&amp;"after other effects need to burn in order to understand. 3. Line a bit short, thick neck, then if possible to wear a bit uncomfortable.")</f>
        <v>Marshall Marshall Minor II early in the Amazon shopping experience for the first time, received headphones. 1. Watch the details, good shape, see the headset profile, details of the place, it should be genuine. 2. Just use sound, bass done very shocking, after other effects need to burn in order to understand. 3. Line a bit short, thick neck, then if possible to wear a bit uncomfortable.</v>
      </c>
    </row>
    <row r="1885">
      <c r="A1885" s="1">
        <v>5.0</v>
      </c>
      <c r="B1885" s="1" t="s">
        <v>1883</v>
      </c>
      <c r="C1885" t="str">
        <f>IFERROR(__xludf.DUMMYFUNCTION("GOOGLETRANSLATE(B1885, ""zh"", ""en"")"),"Clothes fit, very fit quite satisfied, bought two a good work, the other is not how cheap. Shipping a little slow, good customer service attitude is good, also called me to explain the situation, this is pretty cool, express not sent home, the attitude in"&amp;" general, a little fly in the ointment, overall not bad.")</f>
        <v>Clothes fit, very fit quite satisfied, bought two a good work, the other is not how cheap. Shipping a little slow, good customer service attitude is good, also called me to explain the situation, this is pretty cool, express not sent home, the attitude in general, a little fly in the ointment, overall not bad.</v>
      </c>
    </row>
    <row r="1886">
      <c r="A1886" s="1">
        <v>5.0</v>
      </c>
      <c r="B1886" s="1" t="s">
        <v>1884</v>
      </c>
      <c r="C1886" t="str">
        <f>IFERROR(__xludf.DUMMYFUNCTION("GOOGLETRANSLATE(B1886, ""zh"", ""en"")"),"Very good, appropriate, receive 10 days")</f>
        <v>Very good, appropriate, receive 10 days</v>
      </c>
    </row>
    <row r="1887">
      <c r="A1887" s="1">
        <v>5.0</v>
      </c>
      <c r="B1887" s="1" t="s">
        <v>1885</v>
      </c>
      <c r="C1887" t="str">
        <f>IFERROR(__xludf.DUMMYFUNCTION("GOOGLETRANSLATE(B1887, ""zh"", ""en"")"),"Very Good Very Good very fine leather version, no problem will not fall back just started to wear a little difficult to wear a few times would be good")</f>
        <v>Very Good Very Good very fine leather version, no problem will not fall back just started to wear a little difficult to wear a few times would be good</v>
      </c>
    </row>
    <row r="1888">
      <c r="A1888" s="1">
        <v>5.0</v>
      </c>
      <c r="B1888" s="1" t="s">
        <v>1886</v>
      </c>
      <c r="C1888" t="str">
        <f>IFERROR(__xludf.DUMMYFUNCTION("GOOGLETRANSLATE(B1888, ""zh"", ""en"")"),"Pants are very comfortable with my height 160cm, weight 105 pounds, to buy a larger number 8, the estimated number 6 is enough! Pants good elasticity, wear very comfortable!")</f>
        <v>Pants are very comfortable with my height 160cm, weight 105 pounds, to buy a larger number 8, the estimated number 6 is enough! Pants good elasticity, wear very comfortable!</v>
      </c>
    </row>
    <row r="1889">
      <c r="A1889" s="1">
        <v>5.0</v>
      </c>
      <c r="B1889" s="1" t="s">
        <v>1887</v>
      </c>
      <c r="C1889" t="str">
        <f>IFERROR(__xludf.DUMMYFUNCTION("GOOGLETRANSLATE(B1889, ""zh"", ""en"")"),"prime Day discount is really value for money! Price value ah, I used to expand the 4K original disc collection, but no warranty, hope it will not go wrong.")</f>
        <v>prime Day discount is really value for money! Price value ah, I used to expand the 4K original disc collection, but no warranty, hope it will not go wrong.</v>
      </c>
    </row>
    <row r="1890">
      <c r="A1890" s="1">
        <v>5.0</v>
      </c>
      <c r="B1890" s="1" t="s">
        <v>1888</v>
      </c>
      <c r="C1890" t="str">
        <f>IFERROR(__xludf.DUMMYFUNCTION("GOOGLETRANSLATE(B1890, ""zh"", ""en"")"),"Not good to very good friends, like the appearance of this crude ore, only the first pot of porridge overflow, mess, black on the bottom of the pot a few Indian, I should be operational problems, then there is no longer with overflow, very like 💕")</f>
        <v>Not good to very good friends, like the appearance of this crude ore, only the first pot of porridge overflow, mess, black on the bottom of the pot a few Indian, I should be operational problems, then there is no longer with overflow, very like 💕</v>
      </c>
    </row>
    <row r="1891">
      <c r="A1891" s="1">
        <v>5.0</v>
      </c>
      <c r="B1891" s="1" t="s">
        <v>1889</v>
      </c>
      <c r="C1891" t="str">
        <f>IFERROR(__xludf.DUMMYFUNCTION("GOOGLETRANSLATE(B1891, ""zh"", ""en"")"),"Can be added to taste fat too fast, sick face color, think of it to eat protein powder, Amazon trustworthy, we see other people's evaluation did not know, which actually have a spoon, fishing for a long time to find out, but how much to eat once or no con"&amp;"cept")</f>
        <v>Can be added to taste fat too fast, sick face color, think of it to eat protein powder, Amazon trustworthy, we see other people's evaluation did not know, which actually have a spoon, fishing for a long time to find out, but how much to eat once or no concept</v>
      </c>
    </row>
    <row r="1892">
      <c r="A1892" s="1">
        <v>5.0</v>
      </c>
      <c r="B1892" s="1" t="s">
        <v>1890</v>
      </c>
      <c r="C1892" t="str">
        <f>IFERROR(__xludf.DUMMYFUNCTION("GOOGLETRANSLATE(B1892, ""zh"", ""en"")"),"Price fluctuations too! I just want to say I'm 623 hand, but the hand was found after the price cuts, 550 will be able to hand the difference between the 70, too lazy to back, too much trouble overseas. It might sound quality just like with very satisfied"&amp;".")</f>
        <v>Price fluctuations too! I just want to say I'm 623 hand, but the hand was found after the price cuts, 550 will be able to hand the difference between the 70, too lazy to back, too much trouble overseas. It might sound quality just like with very satisfied.</v>
      </c>
    </row>
    <row r="1893">
      <c r="A1893" s="1">
        <v>5.0</v>
      </c>
      <c r="B1893" s="1" t="s">
        <v>1891</v>
      </c>
      <c r="C1893" t="str">
        <f>IFERROR(__xludf.DUMMYFUNCTION("GOOGLETRANSLATE(B1893, ""zh"", ""en"")"),"Super lightweight for summer comfort, flexibility, ideal for summer, wear to yoga does not shift, just do not know whether durable")</f>
        <v>Super lightweight for summer comfort, flexibility, ideal for summer, wear to yoga does not shift, just do not know whether durable</v>
      </c>
    </row>
    <row r="1894">
      <c r="A1894" s="1">
        <v>5.0</v>
      </c>
      <c r="B1894" s="1" t="s">
        <v>1892</v>
      </c>
      <c r="C1894" t="str">
        <f>IFERROR(__xludf.DUMMYFUNCTION("GOOGLETRANSLATE(B1894, ""zh"", ""en"")"),"In addition to large, I heard really good shoes too big yardage, I deliberately buy small half a yard, but still big. My feet long but did not belong to the kind of meat,")</f>
        <v>In addition to large, I heard really good shoes too big yardage, I deliberately buy small half a yard, but still big. My feet long but did not belong to the kind of meat,</v>
      </c>
    </row>
    <row r="1895">
      <c r="A1895" s="1">
        <v>5.0</v>
      </c>
      <c r="B1895" s="1" t="s">
        <v>1893</v>
      </c>
      <c r="C1895" t="str">
        <f>IFERROR(__xludf.DUMMYFUNCTION("GOOGLETRANSLATE(B1895, ""zh"", ""en"")"),"Seamless material super good value for money and quality of this price is simply great value!")</f>
        <v>Seamless material super good value for money and quality of this price is simply great value!</v>
      </c>
    </row>
    <row r="1896">
      <c r="A1896" s="1">
        <v>5.0</v>
      </c>
      <c r="B1896" s="1" t="s">
        <v>1894</v>
      </c>
      <c r="C1896" t="str">
        <f>IFERROR(__xludf.DUMMYFUNCTION("GOOGLETRANSLATE(B1896, ""zh"", ""en"")"),"Looks good once returned goods, good service. Good headphones, resolve the bad, the sound field feeling a little small, may be closed because of it, usually listen to pop, vocal far, listening to instrumental music is very good, suitable for classical, in"&amp;" line with Baia style.")</f>
        <v>Looks good once returned goods, good service. Good headphones, resolve the bad, the sound field feeling a little small, may be closed because of it, usually listen to pop, vocal far, listening to instrumental music is very good, suitable for classical, in line with Baia style.</v>
      </c>
    </row>
    <row r="1897">
      <c r="A1897" s="1">
        <v>5.0</v>
      </c>
      <c r="B1897" s="1" t="s">
        <v>1895</v>
      </c>
      <c r="C1897" t="str">
        <f>IFERROR(__xludf.DUMMYFUNCTION("GOOGLETRANSLATE(B1897, ""zh"", ""en"")"),"Size fit, comfort is very good upper body, upper body comfort, size fit! Height 170, weight 70 kg, M code perfect fit! Pretty good")</f>
        <v>Size fit, comfort is very good upper body, upper body comfort, size fit! Height 170, weight 70 kg, M code perfect fit! Pretty good</v>
      </c>
    </row>
    <row r="1898">
      <c r="A1898" s="1">
        <v>5.0</v>
      </c>
      <c r="B1898" s="1" t="s">
        <v>1896</v>
      </c>
      <c r="C1898" t="str">
        <f>IFERROR(__xludf.DUMMYFUNCTION("GOOGLETRANSLATE(B1898, ""zh"", ""en"")"),"Good for a friend's daughter, after she received believes Meng Meng, very cute, very, very happy!")</f>
        <v>Good for a friend's daughter, after she received believes Meng Meng, very cute, very, very happy!</v>
      </c>
    </row>
    <row r="1899">
      <c r="A1899" s="1">
        <v>5.0</v>
      </c>
      <c r="B1899" s="1" t="s">
        <v>1897</v>
      </c>
      <c r="C1899" t="str">
        <f>IFERROR(__xludf.DUMMYFUNCTION("GOOGLETRANSLATE(B1899, ""zh"", ""en"")"),"Comfortable right size, very comfortable to wear")</f>
        <v>Comfortable right size, very comfortable to wear</v>
      </c>
    </row>
    <row r="1900">
      <c r="A1900" s="1">
        <v>5.0</v>
      </c>
      <c r="B1900" s="1" t="s">
        <v>1898</v>
      </c>
      <c r="C1900" t="str">
        <f>IFERROR(__xludf.DUMMYFUNCTION("GOOGLETRANSLATE(B1900, ""zh"", ""en"")"),"Like heavy unchanged bought several, and has been like a weight has not changed")</f>
        <v>Like heavy unchanged bought several, and has been like a weight has not changed</v>
      </c>
    </row>
    <row r="1901">
      <c r="A1901" s="1">
        <v>5.0</v>
      </c>
      <c r="B1901" s="1" t="s">
        <v>1899</v>
      </c>
      <c r="C1901" t="str">
        <f>IFERROR(__xludf.DUMMYFUNCTION("GOOGLETRANSLATE(B1901, ""zh"", ""en"")"),"Reliable and comfortable, really good! Delivery time faster than expected!")</f>
        <v>Reliable and comfortable, really good! Delivery time faster than expected!</v>
      </c>
    </row>
    <row r="1902">
      <c r="A1902" s="1">
        <v>5.0</v>
      </c>
      <c r="B1902" s="1" t="s">
        <v>1900</v>
      </c>
      <c r="C1902" t="str">
        <f>IFERROR(__xludf.DUMMYFUNCTION("GOOGLETRANSLATE(B1902, ""zh"", ""en"")"),"Good insulation effect, the official online home are not selling something very good, the inside of the stainless steel is the best I've ever seen, super bright, hot to go in the first morning, there are still 30, 40 degrees the next morning about it, yes"&amp;". But thermos insulation effect is not good, it may be the reason uncoated bar")</f>
        <v>Good insulation effect, the official online home are not selling something very good, the inside of the stainless steel is the best I've ever seen, super bright, hot to go in the first morning, there are still 30, 40 degrees the next morning about it, yes. But thermos insulation effect is not good, it may be the reason uncoated bar</v>
      </c>
    </row>
    <row r="1903">
      <c r="A1903" s="1">
        <v>5.0</v>
      </c>
      <c r="B1903" s="1" t="s">
        <v>1901</v>
      </c>
      <c r="C1903" t="str">
        <f>IFERROR(__xludf.DUMMYFUNCTION("GOOGLETRANSLATE(B1903, ""zh"", ""en"")"),"The first is the price of the successful, black is buying is still very good value, not freight tariffs on more than 900 yuan cheaper than the official website. In fact, buy this dress size is most in doubt, the size of this clothes is particularly strang"&amp;"e, everyone will feel different to wear, before bought a L in the official website of feel a little bit smaller, later read a lot online comments and contrast (Chinese English have read), and finally bought a XL, but did not increase in terms of clothes l"&amp;"ong, so I do not struggled on short do with it. Finally, providing about my size, for reference (in fact useless) I 190CM tall 150 pounds, slim build, wearing almost the length L and XL, L shoulder width is just right, then you can try to wear loose XL.")</f>
        <v>The first is the price of the successful, black is buying is still very good value, not freight tariffs on more than 900 yuan cheaper than the official website. In fact, buy this dress size is most in doubt, the size of this clothes is particularly strange, everyone will feel different to wear, before bought a L in the official website of feel a little bit smaller, later read a lot online comments and contrast (Chinese English have read), and finally bought a XL, but did not increase in terms of clothes long, so I do not struggled on short do with it. Finally, providing about my size, for reference (in fact useless) I 190CM tall 150 pounds, slim build, wearing almost the length L and XL, L shoulder width is just right, then you can try to wear loose XL.</v>
      </c>
    </row>
    <row r="1904">
      <c r="A1904" s="1">
        <v>5.0</v>
      </c>
      <c r="B1904" s="1" t="s">
        <v>1902</v>
      </c>
      <c r="C1904" t="str">
        <f>IFERROR(__xludf.DUMMYFUNCTION("GOOGLETRANSLATE(B1904, ""zh"", ""en"")"),"good quality. This is thin, the quality is very good, better than the poor Nichia.")</f>
        <v>good quality. This is thin, the quality is very good, better than the poor Nichia.</v>
      </c>
    </row>
    <row r="1905">
      <c r="A1905" s="1">
        <v>5.0</v>
      </c>
      <c r="B1905" s="1" t="s">
        <v>1903</v>
      </c>
      <c r="C1905" t="str">
        <f>IFERROR(__xludf.DUMMYFUNCTION("GOOGLETRANSLATE(B1905, ""zh"", ""en"")"),"You can also use the effect does not know how, but the design is very reasonable, a little squeeze before the baby are squeezed out a lot, this is better control!")</f>
        <v>You can also use the effect does not know how, but the design is very reasonable, a little squeeze before the baby are squeezed out a lot, this is better control!</v>
      </c>
    </row>
    <row r="1906">
      <c r="A1906" s="1">
        <v>5.0</v>
      </c>
      <c r="B1906" s="1" t="s">
        <v>1904</v>
      </c>
      <c r="C1906" t="str">
        <f>IFERROR(__xludf.DUMMYFUNCTION("GOOGLETRANSLATE(B1906, ""zh"", ""en"")"),"Good cheap goods Gaussian classic ear hook, after wearing very comfortable ~")</f>
        <v>Good cheap goods Gaussian classic ear hook, after wearing very comfortable ~</v>
      </c>
    </row>
    <row r="1907">
      <c r="A1907" s="1">
        <v>2.0</v>
      </c>
      <c r="B1907" s="1" t="s">
        <v>1905</v>
      </c>
      <c r="C1907" t="str">
        <f>IFERROR(__xludf.DUMMYFUNCTION("GOOGLETRANSLATE(B1907, ""zh"", ""en"")"),"Prices artificially high is very serious! Quality in general, prices were inflated lace short ... very serious! Quality in general, lace short ...")</f>
        <v>Prices artificially high is very serious! Quality in general, prices were inflated lace short ... very serious! Quality in general, lace short ...</v>
      </c>
    </row>
    <row r="1908">
      <c r="A1908" s="1">
        <v>3.0</v>
      </c>
      <c r="B1908" s="1" t="s">
        <v>1906</v>
      </c>
      <c r="C1908" t="str">
        <f>IFERROR(__xludf.DUMMYFUNCTION("GOOGLETRANSLATE(B1908, ""zh"", ""en"")"),"The filter is not disabled ah ago in the Amazon is looking to buy another home, two months basically changing times, now the situation before, I do not know Shanghai water quality deterioration or filter not work, times a month for basic")</f>
        <v>The filter is not disabled ah ago in the Amazon is looking to buy another home, two months basically changing times, now the situation before, I do not know Shanghai water quality deterioration or filter not work, times a month for basic</v>
      </c>
    </row>
    <row r="1909">
      <c r="A1909" s="1">
        <v>3.0</v>
      </c>
      <c r="B1909" s="1" t="s">
        <v>1907</v>
      </c>
      <c r="C1909" t="str">
        <f>IFERROR(__xludf.DUMMYFUNCTION("GOOGLETRANSLATE(B1909, ""zh"", ""en"")"),"Fade fade away too much, soak 4 times, water or purple")</f>
        <v>Fade fade away too much, soak 4 times, water or purple</v>
      </c>
    </row>
    <row r="1910">
      <c r="A1910" s="1">
        <v>1.0</v>
      </c>
      <c r="B1910" s="1" t="s">
        <v>1908</v>
      </c>
      <c r="C1910" t="str">
        <f>IFERROR(__xludf.DUMMYFUNCTION("GOOGLETRANSLATE(B1910, ""zh"", ""en"")"),"Clothes too long, poor quality can also be looked at, clothes rather long, but the quality is really flattered, but for the return of trouble. . . As with rough cloth. There are enough garbage.")</f>
        <v>Clothes too long, poor quality can also be looked at, clothes rather long, but the quality is really flattered, but for the return of trouble. . . As with rough cloth. There are enough garbage.</v>
      </c>
    </row>
    <row r="1911">
      <c r="A1911" s="1">
        <v>1.0</v>
      </c>
      <c r="B1911" s="1" t="s">
        <v>1909</v>
      </c>
      <c r="C1911" t="str">
        <f>IFERROR(__xludf.DUMMYFUNCTION("GOOGLETRANSLATE(B1911, ""zh"", ""en"")"),"Black precipitate very difficult to use, there are a lot of black sediment, too many times the water is still there, had a good point to drink water, which is a big pit")</f>
        <v>Black precipitate very difficult to use, there are a lot of black sediment, too many times the water is still there, had a good point to drink water, which is a big pit</v>
      </c>
    </row>
    <row r="1912">
      <c r="A1912" s="1">
        <v>1.0</v>
      </c>
      <c r="B1912" s="1" t="s">
        <v>1910</v>
      </c>
      <c r="C1912" t="str">
        <f>IFERROR(__xludf.DUMMYFUNCTION("GOOGLETRANSLATE(B1912, ""zh"", ""en"")"),"Cloth bad, seriously do not recommend too hard, like cardboard child, had never seen such a material pants, too failed, Poor")</f>
        <v>Cloth bad, seriously do not recommend too hard, like cardboard child, had never seen such a material pants, too failed, Poor</v>
      </c>
    </row>
    <row r="1913">
      <c r="A1913" s="1">
        <v>4.0</v>
      </c>
      <c r="B1913" s="1" t="s">
        <v>1911</v>
      </c>
      <c r="C1913" t="str">
        <f>IFERROR(__xludf.DUMMYFUNCTION("GOOGLETRANSLATE(B1913, ""zh"", ""en"")"),"Some larger and heavier weight than imagined. Originally wanted to take it out, it is impossible. Buy this mainly Chinese and a good Mac compatible. In addition, noisy operation. Amazon packaging is very simple, from the United States only sent large card"&amp;"board box inside a bubble bag installed, sloshing inside the box.")</f>
        <v>Some larger and heavier weight than imagined. Originally wanted to take it out, it is impossible. Buy this mainly Chinese and a good Mac compatible. In addition, noisy operation. Amazon packaging is very simple, from the United States only sent large cardboard box inside a bubble bag installed, sloshing inside the box.</v>
      </c>
    </row>
    <row r="1914">
      <c r="A1914" s="1">
        <v>4.0</v>
      </c>
      <c r="B1914" s="1" t="s">
        <v>1912</v>
      </c>
      <c r="C1914" t="str">
        <f>IFERROR(__xludf.DUMMYFUNCTION("GOOGLETRANSLATE(B1914, ""zh"", ""en"")"),"Nice slacks much higher than the domestic price, a little elastic cotton, cotton content may not particularly high, once washed not fade, 170cm, 66kg, years ago 70kg, the current reduction of 5kg, 33L29, waist a little loose, relatively fit, I like a litt"&amp;"le loose pants, pants waist my domestic general election 2.52 feet 2.46 can wear, a little tight,")</f>
        <v>Nice slacks much higher than the domestic price, a little elastic cotton, cotton content may not particularly high, once washed not fade, 170cm, 66kg, years ago 70kg, the current reduction of 5kg, 33L29, waist a little loose, relatively fit, I like a little loose pants, pants waist my domestic general election 2.52 feet 2.46 can wear, a little tight,</v>
      </c>
    </row>
    <row r="1915">
      <c r="A1915" s="1">
        <v>4.0</v>
      </c>
      <c r="B1915" s="1" t="s">
        <v>1913</v>
      </c>
      <c r="C1915" t="str">
        <f>IFERROR(__xludf.DUMMYFUNCTION("GOOGLETRANSLATE(B1915, ""zh"", ""en"")"),"Quality okay 172CM, 76kg, M code slightly loose, clothing and body a little long")</f>
        <v>Quality okay 172CM, 76kg, M code slightly loose, clothing and body a little long</v>
      </c>
    </row>
    <row r="1916">
      <c r="A1916" s="1">
        <v>4.0</v>
      </c>
      <c r="B1916" s="1" t="s">
        <v>1914</v>
      </c>
      <c r="C1916" t="str">
        <f>IFERROR(__xludf.DUMMYFUNCTION("GOOGLETRANSLATE(B1916, ""zh"", ""en"")"),"Walk creaking bad soles, creaking when walking, especially on a hard surface, can not wear to the unit")</f>
        <v>Walk creaking bad soles, creaking when walking, especially on a hard surface, can not wear to the unit</v>
      </c>
    </row>
    <row r="1917">
      <c r="A1917" s="1">
        <v>4.0</v>
      </c>
      <c r="B1917" s="1" t="s">
        <v>1915</v>
      </c>
      <c r="C1917" t="str">
        <f>IFERROR(__xludf.DUMMYFUNCTION("GOOGLETRANSLATE(B1917, ""zh"", ""en"")"),"Slightly overall fat version and the fabric is also good, but in my body yet a little bit fat, lean careful to buy")</f>
        <v>Slightly overall fat version and the fabric is also good, but in my body yet a little bit fat, lean careful to buy</v>
      </c>
    </row>
    <row r="1918">
      <c r="A1918" s="1">
        <v>5.0</v>
      </c>
      <c r="B1918" s="1" t="s">
        <v>1916</v>
      </c>
      <c r="C1918" t="str">
        <f>IFERROR(__xludf.DUMMYFUNCTION("GOOGLETRANSLATE(B1918, ""zh"", ""en"")"),"It did not taste very good, good quality, not made in China, Thailand, which still can not remember, a total of two.")</f>
        <v>It did not taste very good, good quality, not made in China, Thailand, which still can not remember, a total of two.</v>
      </c>
    </row>
    <row r="1919">
      <c r="A1919" s="1">
        <v>5.0</v>
      </c>
      <c r="B1919" s="1" t="s">
        <v>1917</v>
      </c>
      <c r="C1919" t="str">
        <f>IFERROR(__xludf.DUMMYFUNCTION("GOOGLETRANSLATE(B1919, ""zh"", ""en"")"),"Easy to use, easy to use multi-Tuen point, just add food supplement use it - but will crack over time, so multi-store point ~")</f>
        <v>Easy to use, easy to use multi-Tuen point, just add food supplement use it - but will crack over time, so multi-store point ~</v>
      </c>
    </row>
    <row r="1920">
      <c r="A1920" s="1">
        <v>5.0</v>
      </c>
      <c r="B1920" s="1" t="s">
        <v>1918</v>
      </c>
      <c r="C1920" t="str">
        <f>IFERROR(__xludf.DUMMYFUNCTION("GOOGLETRANSLATE(B1920, ""zh"", ""en"")"),"Something good! Very fragrant very fragrant incense! Sweet sweet sweet! Water adds a drink endless, it is less fragrant sweet!")</f>
        <v>Something good! Very fragrant very fragrant incense! Sweet sweet sweet! Water adds a drink endless, it is less fragrant sweet!</v>
      </c>
    </row>
    <row r="1921">
      <c r="A1921" s="1">
        <v>5.0</v>
      </c>
      <c r="B1921" s="1" t="s">
        <v>1919</v>
      </c>
      <c r="C1921" t="str">
        <f>IFERROR(__xludf.DUMMYFUNCTION("GOOGLETRANSLATE(B1921, ""zh"", ""en"")"),"Ecco good foot feeling can usually wear, can also be worn when the referee, a rare good shoes")</f>
        <v>Ecco good foot feeling can usually wear, can also be worn when the referee, a rare good shoes</v>
      </c>
    </row>
    <row r="1922">
      <c r="A1922" s="1">
        <v>5.0</v>
      </c>
      <c r="B1922" s="1" t="s">
        <v>1920</v>
      </c>
      <c r="C1922" t="str">
        <f>IFERROR(__xludf.DUMMYFUNCTION("GOOGLETRANSLATE(B1922, ""zh"", ""en"")"),"Nice purple very cute! Also very comfortable to wear")</f>
        <v>Nice purple very cute! Also very comfortable to wear</v>
      </c>
    </row>
    <row r="1923">
      <c r="A1923" s="1">
        <v>5.0</v>
      </c>
      <c r="B1923" s="1" t="s">
        <v>1921</v>
      </c>
      <c r="C1923" t="str">
        <f>IFERROR(__xludf.DUMMYFUNCTION("GOOGLETRANSLATE(B1923, ""zh"", ""en"")"),"The first Amazon satisfying shopping satisfaction did not taste good quality")</f>
        <v>The first Amazon satisfying shopping satisfaction did not taste good quality</v>
      </c>
    </row>
    <row r="1924">
      <c r="A1924" s="1">
        <v>5.0</v>
      </c>
      <c r="B1924" s="1" t="s">
        <v>1922</v>
      </c>
      <c r="C1924" t="str">
        <f>IFERROR(__xludf.DUMMYFUNCTION("GOOGLETRANSLATE(B1924, ""zh"", ""en"")"),"Good high-capacity hard disk, high cost")</f>
        <v>Good high-capacity hard disk, high cost</v>
      </c>
    </row>
    <row r="1925">
      <c r="A1925" s="1">
        <v>5.0</v>
      </c>
      <c r="B1925" s="1" t="s">
        <v>1923</v>
      </c>
      <c r="C1925" t="str">
        <f>IFERROR(__xludf.DUMMYFUNCTION("GOOGLETRANSLATE(B1925, ""zh"", ""en"")"),"not bad. Thin fabric shoes, but the exact size.")</f>
        <v>not bad. Thin fabric shoes, but the exact size.</v>
      </c>
    </row>
    <row r="1926">
      <c r="A1926" s="1">
        <v>5.0</v>
      </c>
      <c r="B1926" s="1" t="s">
        <v>1924</v>
      </c>
      <c r="C1926" t="str">
        <f>IFERROR(__xludf.DUMMYFUNCTION("GOOGLETRANSLATE(B1926, ""zh"", ""en"")"),"Special packages, by slowly. A large number of store goods, and slowly use.")</f>
        <v>Special packages, by slowly. A large number of store goods, and slowly use.</v>
      </c>
    </row>
    <row r="1927">
      <c r="A1927" s="1">
        <v>5.0</v>
      </c>
      <c r="B1927" s="1" t="s">
        <v>1925</v>
      </c>
      <c r="C1927" t="str">
        <f>IFERROR(__xludf.DUMMYFUNCTION("GOOGLETRANSLATE(B1927, ""zh"", ""en"")"),"Well require long-term treatment with large doses of d3, only a few years ago to buy from abroad Trustee everywhere, now scouring the sea is really a big problem to solve")</f>
        <v>Well require long-term treatment with large doses of d3, only a few years ago to buy from abroad Trustee everywhere, now scouring the sea is really a big problem to solve</v>
      </c>
    </row>
    <row r="1928">
      <c r="A1928" s="1">
        <v>5.0</v>
      </c>
      <c r="B1928" s="1" t="s">
        <v>1926</v>
      </c>
      <c r="C1928" t="str">
        <f>IFERROR(__xludf.DUMMYFUNCTION("GOOGLETRANSLATE(B1928, ""zh"", ""en"")"),"Mobile hard good like. It can be configured like a box or bag of such a loading of.")</f>
        <v>Mobile hard good like. It can be configured like a box or bag of such a loading of.</v>
      </c>
    </row>
    <row r="1929">
      <c r="A1929" s="1">
        <v>5.0</v>
      </c>
      <c r="B1929" s="1" t="s">
        <v>1927</v>
      </c>
      <c r="C1929" t="str">
        <f>IFERROR(__xludf.DUMMYFUNCTION("GOOGLETRANSLATE(B1929, ""zh"", ""en"")"),"Affordable very suitable logistics to force")</f>
        <v>Affordable very suitable logistics to force</v>
      </c>
    </row>
    <row r="1930">
      <c r="A1930" s="1">
        <v>5.0</v>
      </c>
      <c r="B1930" s="1" t="s">
        <v>1928</v>
      </c>
      <c r="C1930" t="str">
        <f>IFERROR(__xludf.DUMMYFUNCTION("GOOGLETRANSLATE(B1930, ""zh"", ""en"")"),"I feel pretty good baby bottle use almost 3 months, and did not used other bottles, I feel pretty good, quite like the baby, sometimes you can hold yourself to eat! Can Shuitang and microwave disinfection")</f>
        <v>I feel pretty good baby bottle use almost 3 months, and did not used other bottles, I feel pretty good, quite like the baby, sometimes you can hold yourself to eat! Can Shuitang and microwave disinfection</v>
      </c>
    </row>
    <row r="1931">
      <c r="A1931" s="1">
        <v>5.0</v>
      </c>
      <c r="B1931" s="1" t="s">
        <v>1929</v>
      </c>
      <c r="C1931" t="str">
        <f>IFERROR(__xludf.DUMMYFUNCTION("GOOGLETRANSLATE(B1931, ""zh"", ""en"")"),"Shoes and boots is praise is praise, but also to the spike, very cheap, ^ _ ^, the size of just one yards better than Nike")</f>
        <v>Shoes and boots is praise is praise, but also to the spike, very cheap, ^ _ ^, the size of just one yards better than Nike</v>
      </c>
    </row>
    <row r="1932">
      <c r="A1932" s="1">
        <v>5.0</v>
      </c>
      <c r="B1932" s="1" t="s">
        <v>1930</v>
      </c>
      <c r="C1932" t="str">
        <f>IFERROR(__xludf.DUMMYFUNCTION("GOOGLETRANSLATE(B1932, ""zh"", ""en"")"),"Good quality is very beautiful, simple and elegant style.")</f>
        <v>Good quality is very beautiful, simple and elegant style.</v>
      </c>
    </row>
    <row r="1933">
      <c r="A1933" s="1">
        <v>5.0</v>
      </c>
      <c r="B1933" s="1" t="s">
        <v>1931</v>
      </c>
      <c r="C1933" t="str">
        <f>IFERROR(__xludf.DUMMYFUNCTION("GOOGLETRANSLATE(B1933, ""zh"", ""en"")"),"Brief Encounter machine more than a week they received, and bought Shun red transformer 3000W, the very match, has been used for almost a month, utilization is high, there is the milk often do chickpea paste, according to a Buyers recommended recipes made"&amp;" peanut milk (a boiled peanut + milk + 1/3 +2/3 of the water a few dates, no sugar has sweet), her daughter said super tasty, often at home now cooked some beans in the fridge in the morning soon be able to drink a glass of warm milk variety, there are su"&amp;"gar white fungus Sydney, you can also use it churned white fungus soup, taste particularly good, it should also be better absorbed . I would recommend it to friends around the health-conscious. Also I prefer places that operation and simple, when using th"&amp;"e card without rotation on the base, in the direction of placement directly on it, the cup is not heavy, girls used to take it easy, especially easy to clean, so these its higher usage.")</f>
        <v>Brief Encounter machine more than a week they received, and bought Shun red transformer 3000W, the very match, has been used for almost a month, utilization is high, there is the milk often do chickpea paste, according to a Buyers recommended recipes made peanut milk (a boiled peanut + milk + 1/3 +2/3 of the water a few dates, no sugar has sweet), her daughter said super tasty, often at home now cooked some beans in the fridge in the morning soon be able to drink a glass of warm milk variety, there are sugar white fungus Sydney, you can also use it churned white fungus soup, taste particularly good, it should also be better absorbed . I would recommend it to friends around the health-conscious. Also I prefer places that operation and simple, when using the card without rotation on the base, in the direction of placement directly on it, the cup is not heavy, girls used to take it easy, especially easy to clean, so these its higher usage.</v>
      </c>
    </row>
    <row r="1934">
      <c r="A1934" s="1">
        <v>5.0</v>
      </c>
      <c r="B1934" s="1" t="s">
        <v>1932</v>
      </c>
      <c r="C1934" t="str">
        <f>IFERROR(__xludf.DUMMYFUNCTION("GOOGLETRANSLATE(B1934, ""zh"", ""en"")"),"Very satisfied, it looks very nice, good quality, practical and very satisfied, looks very nice, very good quality, but also practical")</f>
        <v>Very satisfied, it looks very nice, good quality, practical and very satisfied, looks very nice, very good quality, but also practical</v>
      </c>
    </row>
    <row r="1935">
      <c r="A1935" s="1">
        <v>5.0</v>
      </c>
      <c r="B1935" s="1" t="s">
        <v>1933</v>
      </c>
      <c r="C1935" t="str">
        <f>IFERROR(__xludf.DUMMYFUNCTION("GOOGLETRANSLATE(B1935, ""zh"", ""en"")"),"Comfortable very appropriate, 170cm, 68kg, M number is just a good, good design, the fabric is very comfortable.")</f>
        <v>Comfortable very appropriate, 170cm, 68kg, M number is just a good, good design, the fabric is very comfortable.</v>
      </c>
    </row>
    <row r="1936">
      <c r="A1936" s="1">
        <v>5.0</v>
      </c>
      <c r="B1936" s="1" t="s">
        <v>1934</v>
      </c>
      <c r="C1936" t="str">
        <f>IFERROR(__xludf.DUMMYFUNCTION("GOOGLETRANSLATE(B1936, ""zh"", ""en"")"),"Satisfied with the quality of clearance, warm okay, I 179/80")</f>
        <v>Satisfied with the quality of clearance, warm okay, I 179/80</v>
      </c>
    </row>
    <row r="1937">
      <c r="A1937" s="1">
        <v>5.0</v>
      </c>
      <c r="B1937" s="1" t="s">
        <v>1935</v>
      </c>
      <c r="C1937" t="str">
        <f>IFERROR(__xludf.DUMMYFUNCTION("GOOGLETRANSLATE(B1937, ""zh"", ""en"")"),"Anyway, very good buy cheaper than domestic authentic if I had a child also would estimate it has been soaked in the Amazon")</f>
        <v>Anyway, very good buy cheaper than domestic authentic if I had a child also would estimate it has been soaked in the Amazon</v>
      </c>
    </row>
    <row r="1938">
      <c r="A1938" s="1">
        <v>5.0</v>
      </c>
      <c r="B1938" s="1" t="s">
        <v>1936</v>
      </c>
      <c r="C1938" t="str">
        <f>IFERROR(__xludf.DUMMYFUNCTION("GOOGLETRANSLATE(B1938, ""zh"", ""en"")"),"Bottle pretty good stockpile of waiting for the baby born")</f>
        <v>Bottle pretty good stockpile of waiting for the baby born</v>
      </c>
    </row>
    <row r="1939">
      <c r="A1939" s="1">
        <v>5.0</v>
      </c>
      <c r="B1939" s="1" t="s">
        <v>1937</v>
      </c>
      <c r="C1939" t="str">
        <f>IFERROR(__xludf.DUMMYFUNCTION("GOOGLETRANSLATE(B1939, ""zh"", ""en"")"),"Genuine, packaging intact Oh, about a week of arrival, genuine, like this one")</f>
        <v>Genuine, packaging intact Oh, about a week of arrival, genuine, like this one</v>
      </c>
    </row>
    <row r="1940">
      <c r="A1940" s="1">
        <v>2.0</v>
      </c>
      <c r="B1940" s="1" t="s">
        <v>1938</v>
      </c>
      <c r="C1940" t="str">
        <f>IFERROR(__xludf.DUMMYFUNCTION("GOOGLETRANSLATE(B1940, ""zh"", ""en"")"),"Banana chews disinfection before each use, clean, showed the baby can not play for a while very sticky ash, and low price, do not know is not genuine, too easy to dirty.")</f>
        <v>Banana chews disinfection before each use, clean, showed the baby can not play for a while very sticky ash, and low price, do not know is not genuine, too easy to dirty.</v>
      </c>
    </row>
    <row r="1941">
      <c r="A1941" s="1">
        <v>3.0</v>
      </c>
      <c r="B1941" s="1" t="s">
        <v>1939</v>
      </c>
      <c r="C1941" t="str">
        <f>IFERROR(__xludf.DUMMYFUNCTION("GOOGLETRANSLATE(B1941, ""zh"", ""en"")"),"Not ideal, not a lot of details seconds loud, and the second hand are not allowed, and take it, I will go back and shake half grid. Because it is cloth strap, lead the table is a direct cut, some forked thread")</f>
        <v>Not ideal, not a lot of details seconds loud, and the second hand are not allowed, and take it, I will go back and shake half grid. Because it is cloth strap, lead the table is a direct cut, some forked thread</v>
      </c>
    </row>
    <row r="1942">
      <c r="A1942" s="1">
        <v>3.0</v>
      </c>
      <c r="B1942" s="1" t="s">
        <v>1940</v>
      </c>
      <c r="C1942" t="str">
        <f>IFERROR(__xludf.DUMMYFUNCTION("GOOGLETRANSLATE(B1942, ""zh"", ""en"")"),"Table Pianman speed Pianman table speed, as described with the seller, in 3-4 month deceleration walking minutes")</f>
        <v>Table Pianman speed Pianman table speed, as described with the seller, in 3-4 month deceleration walking minutes</v>
      </c>
    </row>
    <row r="1943">
      <c r="A1943" s="1">
        <v>3.0</v>
      </c>
      <c r="B1943" s="1" t="s">
        <v>1941</v>
      </c>
      <c r="C1943" t="str">
        <f>IFERROR(__xludf.DUMMYFUNCTION("GOOGLETRANSLATE(B1943, ""zh"", ""en"")"),"Good results, but the date is not good! September 9 arrived, but expired on December 17, and also the period covered by stickers!")</f>
        <v>Good results, but the date is not good! September 9 arrived, but expired on December 17, and also the period covered by stickers!</v>
      </c>
    </row>
    <row r="1944">
      <c r="A1944" s="1">
        <v>1.0</v>
      </c>
      <c r="B1944" s="1" t="s">
        <v>1942</v>
      </c>
      <c r="C1944" t="str">
        <f>IFERROR(__xludf.DUMMYFUNCTION("GOOGLETRANSLATE(B1944, ""zh"", ""en"")"),"A month on the bad really not, though wearing comfortable, quality drinking water to put up, the question is of very poor quality, can not boot a month, and he will be able to open a little pulling power on the line, I checked, this there are many kinds o"&amp;"f situations, hey")</f>
        <v>A month on the bad really not, though wearing comfortable, quality drinking water to put up, the question is of very poor quality, can not boot a month, and he will be able to open a little pulling power on the line, I checked, this there are many kinds of situations, hey</v>
      </c>
    </row>
    <row r="1945">
      <c r="A1945" s="1">
        <v>1.0</v>
      </c>
      <c r="B1945" s="1" t="s">
        <v>1943</v>
      </c>
      <c r="C1945" t="str">
        <f>IFERROR(__xludf.DUMMYFUNCTION("GOOGLETRANSLATE(B1945, ""zh"", ""en"")"),"Poor pluse this key, how the press can not be restored; probably because of transport problems, leading to the base split")</f>
        <v>Poor pluse this key, how the press can not be restored; probably because of transport problems, leading to the base split</v>
      </c>
    </row>
    <row r="1946">
      <c r="A1946" s="1">
        <v>1.0</v>
      </c>
      <c r="B1946" s="1" t="s">
        <v>1944</v>
      </c>
      <c r="C1946" t="str">
        <f>IFERROR(__xludf.DUMMYFUNCTION("GOOGLETRANSLATE(B1946, ""zh"", ""en"")"),"Bad service and describe the size of a little different, too big, I was selected as described in size, had wanted to retire, customer service repeatedly stressed how expensive shipping costs, but also kept asking how inappropriate, I put it bluntly bloate"&amp;"d, does not look good, the finish also asked me to describe, I am according to your size to buy, wear inappropriate, that does not look good, I describe how, also said to buy big, freight he spent a total of not much money, bear customer service repeated "&amp;"grinding grumble, well, I wish I had, and then another electricity supplier as well as seven days no reason to return, you can also choose to logistics, this can not be, members of what is available, the Amazon have nothing, only some of their own interes"&amp;"ts, he would not buy this thing, I will not use this electricity supplier, if you can comment zero, I will")</f>
        <v>Bad service and describe the size of a little different, too big, I was selected as described in size, had wanted to retire, customer service repeatedly stressed how expensive shipping costs, but also kept asking how inappropriate, I put it bluntly bloated, does not look good, the finish also asked me to describe, I am according to your size to buy, wear inappropriate, that does not look good, I describe how, also said to buy big, freight he spent a total of not much money, bear customer service repeated grinding grumble, well, I wish I had, and then another electricity supplier as well as seven days no reason to return, you can also choose to logistics, this can not be, members of what is available, the Amazon have nothing, only some of their own interests, he would not buy this thing, I will not use this electricity supplier, if you can comment zero, I will</v>
      </c>
    </row>
    <row r="1947">
      <c r="A1947" s="1">
        <v>4.0</v>
      </c>
      <c r="B1947" s="1" t="s">
        <v>1945</v>
      </c>
      <c r="C1947" t="str">
        <f>IFERROR(__xludf.DUMMYFUNCTION("GOOGLETRANSLATE(B1947, ""zh"", ""en"")"),"Sometimes you can not find ""Seagate"" My Device: DELL desktop machine, after upgrading the win10 system. When turned on, you can sometimes see ""Seagate"", sometimes can not see.")</f>
        <v>Sometimes you can not find "Seagate" My Device: DELL desktop machine, after upgrading the win10 system. When turned on, you can sometimes see "Seagate", sometimes can not see.</v>
      </c>
    </row>
    <row r="1948">
      <c r="A1948" s="1">
        <v>4.0</v>
      </c>
      <c r="B1948" s="1" t="s">
        <v>1946</v>
      </c>
      <c r="C1948" t="str">
        <f>IFERROR(__xludf.DUMMYFUNCTION("GOOGLETRANSLATE(B1948, ""zh"", ""en"")"),"Buy a bigger bar my height 176 weight 77kg. After reading reviews chose xl, but still feel a bit small. Now wearing just is worried about shrinking after washing")</f>
        <v>Buy a bigger bar my height 176 weight 77kg. After reading reviews chose xl, but still feel a bit small. Now wearing just is worried about shrinking after washing</v>
      </c>
    </row>
    <row r="1949">
      <c r="A1949" s="1">
        <v>4.0</v>
      </c>
      <c r="B1949" s="1" t="s">
        <v>1947</v>
      </c>
      <c r="C1949" t="str">
        <f>IFERROR(__xludf.DUMMYFUNCTION("GOOGLETRANSLATE(B1949, ""zh"", ""en"")"),"Speed ​​faster than expected, leather good, think big size half a yard, wear comfortable at this price is definitely value for money, continue to focus on")</f>
        <v>Speed ​​faster than expected, leather good, think big size half a yard, wear comfortable at this price is definitely value for money, continue to focus on</v>
      </c>
    </row>
    <row r="1950">
      <c r="A1950" s="1">
        <v>4.0</v>
      </c>
      <c r="B1950" s="1" t="s">
        <v>1948</v>
      </c>
      <c r="C1950" t="str">
        <f>IFERROR(__xludf.DUMMYFUNCTION("GOOGLETRANSLATE(B1950, ""zh"", ""en"")"),"Thick socks very thick, cotton full texture! It is too large, just to wear Dad!")</f>
        <v>Thick socks very thick, cotton full texture! It is too large, just to wear Dad!</v>
      </c>
    </row>
    <row r="1951">
      <c r="A1951" s="1">
        <v>5.0</v>
      </c>
      <c r="B1951" s="1" t="s">
        <v>1949</v>
      </c>
      <c r="C1951" t="str">
        <f>IFERROR(__xludf.DUMMYFUNCTION("GOOGLETRANSLATE(B1951, ""zh"", ""en"")"),"Something good, something good logistics ultrafast, look just fine, one week can hand the speed of logistics is like, practical capacity of 3.63T")</f>
        <v>Something good, something good logistics ultrafast, look just fine, one week can hand the speed of logistics is like, practical capacity of 3.63T</v>
      </c>
    </row>
    <row r="1952">
      <c r="A1952" s="1">
        <v>5.0</v>
      </c>
      <c r="B1952" s="1" t="s">
        <v>1950</v>
      </c>
      <c r="C1952" t="str">
        <f>IFERROR(__xludf.DUMMYFUNCTION("GOOGLETRANSLATE(B1952, ""zh"", ""en"")"),"Good stuff, buy no regrets! In the case already has the Sennheiser HD800, IE800 other high-end headphones, also bought this used to be the more popular brand's flagship headphones, purely for adventure and fun-not returned it. However, after playing for s"&amp;"ome time, feeling that buy the right! Whether it is from the only headset sound quality, materials or workmanship is very good. Manufacturers conscience, conscience products, especially in the Adriatic conscience outsourcing. Worth thumbs up! (Headphones "&amp;"need to burn more than 100 hours)")</f>
        <v>Good stuff, buy no regrets! In the case already has the Sennheiser HD800, IE800 other high-end headphones, also bought this used to be the more popular brand's flagship headphones, purely for adventure and fun-not returned it. However, after playing for some time, feeling that buy the right! Whether it is from the only headset sound quality, materials or workmanship is very good. Manufacturers conscience, conscience products, especially in the Adriatic conscience outsourcing. Worth thumbs up! (Headphones need to burn more than 100 hours)</v>
      </c>
    </row>
    <row r="1953">
      <c r="A1953" s="1">
        <v>5.0</v>
      </c>
      <c r="B1953" s="1" t="s">
        <v>1951</v>
      </c>
      <c r="C1953" t="str">
        <f>IFERROR(__xludf.DUMMYFUNCTION("GOOGLETRANSLATE(B1953, ""zh"", ""en"")"),"Very good table! ! ! In fact, buy this table is to buy movement, because he is CASIO, there will be no excess in the design and production of good movement and yet so cheap, the CASIO so cheap can buy a table is really very happy. In fact, although simple"&amp;", but is actually very simple and elegant, I took more than a year, colleagues say very simple and stylish, very good with clothes, of course, it also depends on what kind of person band (Oh), more suitable for young professionals and students but why giv"&amp;"e people the feeling of simple, I think it is a problem on the packaging, should be used more stylish materials and packaging, can be worthy of this table, this table but then I found that many people use, because it is very durable , you can take 5-year "&amp;"battery, more than any before I bought a watch are durable, although my tone was a bit of care, but this is really my real-life experience, prior to the time just received does have struggled, but later found casio really is the design and production, ver"&amp;"y good, not what people will enjoy! ! ! ! ! ! ! ! ! ! ! ! ! ! ! ! ! ! ! ! ! ! !")</f>
        <v>Very good table! ! ! In fact, buy this table is to buy movement, because he is CASIO, there will be no excess in the design and production of good movement and yet so cheap, the CASIO so cheap can buy a table is really very happy. In fact, although simple, but is actually very simple and elegant, I took more than a year, colleagues say very simple and stylish, very good with clothes, of course, it also depends on what kind of person band (Oh), more suitable for young professionals and students but why give people the feeling of simple, I think it is a problem on the packaging, should be used more stylish materials and packaging, can be worthy of this table, this table but then I found that many people use, because it is very durable , you can take 5-year battery, more than any before I bought a watch are durable, although my tone was a bit of care, but this is really my real-life experience, prior to the time just received does have struggled, but later found casio really is the design and production, very good, not what people will enjoy! ! ! ! ! ! ! ! ! ! ! ! ! ! ! ! ! ! ! ! ! ! !</v>
      </c>
    </row>
    <row r="1954">
      <c r="A1954" s="1">
        <v>5.0</v>
      </c>
      <c r="B1954" s="1" t="s">
        <v>1952</v>
      </c>
      <c r="C1954" t="str">
        <f>IFERROR(__xludf.DUMMYFUNCTION("GOOGLETRANSLATE(B1954, ""zh"", ""en"")"),"Yes! Like the style, the color is also very good, wearing fit, comfortable. Not like underwear, fabrics are too hard.")</f>
        <v>Yes! Like the style, the color is also very good, wearing fit, comfortable. Not like underwear, fabrics are too hard.</v>
      </c>
    </row>
    <row r="1955">
      <c r="A1955" s="1">
        <v>5.0</v>
      </c>
      <c r="B1955" s="1" t="s">
        <v>1953</v>
      </c>
      <c r="C1955" t="str">
        <f>IFERROR(__xludf.DUMMYFUNCTION("GOOGLETRANSLATE(B1955, ""zh"", ""en"")"),"Cost can 172cm, 90kg, L No. suitable, slightly tight. Clothes are not thick. Long sleeves, can also be accepted. Little sticky black hair. Ready to set pieces XL, or like loose points.")</f>
        <v>Cost can 172cm, 90kg, L No. suitable, slightly tight. Clothes are not thick. Long sleeves, can also be accepted. Little sticky black hair. Ready to set pieces XL, or like loose points.</v>
      </c>
    </row>
    <row r="1956">
      <c r="A1956" s="1">
        <v>5.0</v>
      </c>
      <c r="B1956" s="1" t="s">
        <v>1954</v>
      </c>
      <c r="C1956" t="str">
        <f>IFERROR(__xludf.DUMMYFUNCTION("GOOGLETRANSLATE(B1956, ""zh"", ""en"")"),"Never bought before the high impedance headphones very good headset, that this is difficult to push. However, after just received the goods, tried using a mobile phone, the sound is so large, and some people say there is no line of Direct Push mosquito so"&amp;"und. . . But also, of course, sounds great does not mean it does not need to amp up. Go back and listened carefully as well as Chopin's first two drop-down Steel Association, with the HM650 + power push the card straight, all in all, I was quite satisfied"&amp;" with the results. Work is also very good, than my previous K701 to feel Naicao more. Wearing comfort is acceptable, because my head is relatively large, some chuck, but also good, acceptable, most people do not think there should be a chuck. But of cours"&amp;"e there are some problems: First, the symphony sounds relatively sharp percussion, such as the gong sounds very unpleasant harsh. As for the bass, I think it is quite enough, but the feeling is not so smooth, there are always glitches feeling. I do not kn"&amp;"ow because the new headphones did not open burning or how, I hope the future will be better now. Second telephone line looks very high-end professional, but actual use of it ,,, feel more boring, especially when the telephone line suspended, always feel t"&amp;"hat there is a heavy thing, he took the same head. After listening to two days to write comments may be less accurate, for reference purposes only.")</f>
        <v>Never bought before the high impedance headphones very good headset, that this is difficult to push. However, after just received the goods, tried using a mobile phone, the sound is so large, and some people say there is no line of Direct Push mosquito sound. . . But also, of course, sounds great does not mean it does not need to amp up. Go back and listened carefully as well as Chopin's first two drop-down Steel Association, with the HM650 + power push the card straight, all in all, I was quite satisfied with the results. Work is also very good, than my previous K701 to feel Naicao more. Wearing comfort is acceptable, because my head is relatively large, some chuck, but also good, acceptable, most people do not think there should be a chuck. But of course there are some problems: First, the symphony sounds relatively sharp percussion, such as the gong sounds very unpleasant harsh. As for the bass, I think it is quite enough, but the feeling is not so smooth, there are always glitches feeling. I do not know because the new headphones did not open burning or how, I hope the future will be better now. Second telephone line looks very high-end professional, but actual use of it ,,, feel more boring, especially when the telephone line suspended, always feel that there is a heavy thing, he took the same head. After listening to two days to write comments may be less accurate, for reference purposes only.</v>
      </c>
    </row>
    <row r="1957">
      <c r="A1957" s="1">
        <v>5.0</v>
      </c>
      <c r="B1957" s="1" t="s">
        <v>1955</v>
      </c>
      <c r="C1957" t="str">
        <f>IFERROR(__xludf.DUMMYFUNCTION("GOOGLETRANSLATE(B1957, ""zh"", ""en"")"),"Legendary headphones really clean, comfortable listening")</f>
        <v>Legendary headphones really clean, comfortable listening</v>
      </c>
    </row>
    <row r="1958">
      <c r="A1958" s="1">
        <v>5.0</v>
      </c>
      <c r="B1958" s="1" t="s">
        <v>1956</v>
      </c>
      <c r="C1958" t="str">
        <f>IFERROR(__xludf.DUMMYFUNCTION("GOOGLETRANSLATE(B1958, ""zh"", ""en"")"),"Clothes length bust sleeve fertilizer I height 180cm weight 63kg wear L code is just a short shoulder sleeve bust fat fat clothes work well good fabric is very thick winter wear should not have any problems")</f>
        <v>Clothes length bust sleeve fertilizer I height 180cm weight 63kg wear L code is just a short shoulder sleeve bust fat fat clothes work well good fabric is very thick winter wear should not have any problems</v>
      </c>
    </row>
    <row r="1959">
      <c r="A1959" s="1">
        <v>5.0</v>
      </c>
      <c r="B1959" s="1" t="s">
        <v>1957</v>
      </c>
      <c r="C1959" t="str">
        <f>IFERROR(__xludf.DUMMYFUNCTION("GOOGLETRANSLATE(B1959, ""zh"", ""en"")"),"Height 182, weight 158. Buy 33X32, and just right. Height 182, weight 158. Buy 33X32, and just right. Pants quality did not have to say, with the introduction of overseas purchase, I basically do not buy things from the United States and Asia, all buttone"&amp;"d purchased directly in the Adriatic, not freight revenue. Tax that point on when the freight forwarding.")</f>
        <v>Height 182, weight 158. Buy 33X32, and just right. Height 182, weight 158. Buy 33X32, and just right. Pants quality did not have to say, with the introduction of overseas purchase, I basically do not buy things from the United States and Asia, all buttoned purchased directly in the Adriatic, not freight revenue. Tax that point on when the freight forwarding.</v>
      </c>
    </row>
    <row r="1960">
      <c r="A1960" s="1">
        <v>5.0</v>
      </c>
      <c r="B1960" s="1" t="s">
        <v>1958</v>
      </c>
      <c r="C1960" t="str">
        <f>IFERROR(__xludf.DUMMYFUNCTION("GOOGLETRANSLATE(B1960, ""zh"", ""en"")"),"Awesome value of a purchase. Bottle is Japan's direct mail, received a few days feel good, with boiling water, disinfection cabinet disinfection no smell, praise! Mother and child in the country before the store bought four or five Pigeon nipple, after al"&amp;"so bought a Pigeon bottle child king APP above, after disinfecting teat surfaces are weeping weeping, and great an odor, no wonder before the baby resist eat bottle. Amazon to buy this bottle of overseas Japanese direct mail very well, lightweight, six an"&amp;"d a half months baby can eat obediently once 160ml, I also resolve a major problem, after then bigger we will be able to hold his own bottle feeding up.")</f>
        <v>Awesome value of a purchase. Bottle is Japan's direct mail, received a few days feel good, with boiling water, disinfection cabinet disinfection no smell, praise! Mother and child in the country before the store bought four or five Pigeon nipple, after also bought a Pigeon bottle child king APP above, after disinfecting teat surfaces are weeping weeping, and great an odor, no wonder before the baby resist eat bottle. Amazon to buy this bottle of overseas Japanese direct mail very well, lightweight, six and a half months baby can eat obediently once 160ml, I also resolve a major problem, after then bigger we will be able to hold his own bottle feeding up.</v>
      </c>
    </row>
    <row r="1961">
      <c r="A1961" s="1">
        <v>5.0</v>
      </c>
      <c r="B1961" s="1" t="s">
        <v>1959</v>
      </c>
      <c r="C1961" t="str">
        <f>IFERROR(__xludf.DUMMYFUNCTION("GOOGLETRANSLATE(B1961, ""zh"", ""en"")"),"Stockpile, face value and size can accept friend breast pump will recommend this stockpile has not been used, the size is acceptable; But why are the Dongguan production host adapter and the power of it? ? Web page information to the manufacturer to be ev"&amp;"erready first aid ah?")</f>
        <v>Stockpile, face value and size can accept friend breast pump will recommend this stockpile has not been used, the size is acceptable; But why are the Dongguan production host adapter and the power of it? ? Web page information to the manufacturer to be everready first aid ah?</v>
      </c>
    </row>
    <row r="1962">
      <c r="A1962" s="1">
        <v>5.0</v>
      </c>
      <c r="B1962" s="1" t="s">
        <v>1960</v>
      </c>
      <c r="C1962" t="str">
        <f>IFERROR(__xludf.DUMMYFUNCTION("GOOGLETRANSLATE(B1962, ""zh"", ""en"")"),"Class suit quality, size is too large, people buy to pay attention! Suit fine workmanship, top quality, code is too large, people buy to pay attention! I height 174cm, weight 60kg ,, bought 38Regular (Black Black), a lot of long coat, pants with a 31, but"&amp;" I only wear 29 pants, had to return! Ready to re next 36Regular (Navy Blue)")</f>
        <v>Class suit quality, size is too large, people buy to pay attention! Suit fine workmanship, top quality, code is too large, people buy to pay attention! I height 174cm, weight 60kg ,, bought 38Regular (Black Black), a lot of long coat, pants with a 31, but I only wear 29 pants, had to return! Ready to re next 36Regular (Navy Blue)</v>
      </c>
    </row>
    <row r="1963">
      <c r="A1963" s="1">
        <v>5.0</v>
      </c>
      <c r="B1963" s="1" t="s">
        <v>1961</v>
      </c>
      <c r="C1963" t="str">
        <f>IFERROR(__xludf.DUMMYFUNCTION("GOOGLETRANSLATE(B1963, ""zh"", ""en"")"),"Very good value for money wearing a particularly comfortable, pretty good")</f>
        <v>Very good value for money wearing a particularly comfortable, pretty good</v>
      </c>
    </row>
    <row r="1964">
      <c r="A1964" s="1">
        <v>5.0</v>
      </c>
      <c r="B1964" s="1" t="s">
        <v>1962</v>
      </c>
      <c r="C1964" t="str">
        <f>IFERROR(__xludf.DUMMYFUNCTION("GOOGLETRANSLATE(B1964, ""zh"", ""en"")"),"Standing at home this multi-dimensional mineral tablets prepared with home daily, vitamins and trace elements filled due to dietary imbalance was caused by a lack of")</f>
        <v>Standing at home this multi-dimensional mineral tablets prepared with home daily, vitamins and trace elements filled due to dietary imbalance was caused by a lack of</v>
      </c>
    </row>
    <row r="1965">
      <c r="A1965" s="1">
        <v>5.0</v>
      </c>
      <c r="B1965" s="1" t="s">
        <v>1963</v>
      </c>
      <c r="C1965" t="str">
        <f>IFERROR(__xludf.DUMMYFUNCTION("GOOGLETRANSLATE(B1965, ""zh"", ""en"")"),"Very satisfied with the quality good, no taste, baby love to chew on.")</f>
        <v>Very satisfied with the quality good, no taste, baby love to chew on.</v>
      </c>
    </row>
    <row r="1966">
      <c r="A1966" s="1">
        <v>5.0</v>
      </c>
      <c r="B1966" s="1" t="s">
        <v>1964</v>
      </c>
      <c r="C1966" t="str">
        <f>IFERROR(__xludf.DUMMYFUNCTION("GOOGLETRANSLATE(B1966, ""zh"", ""en"")"),"Like pregnancy buy a lot of things Wacoal, basic pieces are satisfied with this, be sure not to buy too big number, postpartum off the meat is still pretty fast.")</f>
        <v>Like pregnancy buy a lot of things Wacoal, basic pieces are satisfied with this, be sure not to buy too big number, postpartum off the meat is still pretty fast.</v>
      </c>
    </row>
    <row r="1967">
      <c r="A1967" s="1">
        <v>5.0</v>
      </c>
      <c r="B1967" s="1" t="s">
        <v>1965</v>
      </c>
      <c r="C1967" t="str">
        <f>IFERROR(__xludf.DUMMYFUNCTION("GOOGLETRANSLATE(B1967, ""zh"", ""en"")"),"Suitable 17,075 M suitable slightly fat")</f>
        <v>Suitable 17,075 M suitable slightly fat</v>
      </c>
    </row>
    <row r="1968">
      <c r="A1968" s="1">
        <v>5.0</v>
      </c>
      <c r="B1968" s="1" t="s">
        <v>1966</v>
      </c>
      <c r="C1968" t="str">
        <f>IFERROR(__xludf.DUMMYFUNCTION("GOOGLETRANSLATE(B1968, ""zh"", ""en"")"),"Good but I feel very comfortable right foot over left foot loose a little. According to the usual size to buy, it can be considered a suitable Diudiu large. But it does not matter anyway, tie")</f>
        <v>Good but I feel very comfortable right foot over left foot loose a little. According to the usual size to buy, it can be considered a suitable Diudiu large. But it does not matter anyway, tie</v>
      </c>
    </row>
    <row r="1969">
      <c r="A1969" s="1">
        <v>5.0</v>
      </c>
      <c r="B1969" s="1" t="s">
        <v>1967</v>
      </c>
      <c r="C1969" t="str">
        <f>IFERROR(__xludf.DUMMYFUNCTION("GOOGLETRANSLATE(B1969, ""zh"", ""en"")"),"Very good workmanship is good, with the baby when it is convenient to carry out the insulation effect can be.")</f>
        <v>Very good workmanship is good, with the baby when it is convenient to carry out the insulation effect can be.</v>
      </c>
    </row>
    <row r="1970">
      <c r="A1970" s="1">
        <v>5.0</v>
      </c>
      <c r="B1970" s="1" t="s">
        <v>1968</v>
      </c>
      <c r="C1970" t="str">
        <f>IFERROR(__xludf.DUMMYFUNCTION("GOOGLETRANSLATE(B1970, ""zh"", ""en"")"),"not bad! Very soft, suitable for children bite, children like to like.")</f>
        <v>not bad! Very soft, suitable for children bite, children like to like.</v>
      </c>
    </row>
    <row r="1971">
      <c r="A1971" s="1">
        <v>5.0</v>
      </c>
      <c r="B1971" s="1" t="s">
        <v>1969</v>
      </c>
      <c r="C1971" t="str">
        <f>IFERROR(__xludf.DUMMYFUNCTION("GOOGLETRANSLATE(B1971, ""zh"", ""en"")"),"Exquisite workmanship is very fond of, exquisite workmanship, writing smooth, flexible")</f>
        <v>Exquisite workmanship is very fond of, exquisite workmanship, writing smooth, flexible</v>
      </c>
    </row>
    <row r="1972">
      <c r="A1972" s="1">
        <v>5.0</v>
      </c>
      <c r="B1972" s="1" t="s">
        <v>1970</v>
      </c>
      <c r="C1972" t="str">
        <f>IFERROR(__xludf.DUMMYFUNCTION("GOOGLETRANSLATE(B1972, ""zh"", ""en"")"),"Beyerdynamic Beyerdynamic DT770 PRO headset professional monitoring headphones 250 ohm evening to buy the next morning arrived, the headset looks very good, very comfortable to wear, have to listen to know the sound.")</f>
        <v>Beyerdynamic Beyerdynamic DT770 PRO headset professional monitoring headphones 250 ohm evening to buy the next morning arrived, the headset looks very good, very comfortable to wear, have to listen to know the sound.</v>
      </c>
    </row>
    <row r="1973">
      <c r="A1973" s="1">
        <v>2.0</v>
      </c>
      <c r="B1973" s="1" t="s">
        <v>1971</v>
      </c>
      <c r="C1973" t="str">
        <f>IFERROR(__xludf.DUMMYFUNCTION("GOOGLETRANSLATE(B1973, ""zh"", ""en"")"),"Improper transportation transport too violent, bad outside the box, inside the box too bad! I want to sound all right")</f>
        <v>Improper transportation transport too violent, bad outside the box, inside the box too bad! I want to sound all right</v>
      </c>
    </row>
    <row r="1974">
      <c r="A1974" s="1">
        <v>3.0</v>
      </c>
      <c r="B1974" s="1" t="s">
        <v>1972</v>
      </c>
      <c r="C1974" t="str">
        <f>IFERROR(__xludf.DUMMYFUNCTION("GOOGLETRANSLATE(B1974, ""zh"", ""en"")"),"This is what is too slim style Yeah,")</f>
        <v>This is what is too slim style Yeah,</v>
      </c>
    </row>
    <row r="1975">
      <c r="A1975" s="1">
        <v>3.0</v>
      </c>
      <c r="B1975" s="1" t="s">
        <v>1973</v>
      </c>
      <c r="C1975" t="str">
        <f>IFERROR(__xludf.DUMMYFUNCTION("GOOGLETRANSLATE(B1975, ""zh"", ""en"")"),"Hand feel Made in China, the sound quality is also good. Clip have ear pain, in addition to color seriously. Recommended to buy black.")</f>
        <v>Hand feel Made in China, the sound quality is also good. Clip have ear pain, in addition to color seriously. Recommended to buy black.</v>
      </c>
    </row>
    <row r="1976">
      <c r="A1976" s="1">
        <v>1.0</v>
      </c>
      <c r="B1976" s="1" t="s">
        <v>1974</v>
      </c>
      <c r="C1976" t="str">
        <f>IFERROR(__xludf.DUMMYFUNCTION("GOOGLETRANSLATE(B1976, ""zh"", ""en"")"),"Clothes are second-hand clothes second-hand open the parcel found flannel sweater surge of liquid detergent taste of someone else's hair is just awful! Amazon has no tag clothes This is simply Diandaqike to put garbage shipped to China to sell")</f>
        <v>Clothes are second-hand clothes second-hand open the parcel found flannel sweater surge of liquid detergent taste of someone else's hair is just awful! Amazon has no tag clothes This is simply Diandaqike to put garbage shipped to China to sell</v>
      </c>
    </row>
    <row r="1977">
      <c r="A1977" s="1">
        <v>1.0</v>
      </c>
      <c r="B1977" s="1" t="s">
        <v>1975</v>
      </c>
      <c r="C1977" t="str">
        <f>IFERROR(__xludf.DUMMYFUNCTION("GOOGLETRANSLATE(B1977, ""zh"", ""en"")"),"The wrong goods! ! ! Bought three, this one is what the hell? You do not have a heart too. Had to retire, really in trouble!")</f>
        <v>The wrong goods! ! ! Bought three, this one is what the hell? You do not have a heart too. Had to retire, really in trouble!</v>
      </c>
    </row>
    <row r="1978">
      <c r="A1978" s="1">
        <v>4.0</v>
      </c>
      <c r="B1978" s="1" t="s">
        <v>1976</v>
      </c>
      <c r="C1978" t="str">
        <f>IFERROR(__xludf.DUMMYFUNCTION("GOOGLETRANSLATE(B1978, ""zh"", ""en"")"),"Good cheap, durable, comfortable, cost-effective")</f>
        <v>Good cheap, durable, comfortable, cost-effective</v>
      </c>
    </row>
    <row r="1979">
      <c r="A1979" s="1">
        <v>4.0</v>
      </c>
      <c r="B1979" s="1" t="s">
        <v>1977</v>
      </c>
      <c r="C1979" t="str">
        <f>IFERROR(__xludf.DUMMYFUNCTION("GOOGLETRANSLATE(B1979, ""zh"", ""en"")"),"Pants good, but the price should be given five-star, but the wrong goods, sent a close buy open. Well, so wear it")</f>
        <v>Pants good, but the price should be given five-star, but the wrong goods, sent a close buy open. Well, so wear it</v>
      </c>
    </row>
    <row r="1980">
      <c r="A1980" s="1">
        <v>4.0</v>
      </c>
      <c r="B1980" s="1" t="s">
        <v>1978</v>
      </c>
      <c r="C1980" t="str">
        <f>IFERROR(__xludf.DUMMYFUNCTION("GOOGLETRANSLATE(B1980, ""zh"", ""en"")"),"Advantages and defects stereo sound bilateral capacitive pickups to be fine, layering is also ratio DV comes out, is a good alternative to the fuselage section pickup microphone. There are three issues: the battery is difficult to come up with; it is a hi"&amp;"dden lever decay; no mini hot shoe adapter seat.")</f>
        <v>Advantages and defects stereo sound bilateral capacitive pickups to be fine, layering is also ratio DV comes out, is a good alternative to the fuselage section pickup microphone. There are three issues: the battery is difficult to come up with; it is a hidden lever decay; no mini hot shoe adapter seat.</v>
      </c>
    </row>
    <row r="1981">
      <c r="A1981" s="1">
        <v>4.0</v>
      </c>
      <c r="B1981" s="1" t="s">
        <v>1979</v>
      </c>
      <c r="C1981" t="str">
        <f>IFERROR(__xludf.DUMMYFUNCTION("GOOGLETRANSLATE(B1981, ""zh"", ""en"")"),"Shenru work also can not burn the sound quality is good, not evaluation, but exports to domestic sales, the price naturally enough affordable.")</f>
        <v>Shenru work also can not burn the sound quality is good, not evaluation, but exports to domestic sales, the price naturally enough affordable.</v>
      </c>
    </row>
    <row r="1982">
      <c r="A1982" s="1">
        <v>4.0</v>
      </c>
      <c r="B1982" s="1" t="s">
        <v>1980</v>
      </c>
      <c r="C1982" t="str">
        <f>IFERROR(__xludf.DUMMYFUNCTION("GOOGLETRANSLATE(B1982, ""zh"", ""en"")"),"And before the store to buy the same, in line with expectations and the store to buy the same as before, in line with expectations")</f>
        <v>And before the store to buy the same, in line with expectations and the store to buy the same as before, in line with expectations</v>
      </c>
    </row>
    <row r="1983">
      <c r="A1983" s="1">
        <v>5.0</v>
      </c>
      <c r="B1983" s="1" t="s">
        <v>1981</v>
      </c>
      <c r="C1983" t="str">
        <f>IFERROR(__xludf.DUMMYFUNCTION("GOOGLETRANSLATE(B1983, ""zh"", ""en"")"),"Very satisfied, the price is not bad receipt try it is my favorite section, the foot feels comfortable, moderate hardness, sandals money than usual to buy 43 yards shoes large a yard will be better, than the counter looks like a 44-yard try a little Diudi"&amp;"u")</f>
        <v>Very satisfied, the price is not bad receipt try it is my favorite section, the foot feels comfortable, moderate hardness, sandals money than usual to buy 43 yards shoes large a yard will be better, than the counter looks like a 44-yard try a little Diudiu</v>
      </c>
    </row>
    <row r="1984">
      <c r="A1984" s="1">
        <v>5.0</v>
      </c>
      <c r="B1984" s="1" t="s">
        <v>1982</v>
      </c>
      <c r="C1984" t="str">
        <f>IFERROR(__xludf.DUMMYFUNCTION("GOOGLETRANSLATE(B1984, ""zh"", ""en"")"),"Like the second purchase, good smoldering effect")</f>
        <v>Like the second purchase, good smoldering effect</v>
      </c>
    </row>
    <row r="1985">
      <c r="A1985" s="1">
        <v>5.0</v>
      </c>
      <c r="B1985" s="1" t="s">
        <v>1983</v>
      </c>
      <c r="C1985" t="str">
        <f>IFERROR(__xludf.DUMMYFUNCTION("GOOGLETRANSLATE(B1985, ""zh"", ""en"")"),"Brush with a good brush is very appropriate, with the child after a lot of white teeth electric toothbrush, 4 brush can be used for 8 months, very good, ha ha")</f>
        <v>Brush with a good brush is very appropriate, with the child after a lot of white teeth electric toothbrush, 4 brush can be used for 8 months, very good, ha ha</v>
      </c>
    </row>
    <row r="1986">
      <c r="A1986" s="1">
        <v>5.0</v>
      </c>
      <c r="B1986" s="1" t="s">
        <v>1984</v>
      </c>
      <c r="C1986" t="str">
        <f>IFERROR(__xludf.DUMMYFUNCTION("GOOGLETRANSLATE(B1986, ""zh"", ""en"")"),"Origin Vietnam good-looking, quality is guaranteed, the version is good-looking, with a waterproof fiber, cool, praise")</f>
        <v>Origin Vietnam good-looking, quality is guaranteed, the version is good-looking, with a waterproof fiber, cool, praise</v>
      </c>
    </row>
    <row r="1987">
      <c r="A1987" s="1">
        <v>5.0</v>
      </c>
      <c r="B1987" s="1" t="s">
        <v>1985</v>
      </c>
      <c r="C1987" t="str">
        <f>IFERROR(__xludf.DUMMYFUNCTION("GOOGLETRANSLATE(B1987, ""zh"", ""en"")"),"Value light blue, very cost-effective, origin China")</f>
        <v>Value light blue, very cost-effective, origin China</v>
      </c>
    </row>
    <row r="1988">
      <c r="A1988" s="1">
        <v>5.0</v>
      </c>
      <c r="B1988" s="1" t="s">
        <v>1986</v>
      </c>
      <c r="C1988" t="str">
        <f>IFERROR(__xludf.DUMMYFUNCTION("GOOGLETRANSLATE(B1988, ""zh"", ""en"")"),"Compact, lightweight baby has received is their favorite compact portable watches, the most important thing is the price is very reasonable, very good.")</f>
        <v>Compact, lightweight baby has received is their favorite compact portable watches, the most important thing is the price is very reasonable, very good.</v>
      </c>
    </row>
    <row r="1989">
      <c r="A1989" s="1">
        <v>5.0</v>
      </c>
      <c r="B1989" s="1" t="s">
        <v>1987</v>
      </c>
      <c r="C1989" t="str">
        <f>IFERROR(__xludf.DUMMYFUNCTION("GOOGLETRANSLATE(B1989, ""zh"", ""en"")"),"Like a little small, certainly much casual fashion fit, very like it, there is marked buy.")</f>
        <v>Like a little small, certainly much casual fashion fit, very like it, there is marked buy.</v>
      </c>
    </row>
    <row r="1990">
      <c r="A1990" s="1">
        <v>5.0</v>
      </c>
      <c r="B1990" s="1" t="s">
        <v>1988</v>
      </c>
      <c r="C1990" t="str">
        <f>IFERROR(__xludf.DUMMYFUNCTION("GOOGLETRANSLATE(B1990, ""zh"", ""en"")"),"25.5cm long shoe size selection pin, suitable to buy 265, previously bought gt2000 (42 yards wide 2e) a little tight. Gt2000 is not so obvious step on feces sense.")</f>
        <v>25.5cm long shoe size selection pin, suitable to buy 265, previously bought gt2000 (42 yards wide 2e) a little tight. Gt2000 is not so obvious step on feces sense.</v>
      </c>
    </row>
    <row r="1991">
      <c r="A1991" s="1">
        <v>5.0</v>
      </c>
      <c r="B1991" s="1" t="s">
        <v>1989</v>
      </c>
      <c r="C1991" t="str">
        <f>IFERROR(__xludf.DUMMYFUNCTION("GOOGLETRANSLATE(B1991, ""zh"", ""en"")"),"Cheap too fond of, Casio's quality is good, very accurate when taking")</f>
        <v>Cheap too fond of, Casio's quality is good, very accurate when taking</v>
      </c>
    </row>
    <row r="1992">
      <c r="A1992" s="1">
        <v>5.0</v>
      </c>
      <c r="B1992" s="1" t="s">
        <v>1990</v>
      </c>
      <c r="C1992" t="str">
        <f>IFERROR(__xludf.DUMMYFUNCTION("GOOGLETRANSLATE(B1992, ""zh"", ""en"")"),"A good percentage of spandex pants for price reasons of content a little, almost nothing elasticity. 175,80 just too fat, body length (pre-washing), but only in spring and autumn and winter wearing a close-fitting little thick Fleece Trousers on tight. If"&amp;" there are 33, 31 may also be good. Pants worth buying. 10 days of arrival.")</f>
        <v>A good percentage of spandex pants for price reasons of content a little, almost nothing elasticity. 175,80 just too fat, body length (pre-washing), but only in spring and autumn and winter wearing a close-fitting little thick Fleece Trousers on tight. If there are 33, 31 may also be good. Pants worth buying. 10 days of arrival.</v>
      </c>
    </row>
    <row r="1993">
      <c r="A1993" s="1">
        <v>5.0</v>
      </c>
      <c r="B1993" s="1" t="s">
        <v>1991</v>
      </c>
      <c r="C1993" t="str">
        <f>IFERROR(__xludf.DUMMYFUNCTION("GOOGLETRANSLATE(B1993, ""zh"", ""en"")"),"Very very good for summer")</f>
        <v>Very very good for summer</v>
      </c>
    </row>
    <row r="1994">
      <c r="A1994" s="1">
        <v>5.0</v>
      </c>
      <c r="B1994" s="1" t="s">
        <v>1992</v>
      </c>
      <c r="C1994" t="str">
        <f>IFERROR(__xludf.DUMMYFUNCTION("GOOGLETRANSLATE(B1994, ""zh"", ""en"")"),"Like a satisfying purchase experience very much, I have been to buy this brand, comfortable to wear.")</f>
        <v>Like a satisfying purchase experience very much, I have been to buy this brand, comfortable to wear.</v>
      </c>
    </row>
    <row r="1995">
      <c r="A1995" s="1">
        <v>5.0</v>
      </c>
      <c r="B1995" s="1" t="s">
        <v>1993</v>
      </c>
      <c r="C1995" t="str">
        <f>IFERROR(__xludf.DUMMYFUNCTION("GOOGLETRANSLATE(B1995, ""zh"", ""en"")"),"Victory is very good pot, a family of four is enough to use, good quality, very perfect, Bang Bang da")</f>
        <v>Victory is very good pot, a family of four is enough to use, good quality, very perfect, Bang Bang da</v>
      </c>
    </row>
    <row r="1996">
      <c r="A1996" s="1">
        <v>5.0</v>
      </c>
      <c r="B1996" s="1" t="s">
        <v>1994</v>
      </c>
      <c r="C1996" t="str">
        <f>IFERROR(__xludf.DUMMYFUNCTION("GOOGLETRANSLATE(B1996, ""zh"", ""en"")"),"Single recommendation accidentally became two. What is received by DHL to send, there is a box packaging is opened, but things did not affected, cotton comfortable right size. US version should be higher than the domestic version, it is recommended to buy"&amp;" a smaller size to wear. Recommended, wearing a very comfortable.")</f>
        <v>Single recommendation accidentally became two. What is received by DHL to send, there is a box packaging is opened, but things did not affected, cotton comfortable right size. US version should be higher than the domestic version, it is recommended to buy a smaller size to wear. Recommended, wearing a very comfortable.</v>
      </c>
    </row>
    <row r="1997">
      <c r="A1997" s="1">
        <v>5.0</v>
      </c>
      <c r="B1997" s="1" t="s">
        <v>1995</v>
      </c>
      <c r="C1997" t="str">
        <f>IFERROR(__xludf.DUMMYFUNCTION("GOOGLETRANSLATE(B1997, ""zh"", ""en"")"),"Huge, this thin L bust 108, XL bust 120-130, this gap is too big, XL for about 190,200 pounds of people.")</f>
        <v>Huge, this thin L bust 108, XL bust 120-130, this gap is too big, XL for about 190,200 pounds of people.</v>
      </c>
    </row>
    <row r="1998">
      <c r="A1998" s="1">
        <v>5.0</v>
      </c>
      <c r="B1998" s="1" t="s">
        <v>1996</v>
      </c>
      <c r="C1998" t="str">
        <f>IFERROR(__xludf.DUMMYFUNCTION("GOOGLETRANSLATE(B1998, ""zh"", ""en"")"),"Clarks not have to say very good quality, cost-effective")</f>
        <v>Clarks not have to say very good quality, cost-effective</v>
      </c>
    </row>
    <row r="1999">
      <c r="A1999" s="1">
        <v>5.0</v>
      </c>
      <c r="B1999" s="1" t="s">
        <v>1997</v>
      </c>
      <c r="C1999" t="str">
        <f>IFERROR(__xludf.DUMMYFUNCTION("GOOGLETRANSLATE(B1999, ""zh"", ""en"")"),"Very well liked bright colors easy to color")</f>
        <v>Very well liked bright colors easy to color</v>
      </c>
    </row>
    <row r="2000">
      <c r="A2000" s="1">
        <v>5.0</v>
      </c>
      <c r="B2000" s="1" t="s">
        <v>1998</v>
      </c>
      <c r="C2000" t="str">
        <f>IFERROR(__xludf.DUMMYFUNCTION("GOOGLETRANSLATE(B2000, ""zh"", ""en"")"),"Cute little set of cutlery tray is Q, look cute, friend, can not wait for the next offer can only be a single")</f>
        <v>Cute little set of cutlery tray is Q, look cute, friend, can not wait for the next offer can only be a single</v>
      </c>
    </row>
    <row r="2001">
      <c r="A2001" s="1">
        <v>5.0</v>
      </c>
      <c r="B2001" s="1" t="s">
        <v>1999</v>
      </c>
      <c r="C2001" t="str">
        <f>IFERROR(__xludf.DUMMYFUNCTION("GOOGLETRANSLATE(B2001, ""zh"", ""en"")"),"well! Pretty cool, I did not expect so soon received, can not wait to go back and put pen to paper, baby no problem at all.")</f>
        <v>well! Pretty cool, I did not expect so soon received, can not wait to go back and put pen to paper, baby no problem at all.</v>
      </c>
    </row>
    <row r="2002">
      <c r="A2002" s="1">
        <v>5.0</v>
      </c>
      <c r="B2002" s="1" t="s">
        <v>2000</v>
      </c>
      <c r="C2002" t="str">
        <f>IFERROR(__xludf.DUMMYFUNCTION("GOOGLETRANSLATE(B2002, ""zh"", ""en"")"),"In addition to size pants a little long, the other very good.")</f>
        <v>In addition to size pants a little long, the other very good.</v>
      </c>
    </row>
    <row r="2003">
      <c r="A2003" s="1">
        <v>5.0</v>
      </c>
      <c r="B2003" s="1" t="s">
        <v>2001</v>
      </c>
      <c r="C2003" t="str">
        <f>IFERROR(__xludf.DUMMYFUNCTION("GOOGLETRANSLATE(B2003, ""zh"", ""en"")"),"Very good very good, cheap affordable, better than the domestic tights")</f>
        <v>Very good very good, cheap affordable, better than the domestic tights</v>
      </c>
    </row>
    <row r="2004">
      <c r="A2004" s="1">
        <v>2.0</v>
      </c>
      <c r="B2004" s="1" t="s">
        <v>2002</v>
      </c>
      <c r="C2004" t="str">
        <f>IFERROR(__xludf.DUMMYFUNCTION("GOOGLETRANSLATE(B2004, ""zh"", ""en"")"),"Poor texture, color is not correct comparison should be the quality of the brand is still lagging behind boss expected, the general feeling!")</f>
        <v>Poor texture, color is not correct comparison should be the quality of the brand is still lagging behind boss expected, the general feeling!</v>
      </c>
    </row>
    <row r="2005">
      <c r="A2005" s="1">
        <v>3.0</v>
      </c>
      <c r="B2005" s="1" t="s">
        <v>2003</v>
      </c>
      <c r="C2005" t="str">
        <f>IFERROR(__xludf.DUMMYFUNCTION("GOOGLETRANSLATE(B2005, ""zh"", ""en"")"),"Ouma size is too large, too large to wear")</f>
        <v>Ouma size is too large, too large to wear</v>
      </c>
    </row>
    <row r="2006">
      <c r="A2006" s="1">
        <v>3.0</v>
      </c>
      <c r="B2006" s="1" t="s">
        <v>2004</v>
      </c>
      <c r="C2006" t="str">
        <f>IFERROR(__xludf.DUMMYFUNCTION("GOOGLETRANSLATE(B2006, ""zh"", ""en"")"),"I'm not pressing the instep feet high pressure arch type clarks Oxford shoes I wear a little big 38 37.5 38 wearing this tight little tight this 39 is estimated to be large. Send over when the upper wear. Deep color than the picture quite comfortable walk"&amp;"ing")</f>
        <v>I'm not pressing the instep feet high pressure arch type clarks Oxford shoes I wear a little big 38 37.5 38 wearing this tight little tight this 39 is estimated to be large. Send over when the upper wear. Deep color than the picture quite comfortable walking</v>
      </c>
    </row>
    <row r="2007">
      <c r="A2007" s="1">
        <v>1.0</v>
      </c>
      <c r="B2007" s="1" t="s">
        <v>2005</v>
      </c>
      <c r="C2007" t="str">
        <f>IFERROR(__xludf.DUMMYFUNCTION("GOOGLETRANSLATE(B2007, ""zh"", ""en"")"),"Amazon silent aftermarket headphones appear less than three months to go right or left ear Sennheiser Sennheiser sound partial reply Jingdong Amazon sell them find the tone of the Amazon to find a slightly better point but the problem with Amazon customer"&amp;" service communication is very unfriendly tone still make Amazon really does not solve the sale speechless")</f>
        <v>Amazon silent aftermarket headphones appear less than three months to go right or left ear Sennheiser Sennheiser sound partial reply Jingdong Amazon sell them find the tone of the Amazon to find a slightly better point but the problem with Amazon customer service communication is very unfriendly tone still make Amazon really does not solve the sale speechless</v>
      </c>
    </row>
    <row r="2008">
      <c r="A2008" s="1">
        <v>1.0</v>
      </c>
      <c r="B2008" s="1" t="s">
        <v>2006</v>
      </c>
      <c r="C2008" t="str">
        <f>IFERROR(__xludf.DUMMYFUNCTION("GOOGLETRANSLATE(B2008, ""zh"", ""en"")"),"Poor quality, to wonder whether the big difference with the introduction of genuine leather, the poor, do not believe that music has such a rough shoes, doubt is genuine. The shoes have a single picture of the sun on the United States and Asia, the pictur"&amp;"e is consistent with the site, perhaps the defective goods sent to the country? Amazon's first overseas purchase, very disappointed, spent so long. It is for return. &lt;A data-hook = ""product-link-linked"" class = ""a-link-normal"" href = ""/ CLARKS- men -"&amp;"Stinson-Hi- high shoes -Stinson-Hi-Wallabee- black leather -9-5 -DM-US / dp / B00AKLRBZ6 / ref = cm_cr_getr_d_rvw_txt? ie = UTF8 ""&gt; CLARKS Men Stinson Hi high-top shoes Stinson Hi Wallabee black leather 9.5 D (M) US &lt;/a&gt;")</f>
        <v>Poor quality, to wonder whether the big difference with the introduction of genuine leather, the poor, do not believe that music has such a rough shoes, doubt is genuine. The shoes have a single picture of the sun on the United States and Asia, the picture is consistent with the site, perhaps the defective goods sent to the country? Amazon's first overseas purchase, very disappointed, spent so long. It is for return. &lt;A data-hook = "product-link-linked" class = "a-link-normal" href = "/ CLARKS- men -Stinson-Hi- high shoes -Stinson-Hi-Wallabee- black leather -9-5 -DM-US / dp / B00AKLRBZ6 / ref = cm_cr_getr_d_rvw_txt? ie = UTF8 "&gt; CLARKS Men Stinson Hi high-top shoes Stinson Hi Wallabee black leather 9.5 D (M) US &lt;/a&gt;</v>
      </c>
    </row>
    <row r="2009">
      <c r="A2009" s="1">
        <v>1.0</v>
      </c>
      <c r="B2009" s="1" t="s">
        <v>2007</v>
      </c>
      <c r="C2009" t="str">
        <f>IFERROR(__xludf.DUMMYFUNCTION("GOOGLETRANSLATE(B2009, ""zh"", ""en"")"),"Fake strap directly and completely different from the official website")</f>
        <v>Fake strap directly and completely different from the official website</v>
      </c>
    </row>
    <row r="2010">
      <c r="A2010" s="1">
        <v>4.0</v>
      </c>
      <c r="B2010" s="1" t="s">
        <v>2008</v>
      </c>
      <c r="C2010" t="str">
        <f>IFERROR(__xludf.DUMMYFUNCTION("GOOGLETRANSLATE(B2010, ""zh"", ""en"")"),"Can buy goods received in advance, the overwrap significantly across the oceans experienced a little old, opened the tape, after opening, the packaging might be like Kaifeng clearance when the country opened, all is well plate, slightly shorter line, capa"&amp;"city 1.81t 6 detects power-on period 20m to 26m transmission speed usb2.0 occur even be stable at a disc 15m, substantially satisfied")</f>
        <v>Can buy goods received in advance, the overwrap significantly across the oceans experienced a little old, opened the tape, after opening, the packaging might be like Kaifeng clearance when the country opened, all is well plate, slightly shorter line, capacity 1.81t 6 detects power-on period 20m to 26m transmission speed usb2.0 occur even be stable at a disc 15m, substantially satisfied</v>
      </c>
    </row>
    <row r="2011">
      <c r="A2011" s="1">
        <v>4.0</v>
      </c>
      <c r="B2011" s="1" t="s">
        <v>2009</v>
      </c>
      <c r="C2011" t="str">
        <f>IFERROR(__xludf.DUMMYFUNCTION("GOOGLETRANSLATE(B2011, ""zh"", ""en"")"),"Suitable size suitable size, fabric moderate")</f>
        <v>Suitable size suitable size, fabric moderate</v>
      </c>
    </row>
    <row r="2012">
      <c r="A2012" s="1">
        <v>4.0</v>
      </c>
      <c r="B2012" s="1" t="s">
        <v>2010</v>
      </c>
      <c r="C2012" t="str">
        <f>IFERROR(__xludf.DUMMYFUNCTION("GOOGLETRANSLATE(B2012, ""zh"", ""en"")"),"Quality is not very amazing and the price of domestic purse almost")</f>
        <v>Quality is not very amazing and the price of domestic purse almost</v>
      </c>
    </row>
    <row r="2013">
      <c r="A2013" s="1">
        <v>4.0</v>
      </c>
      <c r="B2013" s="1" t="s">
        <v>2011</v>
      </c>
      <c r="C2013" t="str">
        <f>IFERROR(__xludf.DUMMYFUNCTION("GOOGLETRANSLATE(B2013, ""zh"", ""en"")"),"Good choice good texture, slightly longer sleeves, comfortable")</f>
        <v>Good choice good texture, slightly longer sleeves, comfortable</v>
      </c>
    </row>
    <row r="2014">
      <c r="A2014" s="1">
        <v>4.0</v>
      </c>
      <c r="B2014" s="1" t="s">
        <v>2012</v>
      </c>
      <c r="C2014" t="str">
        <f>IFERROR(__xludf.DUMMYFUNCTION("GOOGLETRANSLATE(B2014, ""zh"", ""en"")"),"Satisfaction tried before a cursory inspection intact, after trying on the inside there is only a small foot broken, do not know if I get, do not mind. Instep leather hard, not to wear out, do not know will not foot pain.")</f>
        <v>Satisfaction tried before a cursory inspection intact, after trying on the inside there is only a small foot broken, do not know if I get, do not mind. Instep leather hard, not to wear out, do not know will not foot pain.</v>
      </c>
    </row>
    <row r="2015">
      <c r="A2015" s="1">
        <v>5.0</v>
      </c>
      <c r="B2015" s="1" t="s">
        <v>2013</v>
      </c>
      <c r="C2015" t="str">
        <f>IFERROR(__xludf.DUMMYFUNCTION("GOOGLETRANSLATE(B2015, ""zh"", ""en"")"),"Overall very good in all aspects")</f>
        <v>Overall very good in all aspects</v>
      </c>
    </row>
    <row r="2016">
      <c r="A2016" s="1">
        <v>5.0</v>
      </c>
      <c r="B2016" s="1" t="s">
        <v>2014</v>
      </c>
      <c r="C2016" t="str">
        <f>IFERROR(__xludf.DUMMYFUNCTION("GOOGLETRANSLATE(B2016, ""zh"", ""en"")"),"Indonesia's production is very appropriate that my twin, nothing issue, comfortable fit! Recommended to buy freshman yards, the shoe is too small!")</f>
        <v>Indonesia's production is very appropriate that my twin, nothing issue, comfortable fit! Recommended to buy freshman yards, the shoe is too small!</v>
      </c>
    </row>
    <row r="2017">
      <c r="A2017" s="1">
        <v>5.0</v>
      </c>
      <c r="B2017" s="1" t="s">
        <v>2015</v>
      </c>
      <c r="C2017" t="str">
        <f>IFERROR(__xludf.DUMMYFUNCTION("GOOGLETRANSLATE(B2017, ""zh"", ""en"")"),"182cm78kg, m is appropriate wear 182cm78kg, m is appropriate to wear")</f>
        <v>182cm78kg, m is appropriate wear 182cm78kg, m is appropriate to wear</v>
      </c>
    </row>
    <row r="2018">
      <c r="A2018" s="1">
        <v>5.0</v>
      </c>
      <c r="B2018" s="1" t="s">
        <v>2016</v>
      </c>
      <c r="C2018" t="str">
        <f>IFERROR(__xludf.DUMMYFUNCTION("GOOGLETRANSLATE(B2018, ""zh"", ""en"")"),"Good product with gpt not mbr Silient and quick for data. Be aware it is only accessible from 64bit systems as gpt instead of mdr is used")</f>
        <v>Good product with gpt not mbr Silient and quick for data. Be aware it is only accessible from 64bit systems as gpt instead of mdr is used</v>
      </c>
    </row>
    <row r="2019">
      <c r="A2019" s="1">
        <v>5.0</v>
      </c>
      <c r="B2019" s="1" t="s">
        <v>2017</v>
      </c>
      <c r="C2019" t="str">
        <f>IFERROR(__xludf.DUMMYFUNCTION("GOOGLETRANSLATE(B2019, ""zh"", ""en"")"),"Review the proposed reference read reviews buy or reference value M of appropriate")</f>
        <v>Review the proposed reference read reviews buy or reference value M of appropriate</v>
      </c>
    </row>
    <row r="2020">
      <c r="A2020" s="1">
        <v>5.0</v>
      </c>
      <c r="B2020" s="1" t="s">
        <v>2018</v>
      </c>
      <c r="C2020" t="str">
        <f>IFERROR(__xludf.DUMMYFUNCTION("GOOGLETRANSLATE(B2020, ""zh"", ""en"")"),"Good fine fabrics")</f>
        <v>Good fine fabrics</v>
      </c>
    </row>
    <row r="2021">
      <c r="A2021" s="1">
        <v>5.0</v>
      </c>
      <c r="B2021" s="1" t="s">
        <v>2019</v>
      </c>
      <c r="C2021" t="str">
        <f>IFERROR(__xludf.DUMMYFUNCTION("GOOGLETRANSLATE(B2021, ""zh"", ""en"")"),"Bound effective, more tired wear shackles good effect, convenient than the corset belt, just out of the month, wearing a complete moment in his stomach flat. Is the time to wear a bit tired. After all, it lacks flexibility.")</f>
        <v>Bound effective, more tired wear shackles good effect, convenient than the corset belt, just out of the month, wearing a complete moment in his stomach flat. Is the time to wear a bit tired. After all, it lacks flexibility.</v>
      </c>
    </row>
    <row r="2022">
      <c r="A2022" s="1">
        <v>5.0</v>
      </c>
      <c r="B2022" s="1" t="s">
        <v>2020</v>
      </c>
      <c r="C2022" t="str">
        <f>IFERROR(__xludf.DUMMYFUNCTION("GOOGLETRANSLATE(B2022, ""zh"", ""en"")"),"Not being fit from the previous evaluation, I do not know how many wasted points, points can change money now know, they should look carefully evaluated, then I put these words to copy to go, both to earn points, but also save trouble, where one copy wher"&amp;"e, most importantly, do not seriously review, do not think how much worse word, sent directly to it, recommend it to everyone! !")</f>
        <v>Not being fit from the previous evaluation, I do not know how many wasted points, points can change money now know, they should look carefully evaluated, then I put these words to copy to go, both to earn points, but also save trouble, where one copy where, most importantly, do not seriously review, do not think how much worse word, sent directly to it, recommend it to everyone! !</v>
      </c>
    </row>
    <row r="2023">
      <c r="A2023" s="1">
        <v>5.0</v>
      </c>
      <c r="B2023" s="1" t="s">
        <v>2021</v>
      </c>
      <c r="C2023" t="str">
        <f>IFERROR(__xludf.DUMMYFUNCTION("GOOGLETRANSLATE(B2023, ""zh"", ""en"")"),"Very good in Riga velvet, very thick, feel comfortable, relaxed version, suitable for cold weather clothes on.")</f>
        <v>Very good in Riga velvet, very thick, feel comfortable, relaxed version, suitable for cold weather clothes on.</v>
      </c>
    </row>
    <row r="2024">
      <c r="A2024" s="1">
        <v>5.0</v>
      </c>
      <c r="B2024" s="1" t="s">
        <v>2022</v>
      </c>
      <c r="C2024" t="str">
        <f>IFERROR(__xludf.DUMMYFUNCTION("GOOGLETRANSLATE(B2024, ""zh"", ""en"")"),"Good to buy his son, the school principal to use a pencil to write, it is also good to use, but did not say special magic. A small one, but also good for children Claudius stationery, small lost not a pity, Oh")</f>
        <v>Good to buy his son, the school principal to use a pencil to write, it is also good to use, but did not say special magic. A small one, but also good for children Claudius stationery, small lost not a pity, Oh</v>
      </c>
    </row>
    <row r="2025">
      <c r="A2025" s="1">
        <v>5.0</v>
      </c>
      <c r="B2025" s="1" t="s">
        <v>2023</v>
      </c>
      <c r="C2025" t="str">
        <f>IFERROR(__xludf.DUMMYFUNCTION("GOOGLETRANSLATE(B2025, ""zh"", ""en"")"),"Packaging is not the same, smell and I bought the flagship store is not the same")</f>
        <v>Packaging is not the same, smell and I bought the flagship store is not the same</v>
      </c>
    </row>
    <row r="2026">
      <c r="A2026" s="1">
        <v>5.0</v>
      </c>
      <c r="B2026" s="1" t="s">
        <v>2024</v>
      </c>
      <c r="C2026" t="str">
        <f>IFERROR(__xludf.DUMMYFUNCTION("GOOGLETRANSLATE(B2026, ""zh"", ""en"")"),"There have effect as scheduled arrival, looks good, is indeed effective, it has been eating")</f>
        <v>There have effect as scheduled arrival, looks good, is indeed effective, it has been eating</v>
      </c>
    </row>
    <row r="2027">
      <c r="A2027" s="1">
        <v>5.0</v>
      </c>
      <c r="B2027" s="1" t="s">
        <v>2025</v>
      </c>
      <c r="C2027" t="str">
        <f>IFERROR(__xludf.DUMMYFUNCTION("GOOGLETRANSLATE(B2027, ""zh"", ""en"")"),"Very good very good")</f>
        <v>Very good very good</v>
      </c>
    </row>
    <row r="2028">
      <c r="A2028" s="1">
        <v>5.0</v>
      </c>
      <c r="B2028" s="1" t="s">
        <v>2026</v>
      </c>
      <c r="C2028" t="str">
        <f>IFERROR(__xludf.DUMMYFUNCTION("GOOGLETRANSLATE(B2028, ""zh"", ""en"")"),"Sleeper Tiger Tiger lightweight stainless steel mug 200ml gravity mini pearl powder MMP-J020-PP Tiger insulating effect is still possible.")</f>
        <v>Sleeper Tiger Tiger lightweight stainless steel mug 200ml gravity mini pearl powder MMP-J020-PP Tiger insulating effect is still possible.</v>
      </c>
    </row>
    <row r="2029">
      <c r="A2029" s="1">
        <v>5.0</v>
      </c>
      <c r="B2029" s="1" t="s">
        <v>2027</v>
      </c>
      <c r="C2029" t="str">
        <f>IFERROR(__xludf.DUMMYFUNCTION("GOOGLETRANSLATE(B2029, ""zh"", ""en"")"),"This is the right shoe size shoe size standard, as long as the foot is not wide, according to the usual code to buy, in addition to wear for a day, feet without any discomfort, do not wear the foot does not squeeze the foot, very good.")</f>
        <v>This is the right shoe size shoe size standard, as long as the foot is not wide, according to the usual code to buy, in addition to wear for a day, feet without any discomfort, do not wear the foot does not squeeze the foot, very good.</v>
      </c>
    </row>
    <row r="2030">
      <c r="A2030" s="1">
        <v>5.0</v>
      </c>
      <c r="B2030" s="1" t="s">
        <v>2028</v>
      </c>
      <c r="C2030" t="str">
        <f>IFERROR(__xludf.DUMMYFUNCTION("GOOGLETRANSLATE(B2030, ""zh"", ""en"")"),"Very good, did not buy the blue too expensive, buy a little more green cover parts, that is to clean no dead ...... now baby eat much, used to hold a portion of the lay of the ingredients, fairly large box, or try not to dirty the lid, do not want to take"&amp;" apart and wash each ha ha")</f>
        <v>Very good, did not buy the blue too expensive, buy a little more green cover parts, that is to clean no dead ...... now baby eat much, used to hold a portion of the lay of the ingredients, fairly large box, or try not to dirty the lid, do not want to take apart and wash each ha ha</v>
      </c>
    </row>
    <row r="2031">
      <c r="A2031" s="1">
        <v>5.0</v>
      </c>
      <c r="B2031" s="1" t="s">
        <v>2029</v>
      </c>
      <c r="C2031" t="str">
        <f>IFERROR(__xludf.DUMMYFUNCTION("GOOGLETRANSLATE(B2031, ""zh"", ""en"")"),"Small, rugged, high-speed as final cut pro job disc, no problem within 4K performance, reliability should be no problem, lightweight solid, the recent production, very good very practical!")</f>
        <v>Small, rugged, high-speed as final cut pro job disc, no problem within 4K performance, reliability should be no problem, lightweight solid, the recent production, very good very practical!</v>
      </c>
    </row>
    <row r="2032">
      <c r="A2032" s="1">
        <v>5.0</v>
      </c>
      <c r="B2032" s="1" t="s">
        <v>2030</v>
      </c>
      <c r="C2032" t="str">
        <f>IFERROR(__xludf.DUMMYFUNCTION("GOOGLETRANSLATE(B2032, ""zh"", ""en"")"),"Shoes that this number is too small shoes are very comfortable, shot a black light skin, yak skin. Photographed evaluation looked at, looked at home athletic shoes are shoes than usual freshman code, then, decisively beat freshman yards, comfortable, but "&amp;"also to other buyers to be a reference. Then the price is volatile, need to look at, such as the right time to sell. It spent a total of about 1,000 yuan less.")</f>
        <v>Shoes that this number is too small shoes are very comfortable, shot a black light skin, yak skin. Photographed evaluation looked at, looked at home athletic shoes are shoes than usual freshman code, then, decisively beat freshman yards, comfortable, but also to other buyers to be a reference. Then the price is volatile, need to look at, such as the right time to sell. It spent a total of about 1,000 yuan less.</v>
      </c>
    </row>
    <row r="2033">
      <c r="A2033" s="1">
        <v>5.0</v>
      </c>
      <c r="B2033" s="1" t="s">
        <v>2031</v>
      </c>
      <c r="C2033" t="str">
        <f>IFERROR(__xludf.DUMMYFUNCTION("GOOGLETRANSLATE(B2033, ""zh"", ""en"")"),"Who says Amazon does not solve the problem of sale? ? ? Scaling is bought does not work, email customer service, perfect solution, Amazon members buy very value! Customer service sweet voice, attitude, super, will always support the Amazon!")</f>
        <v>Who says Amazon does not solve the problem of sale? ? ? Scaling is bought does not work, email customer service, perfect solution, Amazon members buy very value! Customer service sweet voice, attitude, super, will always support the Amazon!</v>
      </c>
    </row>
    <row r="2034">
      <c r="A2034" s="1">
        <v>5.0</v>
      </c>
      <c r="B2034" s="1" t="s">
        <v>2032</v>
      </c>
      <c r="C2034" t="str">
        <f>IFERROR(__xludf.DUMMYFUNCTION("GOOGLETRANSLATE(B2034, ""zh"", ""en"")"),"Deserves to have it stuffed No. 3 No. 6 single delivery, domestic courier fast to catch up! This headset tuning really comfortable, close to the human voice and clear, horizontal sound field also make it open. It may be low-sensitive headset features bar,"&amp;" very dark background, strong sense of three-dimensional sound, feeling a little big ears. While parsing general lack of high-frequency extension, but the price of listening to pop, but also what 🚲.")</f>
        <v>Deserves to have it stuffed No. 3 No. 6 single delivery, domestic courier fast to catch up! This headset tuning really comfortable, close to the human voice and clear, horizontal sound field also make it open. It may be low-sensitive headset features bar, very dark background, strong sense of three-dimensional sound, feeling a little big ears. While parsing general lack of high-frequency extension, but the price of listening to pop, but also what 🚲.</v>
      </c>
    </row>
    <row r="2035">
      <c r="A2035" s="1">
        <v>5.0</v>
      </c>
      <c r="B2035" s="1" t="s">
        <v>2033</v>
      </c>
      <c r="C2035" t="str">
        <f>IFERROR(__xludf.DUMMYFUNCTION("GOOGLETRANSLATE(B2035, ""zh"", ""en"")"),"Good shopping experience clothes of good quality, very comfortable fabric, is their large size of the election, the domestic brands of the same size clothes I wore tight, this is big - a lot of hair SF Express domestic segment, too pleasant surprise ~")</f>
        <v>Good shopping experience clothes of good quality, very comfortable fabric, is their large size of the election, the domestic brands of the same size clothes I wore tight, this is big - a lot of hair SF Express domestic segment, too pleasant surprise ~</v>
      </c>
    </row>
    <row r="2036">
      <c r="A2036" s="1">
        <v>5.0</v>
      </c>
      <c r="B2036" s="1" t="s">
        <v>2034</v>
      </c>
      <c r="C2036" t="str">
        <f>IFERROR(__xludf.DUMMYFUNCTION("GOOGLETRANSLATE(B2036, ""zh"", ""en"")"),"Bang Bang da cup good, no smell, good quality")</f>
        <v>Bang Bang da cup good, no smell, good quality</v>
      </c>
    </row>
    <row r="2037">
      <c r="A2037" s="1">
        <v>2.0</v>
      </c>
      <c r="B2037" s="1" t="s">
        <v>2035</v>
      </c>
      <c r="C2037" t="str">
        <f>IFERROR(__xludf.DUMMYFUNCTION("GOOGLETRANSLATE(B2037, ""zh"", ""en"")"),"Waist size too seriously inaccurate manual measurement waist circumference greater than 10cm mark")</f>
        <v>Waist size too seriously inaccurate manual measurement waist circumference greater than 10cm mark</v>
      </c>
    </row>
    <row r="2038">
      <c r="A2038" s="1">
        <v>3.0</v>
      </c>
      <c r="B2038" s="1" t="s">
        <v>2036</v>
      </c>
      <c r="C2038" t="str">
        <f>IFERROR(__xludf.DUMMYFUNCTION("GOOGLETRANSLATE(B2038, ""zh"", ""en"")"),"The right size, comfortable to wear 180cm, 81kg wear this size being just good, very comfortable, flexibility is also good.")</f>
        <v>The right size, comfortable to wear 180cm, 81kg wear this size being just good, very comfortable, flexibility is also good.</v>
      </c>
    </row>
    <row r="2039">
      <c r="A2039" s="1">
        <v>3.0</v>
      </c>
      <c r="B2039" s="1" t="s">
        <v>2037</v>
      </c>
      <c r="C2039" t="str">
        <f>IFERROR(__xludf.DUMMYFUNCTION("GOOGLETRANSLATE(B2039, ""zh"", ""en"")"),"Wearing a period of time, the appearance is acceptable, faster travel time every week for a minute, and domestic watches a kind, served. Take a look at dates still, time is not accurate, it needs to be calibrated every week. Fairly sophisticated appearanc"&amp;"e. The cheap, do not care about the details, can be a shot.")</f>
        <v>Wearing a period of time, the appearance is acceptable, faster travel time every week for a minute, and domestic watches a kind, served. Take a look at dates still, time is not accurate, it needs to be calibrated every week. Fairly sophisticated appearance. The cheap, do not care about the details, can be a shot.</v>
      </c>
    </row>
    <row r="2040">
      <c r="A2040" s="1">
        <v>3.0</v>
      </c>
      <c r="B2040" s="1" t="s">
        <v>2038</v>
      </c>
      <c r="C2040" t="str">
        <f>IFERROR(__xludf.DUMMYFUNCTION("GOOGLETRANSLATE(B2040, ""zh"", ""en"")"),"Color color too much trouble refunded quality can also be refunded trouble!")</f>
        <v>Color color too much trouble refunded quality can also be refunded trouble!</v>
      </c>
    </row>
    <row r="2041">
      <c r="A2041" s="1">
        <v>1.0</v>
      </c>
      <c r="B2041" s="1" t="s">
        <v>2039</v>
      </c>
      <c r="C2041" t="str">
        <f>IFERROR(__xludf.DUMMYFUNCTION("GOOGLETRANSLATE(B2041, ""zh"", ""en"")"),"Stinking people feel soft, thick enough. Just the smell is too big, wash also washed away, ready to throw away, but my money ~ ~ ~")</f>
        <v>Stinking people feel soft, thick enough. Just the smell is too big, wash also washed away, ready to throw away, but my money ~ ~ ~</v>
      </c>
    </row>
    <row r="2042">
      <c r="A2042" s="1">
        <v>1.0</v>
      </c>
      <c r="B2042" s="1" t="s">
        <v>2040</v>
      </c>
      <c r="C2042" t="str">
        <f>IFERROR(__xludf.DUMMYFUNCTION("GOOGLETRANSLATE(B2042, ""zh"", ""en"")"),"1 rough work, unable to Tucao, not Taobao dozens of blocks.")</f>
        <v>1 rough work, unable to Tucao, not Taobao dozens of blocks.</v>
      </c>
    </row>
    <row r="2043">
      <c r="A2043" s="1">
        <v>4.0</v>
      </c>
      <c r="B2043" s="1" t="s">
        <v>2041</v>
      </c>
      <c r="C2043" t="str">
        <f>IFERROR(__xludf.DUMMYFUNCTION("GOOGLETRANSLATE(B2043, ""zh"", ""en"")"),"Thermal insulation effect is not bad, for a while to cool it")</f>
        <v>Thermal insulation effect is not bad, for a while to cool it</v>
      </c>
    </row>
    <row r="2044">
      <c r="A2044" s="1">
        <v>4.0</v>
      </c>
      <c r="B2044" s="1" t="s">
        <v>2042</v>
      </c>
      <c r="C2044" t="str">
        <f>IFERROR(__xludf.DUMMYFUNCTION("GOOGLETRANSLATE(B2044, ""zh"", ""en"")"),"Spoon sister really like, they will soon own home baby can learn to eat their own")</f>
        <v>Spoon sister really like, they will soon own home baby can learn to eat their own</v>
      </c>
    </row>
    <row r="2045">
      <c r="A2045" s="1">
        <v>4.0</v>
      </c>
      <c r="B2045" s="1" t="s">
        <v>2043</v>
      </c>
      <c r="C2045" t="str">
        <f>IFERROR(__xludf.DUMMYFUNCTION("GOOGLETRANSLATE(B2045, ""zh"", ""en"")"),"To really feel good when some sticky to cook, taste side also good, very Q.")</f>
        <v>To really feel good when some sticky to cook, taste side also good, very Q.</v>
      </c>
    </row>
    <row r="2046">
      <c r="A2046" s="1">
        <v>4.0</v>
      </c>
      <c r="B2046" s="1" t="s">
        <v>2044</v>
      </c>
      <c r="C2046" t="str">
        <f>IFERROR(__xludf.DUMMYFUNCTION("GOOGLETRANSLATE(B2046, ""zh"", ""en"")"),"Watch good but flawed after just received is still pretty exciting discovery waterproof seen the discovery is good when I swim there with no water but the surface is easy to wear flowers just a simple little package with the first day after it was used I "&amp;"grind the rear surface of a distressed dead flowers affect the appearance and look at the time but this price is still quite cheap price is still high it depressed me the most is to buy a few days on the price of the outstanding tears ran ~ ~ ~ ~")</f>
        <v>Watch good but flawed after just received is still pretty exciting discovery waterproof seen the discovery is good when I swim there with no water but the surface is easy to wear flowers just a simple little package with the first day after it was used I grind the rear surface of a distressed dead flowers affect the appearance and look at the time but this price is still quite cheap price is still high it depressed me the most is to buy a few days on the price of the outstanding tears ran ~ ~ ~ ~</v>
      </c>
    </row>
    <row r="2047">
      <c r="A2047" s="1">
        <v>4.0</v>
      </c>
      <c r="B2047" s="1" t="s">
        <v>2045</v>
      </c>
      <c r="C2047" t="str">
        <f>IFERROR(__xludf.DUMMYFUNCTION("GOOGLETRANSLATE(B2047, ""zh"", ""en"")"),"Things can not be disinfected not sterilized high temperature steam, the reminder to buy it, disinfect dishes on the deformation, the rest can")</f>
        <v>Things can not be disinfected not sterilized high temperature steam, the reminder to buy it, disinfect dishes on the deformation, the rest can</v>
      </c>
    </row>
    <row r="2048">
      <c r="A2048" s="1">
        <v>5.0</v>
      </c>
      <c r="B2048" s="1" t="s">
        <v>2046</v>
      </c>
      <c r="C2048" t="str">
        <f>IFERROR(__xludf.DUMMYFUNCTION("GOOGLETRANSLATE(B2048, ""zh"", ""en"")"),"As you look at the number of comments that buy large numbers, it is recommended to buy a smaller size. The results tragedy")</f>
        <v>As you look at the number of comments that buy large numbers, it is recommended to buy a smaller size. The results tragedy</v>
      </c>
    </row>
    <row r="2049">
      <c r="A2049" s="1">
        <v>5.0</v>
      </c>
      <c r="B2049" s="1" t="s">
        <v>2047</v>
      </c>
      <c r="C2049" t="str">
        <f>IFERROR(__xludf.DUMMYFUNCTION("GOOGLETRANSLATE(B2049, ""zh"", ""en"")"),"Installed a temperature not accurate, do not know how durable")</f>
        <v>Installed a temperature not accurate, do not know how durable</v>
      </c>
    </row>
    <row r="2050">
      <c r="A2050" s="1">
        <v>5.0</v>
      </c>
      <c r="B2050" s="1" t="s">
        <v>2048</v>
      </c>
      <c r="C2050" t="str">
        <f>IFERROR(__xludf.DUMMYFUNCTION("GOOGLETRANSLATE(B2050, ""zh"", ""en"")"),"Delivery speed fast good quality price is not expensive things just for money Dai Dai relatively small minority")</f>
        <v>Delivery speed fast good quality price is not expensive things just for money Dai Dai relatively small minority</v>
      </c>
    </row>
    <row r="2051">
      <c r="A2051" s="1">
        <v>5.0</v>
      </c>
      <c r="B2051" s="1" t="s">
        <v>2049</v>
      </c>
      <c r="C2051" t="str">
        <f>IFERROR(__xludf.DUMMYFUNCTION("GOOGLETRANSLATE(B2051, ""zh"", ""en"")"),"Fortunately, the princess did not receive, seek election shall be effective, random delivery is a little suck, but fortunately did not receive the princess, his son liked McQueen")</f>
        <v>Fortunately, the princess did not receive, seek election shall be effective, random delivery is a little suck, but fortunately did not receive the princess, his son liked McQueen</v>
      </c>
    </row>
    <row r="2052">
      <c r="A2052" s="1">
        <v>5.0</v>
      </c>
      <c r="B2052" s="1" t="s">
        <v>2050</v>
      </c>
      <c r="C2052" t="str">
        <f>IFERROR(__xludf.DUMMYFUNCTION("GOOGLETRANSLATE(B2052, ""zh"", ""en"")"),"Shoe size suitable especially comfortable.")</f>
        <v>Shoe size suitable especially comfortable.</v>
      </c>
    </row>
    <row r="2053">
      <c r="A2053" s="1">
        <v>5.0</v>
      </c>
      <c r="B2053" s="1" t="s">
        <v>2051</v>
      </c>
      <c r="C2053" t="str">
        <f>IFERROR(__xludf.DUMMYFUNCTION("GOOGLETRANSLATE(B2053, ""zh"", ""en"")"),"Price level and quantity of high value feature-rich color even in the play-off with a cloud NAS can be said to be fooled price level (¥ 1020) and quantity (8T capacity) home enough with two USB ports you can then expand or plug in the U disk reader is sta"&amp;"ble enough to copy is temporarily not reflect how kind of hard, but now it can only pray")</f>
        <v>Price level and quantity of high value feature-rich color even in the play-off with a cloud NAS can be said to be fooled price level (¥ 1020) and quantity (8T capacity) home enough with two USB ports you can then expand or plug in the U disk reader is stable enough to copy is temporarily not reflect how kind of hard, but now it can only pray</v>
      </c>
    </row>
    <row r="2054">
      <c r="A2054" s="1">
        <v>5.0</v>
      </c>
      <c r="B2054" s="1" t="s">
        <v>2052</v>
      </c>
      <c r="C2054" t="str">
        <f>IFERROR(__xludf.DUMMYFUNCTION("GOOGLETRANSLATE(B2054, ""zh"", ""en"")"),"Very easy to use currently with a spoon, very easy to use, yet with the other")</f>
        <v>Very easy to use currently with a spoon, very easy to use, yet with the other</v>
      </c>
    </row>
    <row r="2055">
      <c r="A2055" s="1">
        <v>5.0</v>
      </c>
      <c r="B2055" s="1" t="s">
        <v>2053</v>
      </c>
      <c r="C2055" t="str">
        <f>IFERROR(__xludf.DUMMYFUNCTION("GOOGLETRANSLATE(B2055, ""zh"", ""en"")"),"Comparative fit white, cotton comfortable texture, slightly transparent, female, weight 167. Height 106, S code suitable bit length")</f>
        <v>Comparative fit white, cotton comfortable texture, slightly transparent, female, weight 167. Height 106, S code suitable bit length</v>
      </c>
    </row>
    <row r="2056">
      <c r="A2056" s="1">
        <v>5.0</v>
      </c>
      <c r="B2056" s="1" t="s">
        <v>2054</v>
      </c>
      <c r="C2056" t="str">
        <f>IFERROR(__xludf.DUMMYFUNCTION("GOOGLETRANSLATE(B2056, ""zh"", ""en"")"),"It is worth buying 42.5 tidal shoes usually wear shoes, this pair of 42 is enough, perfect, walk outside the blast wave")</f>
        <v>It is worth buying 42.5 tidal shoes usually wear shoes, this pair of 42 is enough, perfect, walk outside the blast wave</v>
      </c>
    </row>
    <row r="2057">
      <c r="A2057" s="1">
        <v>5.0</v>
      </c>
      <c r="B2057" s="1" t="s">
        <v>2055</v>
      </c>
      <c r="C2057" t="str">
        <f>IFERROR(__xludf.DUMMYFUNCTION("GOOGLETRANSLATE(B2057, ""zh"", ""en"")"),"Habit habit look something good, very convenient. Originally a long time without wearing a watch, hoping to up the habit")</f>
        <v>Habit habit look something good, very convenient. Originally a long time without wearing a watch, hoping to up the habit</v>
      </c>
    </row>
    <row r="2058">
      <c r="A2058" s="1">
        <v>5.0</v>
      </c>
      <c r="B2058" s="1" t="s">
        <v>2056</v>
      </c>
      <c r="C2058" t="str">
        <f>IFERROR(__xludf.DUMMYFUNCTION("GOOGLETRANSLATE(B2058, ""zh"", ""en"")"),"Basically suitable basically appropriate, feet a little tight, my feet 235mm, 240mm shoes to buy is for your reference")</f>
        <v>Basically suitable basically appropriate, feet a little tight, my feet 235mm, 240mm shoes to buy is for your reference</v>
      </c>
    </row>
    <row r="2059">
      <c r="A2059" s="1">
        <v>5.0</v>
      </c>
      <c r="B2059" s="1" t="s">
        <v>2057</v>
      </c>
      <c r="C2059" t="str">
        <f>IFERROR(__xludf.DUMMYFUNCTION("GOOGLETRANSLATE(B2059, ""zh"", ""en"")"),"Quality can also be")</f>
        <v>Quality can also be</v>
      </c>
    </row>
    <row r="2060">
      <c r="A2060" s="1">
        <v>5.0</v>
      </c>
      <c r="B2060" s="1" t="s">
        <v>2058</v>
      </c>
      <c r="C2060" t="str">
        <f>IFERROR(__xludf.DUMMYFUNCTION("GOOGLETRANSLATE(B2060, ""zh"", ""en"")"),"Thrive, thick, material cross the border, in line with expectations, will repurchase the same brand to other products")</f>
        <v>Thrive, thick, material cross the border, in line with expectations, will repurchase the same brand to other products</v>
      </c>
    </row>
    <row r="2061">
      <c r="A2061" s="1">
        <v>5.0</v>
      </c>
      <c r="B2061" s="1" t="s">
        <v>2059</v>
      </c>
      <c r="C2061" t="str">
        <f>IFERROR(__xludf.DUMMYFUNCTION("GOOGLETRANSLATE(B2061, ""zh"", ""en"")"),"Recommended uncomfortable, but later opened the line, how to deal with it")</f>
        <v>Recommended uncomfortable, but later opened the line, how to deal with it</v>
      </c>
    </row>
    <row r="2062">
      <c r="A2062" s="1">
        <v>5.0</v>
      </c>
      <c r="B2062" s="1" t="s">
        <v>401</v>
      </c>
      <c r="C2062" t="str">
        <f>IFERROR(__xludf.DUMMYFUNCTION("GOOGLETRANSLATE(B2062, ""zh"", ""en"")"),"Satisfaction is the jacket thin section - flexible, soft texture to 170 to 110 pounds just s")</f>
        <v>Satisfaction is the jacket thin section - flexible, soft texture to 170 to 110 pounds just s</v>
      </c>
    </row>
    <row r="2063">
      <c r="A2063" s="1">
        <v>5.0</v>
      </c>
      <c r="B2063" s="1" t="s">
        <v>2060</v>
      </c>
      <c r="C2063" t="str">
        <f>IFERROR(__xludf.DUMMYFUNCTION("GOOGLETRANSLATE(B2063, ""zh"", ""en"")"),"S the right size to wear comfortable clothes and soft, but just the number would not be very comfortable to wear like type")</f>
        <v>S the right size to wear comfortable clothes and soft, but just the number would not be very comfortable to wear like type</v>
      </c>
    </row>
    <row r="2064">
      <c r="A2064" s="1">
        <v>5.0</v>
      </c>
      <c r="B2064" s="1" t="s">
        <v>2061</v>
      </c>
      <c r="C2064" t="str">
        <f>IFERROR(__xludf.DUMMYFUNCTION("GOOGLETRANSLATE(B2064, ""zh"", ""en"")"),"173-77kg wear the number M number is too large, I wear M just right, a little bit biased long sleeves, others are ok")</f>
        <v>173-77kg wear the number M number is too large, I wear M just right, a little bit biased long sleeves, others are ok</v>
      </c>
    </row>
    <row r="2065">
      <c r="A2065" s="1">
        <v>5.0</v>
      </c>
      <c r="B2065" s="1" t="s">
        <v>2062</v>
      </c>
      <c r="C2065" t="str">
        <f>IFERROR(__xludf.DUMMYFUNCTION("GOOGLETRANSLATE(B2065, ""zh"", ""en"")"),"Very good casio asked to call customer service, you will be taught to use them. Chinese official website there are instructions available for download. Very good, but this is a man money, a woman with a slightly larger, and then to the family man he used "&amp;"to buy a female.")</f>
        <v>Very good casio asked to call customer service, you will be taught to use them. Chinese official website there are instructions available for download. Very good, but this is a man money, a woman with a slightly larger, and then to the family man he used to buy a female.</v>
      </c>
    </row>
    <row r="2066">
      <c r="A2066" s="1">
        <v>5.0</v>
      </c>
      <c r="B2066" s="1" t="s">
        <v>2063</v>
      </c>
      <c r="C2066" t="str">
        <f>IFERROR(__xludf.DUMMYFUNCTION("GOOGLETRANSLATE(B2066, ""zh"", ""en"")"),"Good value for money compared the country to buy before the next, not much difference, it should be used, much higher than the national line version price")</f>
        <v>Good value for money compared the country to buy before the next, not much difference, it should be used, much higher than the national line version price</v>
      </c>
    </row>
    <row r="2067">
      <c r="A2067" s="1">
        <v>5.0</v>
      </c>
      <c r="B2067" s="1" t="s">
        <v>2064</v>
      </c>
      <c r="C2067" t="str">
        <f>IFERROR(__xludf.DUMMYFUNCTION("GOOGLETRANSLATE(B2067, ""zh"", ""en"")"),"Very comfortable, close-fitting comfortable, personal, warm. . . . .")</f>
        <v>Very comfortable, close-fitting comfortable, personal, warm. . . . .</v>
      </c>
    </row>
    <row r="2068">
      <c r="A2068" s="1">
        <v>5.0</v>
      </c>
      <c r="B2068" s="1" t="s">
        <v>2065</v>
      </c>
      <c r="C2068" t="str">
        <f>IFERROR(__xludf.DUMMYFUNCTION("GOOGLETRANSLATE(B2068, ""zh"", ""en"")"),"Overall good liner with a coating, the overall feeling okay, not soaked wash.")</f>
        <v>Overall good liner with a coating, the overall feeling okay, not soaked wash.</v>
      </c>
    </row>
    <row r="2069">
      <c r="A2069" s="1">
        <v>5.0</v>
      </c>
      <c r="B2069" s="1" t="s">
        <v>2066</v>
      </c>
      <c r="C2069" t="str">
        <f>IFERROR(__xludf.DUMMYFUNCTION("GOOGLETRANSLATE(B2069, ""zh"", ""en"")"),"Pacifier and very soft like the domestic version is not the same, scale thicker, softer and more obvious pacifiers also the value of so many online shopping platform with the baby just believe Amazon")</f>
        <v>Pacifier and very soft like the domestic version is not the same, scale thicker, softer and more obvious pacifiers also the value of so many online shopping platform with the baby just believe Amazon</v>
      </c>
    </row>
    <row r="2070">
      <c r="A2070" s="1">
        <v>2.0</v>
      </c>
      <c r="B2070" s="1" t="s">
        <v>2067</v>
      </c>
      <c r="C2070" t="str">
        <f>IFERROR(__xludf.DUMMYFUNCTION("GOOGLETRANSLATE(B2070, ""zh"", ""en"")"),"171 70kg size too big, and the family size before you buy too much deviation")</f>
        <v>171 70kg size too big, and the family size before you buy too much deviation</v>
      </c>
    </row>
    <row r="2071">
      <c r="A2071" s="1">
        <v>3.0</v>
      </c>
      <c r="B2071" s="1" t="s">
        <v>2068</v>
      </c>
      <c r="C2071" t="str">
        <f>IFERROR(__xludf.DUMMYFUNCTION("GOOGLETRANSLATE(B2071, ""zh"", ""en"")"),"The shoes too hard! ↖ like to play 80 minutes, foot feeling to play 59 minutes! Before and bought two pairs, black state too hard! ! ! decline!")</f>
        <v>The shoes too hard! ↖ like to play 80 minutes, foot feeling to play 59 minutes! Before and bought two pairs, black state too hard! ! ! decline!</v>
      </c>
    </row>
    <row r="2072">
      <c r="A2072" s="1">
        <v>3.0</v>
      </c>
      <c r="B2072" s="1" t="s">
        <v>2069</v>
      </c>
      <c r="C2072" t="str">
        <f>IFERROR(__xludf.DUMMYFUNCTION("GOOGLETRANSLATE(B2072, ""zh"", ""en"")"),"Seeking identification Although overall are good, but the feeling had returned wearing secondhand others, more obvious signs, shipping packaging is very simple, and there is no protective film to protect the dial, streaking inside the box, looked distress"&amp;"ed, barely 3 star, on the map seeking identification")</f>
        <v>Seeking identification Although overall are good, but the feeling had returned wearing secondhand others, more obvious signs, shipping packaging is very simple, and there is no protective film to protect the dial, streaking inside the box, looked distressed, barely 3 star, on the map seeking identification</v>
      </c>
    </row>
    <row r="2073">
      <c r="A2073" s="1">
        <v>1.0</v>
      </c>
      <c r="B2073" s="1" t="s">
        <v>2070</v>
      </c>
      <c r="C2073" t="str">
        <f>IFERROR(__xludf.DUMMYFUNCTION("GOOGLETRANSLATE(B2073, ""zh"", ""en"")"),"Do not buy this watch! ! ! Watch quality is very poor! ! ! Do not buy this watch! ! ! Less than a year, the minute hand hour hand can be adjusted, but the date can not be adjusted, and then suddenly the backlight is not bright. With battery power it does "&amp;"not matter, for a piece of the battery or not used. Direct throw, more than three hundred dollars is not worth a watch repair.")</f>
        <v>Do not buy this watch! ! ! Watch quality is very poor! ! ! Do not buy this watch! ! ! Less than a year, the minute hand hour hand can be adjusted, but the date can not be adjusted, and then suddenly the backlight is not bright. With battery power it does not matter, for a piece of the battery or not used. Direct throw, more than three hundred dollars is not worth a watch repair.</v>
      </c>
    </row>
    <row r="2074">
      <c r="A2074" s="1">
        <v>1.0</v>
      </c>
      <c r="B2074" s="1" t="s">
        <v>2071</v>
      </c>
      <c r="C2074" t="str">
        <f>IFERROR(__xludf.DUMMYFUNCTION("GOOGLETRANSLATE(B2074, ""zh"", ""en"")"),"China does not give bad repair! Overseas buying bad, not to repair the domestic sale only in the issuing country repair, what I might buy a headset, have to go abroad to repair, a tragedy! Buyers carefully consider!")</f>
        <v>China does not give bad repair! Overseas buying bad, not to repair the domestic sale only in the issuing country repair, what I might buy a headset, have to go abroad to repair, a tragedy! Buyers carefully consider!</v>
      </c>
    </row>
    <row r="2075">
      <c r="A2075" s="1">
        <v>1.0</v>
      </c>
      <c r="B2075" s="1" t="s">
        <v>2072</v>
      </c>
      <c r="C2075" t="str">
        <f>IFERROR(__xludf.DUMMYFUNCTION("GOOGLETRANSLATE(B2075, ""zh"", ""en"")"),"Serious physical and picture does not match is not fixed bowl three received several very shallow cups, top three grid. Had trouble returns, left early")</f>
        <v>Serious physical and picture does not match is not fixed bowl three received several very shallow cups, top three grid. Had trouble returns, left early</v>
      </c>
    </row>
    <row r="2076">
      <c r="A2076" s="1">
        <v>4.0</v>
      </c>
      <c r="B2076" s="1" t="s">
        <v>2073</v>
      </c>
      <c r="C2076" t="str">
        <f>IFERROR(__xludf.DUMMYFUNCTION("GOOGLETRANSLATE(B2076, ""zh"", ""en"")"),"You can buy something good, quality can be.")</f>
        <v>You can buy something good, quality can be.</v>
      </c>
    </row>
    <row r="2077">
      <c r="A2077" s="1">
        <v>4.0</v>
      </c>
      <c r="B2077" s="1" t="s">
        <v>2074</v>
      </c>
      <c r="C2077" t="str">
        <f>IFERROR(__xludf.DUMMYFUNCTION("GOOGLETRANSLATE(B2077, ""zh"", ""en"")"),"Well, appropriate. Japanese version of the US version is not comfortable, the fabric is very hard. I 162cm, 55kg wear xs appropriate United States Code, date code wear m. To provide you refer, the United States and Japan code xs = m, and so on.")</f>
        <v>Well, appropriate. Japanese version of the US version is not comfortable, the fabric is very hard. I 162cm, 55kg wear xs appropriate United States Code, date code wear m. To provide you refer, the United States and Japan code xs = m, and so on.</v>
      </c>
    </row>
    <row r="2078">
      <c r="A2078" s="1">
        <v>4.0</v>
      </c>
      <c r="B2078" s="1" t="s">
        <v>2075</v>
      </c>
      <c r="C2078" t="str">
        <f>IFERROR(__xludf.DUMMYFUNCTION("GOOGLETRANSLATE(B2078, ""zh"", ""en"")"),"Satisfactory quality can be, it is a bit thick")</f>
        <v>Satisfactory quality can be, it is a bit thick</v>
      </c>
    </row>
    <row r="2079">
      <c r="A2079" s="1">
        <v>4.0</v>
      </c>
      <c r="B2079" s="1" t="s">
        <v>2076</v>
      </c>
      <c r="C2079" t="str">
        <f>IFERROR(__xludf.DUMMYFUNCTION("GOOGLETRANSLATE(B2079, ""zh"", ""en"")"),"Suitable cost-effective size normal wear 38 yards just this pair may be slightly larger bit wear thicker socks good quality")</f>
        <v>Suitable cost-effective size normal wear 38 yards just this pair may be slightly larger bit wear thicker socks good quality</v>
      </c>
    </row>
    <row r="2080">
      <c r="A2080" s="1">
        <v>5.0</v>
      </c>
      <c r="B2080" s="1" t="s">
        <v>2077</v>
      </c>
      <c r="C2080" t="str">
        <f>IFERROR(__xludf.DUMMYFUNCTION("GOOGLETRANSLATE(B2080, ""zh"", ""en"")"),"You can also walk, can have the appearance of quality, good")</f>
        <v>You can also walk, can have the appearance of quality, good</v>
      </c>
    </row>
    <row r="2081">
      <c r="A2081" s="1">
        <v>5.0</v>
      </c>
      <c r="B2081" s="1" t="s">
        <v>2078</v>
      </c>
      <c r="C2081" t="str">
        <f>IFERROR(__xludf.DUMMYFUNCTION("GOOGLETRANSLATE(B2081, ""zh"", ""en"")"),"Yes looks good, but not installed")</f>
        <v>Yes looks good, but not installed</v>
      </c>
    </row>
    <row r="2082">
      <c r="A2082" s="1">
        <v>5.0</v>
      </c>
      <c r="B2082" s="1" t="s">
        <v>2079</v>
      </c>
      <c r="C2082" t="str">
        <f>IFERROR(__xludf.DUMMYFUNCTION("GOOGLETRANSLATE(B2082, ""zh"", ""en"")"),"I have the right size 158/44, M number right size. The Japanese attitude can be seen from the packaging quality, it is worth people to learn.")</f>
        <v>I have the right size 158/44, M number right size. The Japanese attitude can be seen from the packaging quality, it is worth people to learn.</v>
      </c>
    </row>
    <row r="2083">
      <c r="A2083" s="1">
        <v>5.0</v>
      </c>
      <c r="B2083" s="1" t="s">
        <v>2080</v>
      </c>
      <c r="C2083" t="str">
        <f>IFERROR(__xludf.DUMMYFUNCTION("GOOGLETRANSLATE(B2083, ""zh"", ""en"")"),"I am too small a 180,85KG, M is able to wear, but obviously too small, visually L is very appropriate, some critics say no to 70KG M are too small, impossible. . . It may be different from our understanding of tights ~")</f>
        <v>I am too small a 180,85KG, M is able to wear, but obviously too small, visually L is very appropriate, some critics say no to 70KG M are too small, impossible. . . It may be different from our understanding of tights ~</v>
      </c>
    </row>
    <row r="2084">
      <c r="A2084" s="1">
        <v>5.0</v>
      </c>
      <c r="B2084" s="1" t="s">
        <v>2081</v>
      </c>
      <c r="C2084" t="str">
        <f>IFERROR(__xludf.DUMMYFUNCTION("GOOGLETRANSLATE(B2084, ""zh"", ""en"")"),"Suit pants size is very appropriate, good quality")</f>
        <v>Suit pants size is very appropriate, good quality</v>
      </c>
    </row>
    <row r="2085">
      <c r="A2085" s="1">
        <v>5.0</v>
      </c>
      <c r="B2085" s="1" t="s">
        <v>2082</v>
      </c>
      <c r="C2085" t="str">
        <f>IFERROR(__xludf.DUMMYFUNCTION("GOOGLETRANSLATE(B2085, ""zh"", ""en"")"),"Price okay. Nichia packaging is very tight, glass still looks good, not use, give praise!")</f>
        <v>Price okay. Nichia packaging is very tight, glass still looks good, not use, give praise!</v>
      </c>
    </row>
    <row r="2086">
      <c r="A2086" s="1">
        <v>5.0</v>
      </c>
      <c r="B2086" s="1" t="s">
        <v>2083</v>
      </c>
      <c r="C2086" t="str">
        <f>IFERROR(__xludf.DUMMYFUNCTION("GOOGLETRANSLATE(B2086, ""zh"", ""en"")"),"Particularly well how can I express my love for you")</f>
        <v>Particularly well how can I express my love for you</v>
      </c>
    </row>
    <row r="2087">
      <c r="A2087" s="1">
        <v>5.0</v>
      </c>
      <c r="B2087" s="1" t="s">
        <v>2084</v>
      </c>
      <c r="C2087" t="str">
        <f>IFERROR(__xludf.DUMMYFUNCTION("GOOGLETRANSLATE(B2087, ""zh"", ""en"")"),"Like the first single package Nichia. Packaging is praise. You do not have to worry about the damage during transportation may cause")</f>
        <v>Like the first single package Nichia. Packaging is praise. You do not have to worry about the damage during transportation may cause</v>
      </c>
    </row>
    <row r="2088">
      <c r="A2088" s="1">
        <v>5.0</v>
      </c>
      <c r="B2088" s="1" t="s">
        <v>2085</v>
      </c>
      <c r="C2088" t="str">
        <f>IFERROR(__xludf.DUMMYFUNCTION("GOOGLETRANSLATE(B2088, ""zh"", ""en"")"),"Really feel Bang Bang da Korea-based Friends of similar models discounted price 280 ha ha ha ha this is really a good deal curved eaves significantly smaller face")</f>
        <v>Really feel Bang Bang da Korea-based Friends of similar models discounted price 280 ha ha ha ha this is really a good deal curved eaves significantly smaller face</v>
      </c>
    </row>
    <row r="2089">
      <c r="A2089" s="1">
        <v>5.0</v>
      </c>
      <c r="B2089" s="1" t="s">
        <v>2086</v>
      </c>
      <c r="C2089" t="str">
        <f>IFERROR(__xludf.DUMMYFUNCTION("GOOGLETRANSLATE(B2089, ""zh"", ""en"")"),"Good quality, high cost of logistics much faster than expected, good quality, is easy to use and do good coffee. And compared to a few years ago bought, there are a lot of improvements. Value for money.")</f>
        <v>Good quality, high cost of logistics much faster than expected, good quality, is easy to use and do good coffee. And compared to a few years ago bought, there are a lot of improvements. Value for money.</v>
      </c>
    </row>
    <row r="2090">
      <c r="A2090" s="1">
        <v>5.0</v>
      </c>
      <c r="B2090" s="1" t="s">
        <v>2087</v>
      </c>
      <c r="C2090" t="str">
        <f>IFERROR(__xludf.DUMMYFUNCTION("GOOGLETRANSLATE(B2090, ""zh"", ""en"")"),"Very good workmanship and elegant style not to say, really authentic work, the end is not glued, together with the surface of the wire-heeled shoes, heel hit four copper nails. I also overpaid, and now the price is cheaper than when I bought a hundred, bu"&amp;"t I still feel value.")</f>
        <v>Very good workmanship and elegant style not to say, really authentic work, the end is not glued, together with the surface of the wire-heeled shoes, heel hit four copper nails. I also overpaid, and now the price is cheaper than when I bought a hundred, but I still feel value.</v>
      </c>
    </row>
    <row r="2091">
      <c r="A2091" s="1">
        <v>5.0</v>
      </c>
      <c r="B2091" s="1" t="s">
        <v>2088</v>
      </c>
      <c r="C2091" t="str">
        <f>IFERROR(__xludf.DUMMYFUNCTION("GOOGLETRANSLATE(B2091, ""zh"", ""en"")"),"Dedicated cup cold or very good, but did not see a dedicated cold, do not know insulation Can")</f>
        <v>Dedicated cup cold or very good, but did not see a dedicated cold, do not know insulation Can</v>
      </c>
    </row>
    <row r="2092">
      <c r="A2092" s="1">
        <v>5.0</v>
      </c>
      <c r="B2092" s="1" t="s">
        <v>2089</v>
      </c>
      <c r="C2092" t="str">
        <f>IFERROR(__xludf.DUMMYFUNCTION("GOOGLETRANSLATE(B2092, ""zh"", ""en"")"),"Beautifully packaged worthy of recommendation, eat some time to know the effect!")</f>
        <v>Beautifully packaged worthy of recommendation, eat some time to know the effect!</v>
      </c>
    </row>
    <row r="2093">
      <c r="A2093" s="1">
        <v>5.0</v>
      </c>
      <c r="B2093" s="1" t="s">
        <v>2090</v>
      </c>
      <c r="C2093" t="str">
        <f>IFERROR(__xludf.DUMMYFUNCTION("GOOGLETRANSLATE(B2093, ""zh"", ""en"")"),"Satisfied with the upper body works well, the girls, according to the comments buy size is very appropriate. 160 wearing m")</f>
        <v>Satisfied with the upper body works well, the girls, according to the comments buy size is very appropriate. 160 wearing m</v>
      </c>
    </row>
    <row r="2094">
      <c r="A2094" s="1">
        <v>5.0</v>
      </c>
      <c r="B2094" s="1" t="s">
        <v>2091</v>
      </c>
      <c r="C2094" t="str">
        <f>IFERROR(__xludf.DUMMYFUNCTION("GOOGLETRANSLATE(B2094, ""zh"", ""en"")"),"Fabric is very high, satisfactory wear very comfortable, cost-effective")</f>
        <v>Fabric is very high, satisfactory wear very comfortable, cost-effective</v>
      </c>
    </row>
    <row r="2095">
      <c r="A2095" s="1">
        <v>5.0</v>
      </c>
      <c r="B2095" s="1" t="s">
        <v>2092</v>
      </c>
      <c r="C2095" t="str">
        <f>IFERROR(__xludf.DUMMYFUNCTION("GOOGLETRANSLATE(B2095, ""zh"", ""en"")"),"Product Description Very true! Compass and water resistance has been tested repeatedly describe the real!")</f>
        <v>Product Description Very true! Compass and water resistance has been tested repeatedly describe the real!</v>
      </c>
    </row>
    <row r="2096">
      <c r="A2096" s="1">
        <v>5.0</v>
      </c>
      <c r="B2096" s="1" t="s">
        <v>2093</v>
      </c>
      <c r="C2096" t="str">
        <f>IFERROR(__xludf.DUMMYFUNCTION("GOOGLETRANSLATE(B2096, ""zh"", ""en"")"),"Genuine satisfaction. I liked. It only took a plastic bag as packaging, shoebox completely damaged, but fortunately no damage to the shoes.")</f>
        <v>Genuine satisfaction. I liked. It only took a plastic bag as packaging, shoebox completely damaged, but fortunately no damage to the shoes.</v>
      </c>
    </row>
    <row r="2097">
      <c r="A2097" s="1">
        <v>5.0</v>
      </c>
      <c r="B2097" s="1" t="s">
        <v>2094</v>
      </c>
      <c r="C2097" t="str">
        <f>IFERROR(__xludf.DUMMYFUNCTION("GOOGLETRANSLATE(B2097, ""zh"", ""en"")"),"Yan high value plastic pots. Yan high value, does not this pot liner is plastic, but fortunately no taste boil.")</f>
        <v>Yan high value plastic pots. Yan high value, does not this pot liner is plastic, but fortunately no taste boil.</v>
      </c>
    </row>
    <row r="2098">
      <c r="A2098" s="1">
        <v>5.0</v>
      </c>
      <c r="B2098" s="1" t="s">
        <v>2095</v>
      </c>
      <c r="C2098" t="str">
        <f>IFERROR(__xludf.DUMMYFUNCTION("GOOGLETRANSLATE(B2098, ""zh"", ""en"")"),"Good pot really like, no coating")</f>
        <v>Good pot really like, no coating</v>
      </c>
    </row>
    <row r="2099">
      <c r="A2099" s="1">
        <v>5.0</v>
      </c>
      <c r="B2099" s="1" t="s">
        <v>2096</v>
      </c>
      <c r="C2099" t="str">
        <f>IFERROR(__xludf.DUMMYFUNCTION("GOOGLETRANSLATE(B2099, ""zh"", ""en"")"),"Amazon bought six pairs of shoes on a good, quality is better than domestic production, as long as selecting the right size, not much to say other")</f>
        <v>Amazon bought six pairs of shoes on a good, quality is better than domestic production, as long as selecting the right size, not much to say other</v>
      </c>
    </row>
    <row r="2100">
      <c r="A2100" s="1">
        <v>5.0</v>
      </c>
      <c r="B2100" s="1" t="s">
        <v>2097</v>
      </c>
      <c r="C2100" t="str">
        <f>IFERROR(__xludf.DUMMYFUNCTION("GOOGLETRANSLATE(B2100, ""zh"", ""en"")"),"Good quality and good quality, effective insulation")</f>
        <v>Good quality and good quality, effective insulation</v>
      </c>
    </row>
    <row r="2101">
      <c r="A2101" s="1">
        <v>5.0</v>
      </c>
      <c r="B2101" s="1" t="s">
        <v>2098</v>
      </c>
      <c r="C2101" t="str">
        <f>IFERROR(__xludf.DUMMYFUNCTION("GOOGLETRANSLATE(B2101, ""zh"", ""en"")"),"Very satisfied with the price, good texture, very fit, 170cm, 65kg.")</f>
        <v>Very satisfied with the price, good texture, very fit, 170cm, 65kg.</v>
      </c>
    </row>
    <row r="2102">
      <c r="A2102" s="1">
        <v>2.0</v>
      </c>
      <c r="B2102" s="1" t="s">
        <v>2099</v>
      </c>
      <c r="C2102" t="str">
        <f>IFERROR(__xludf.DUMMYFUNCTION("GOOGLETRANSLATE(B2102, ""zh"", ""en"")"),"Dissatisfied really doubt, ECCO's so rough work, and no merchandise tag, open as well as heavy taste.")</f>
        <v>Dissatisfied really doubt, ECCO's so rough work, and no merchandise tag, open as well as heavy taste.</v>
      </c>
    </row>
    <row r="2103">
      <c r="A2103" s="1">
        <v>3.0</v>
      </c>
      <c r="B2103" s="1" t="s">
        <v>2100</v>
      </c>
      <c r="C2103" t="str">
        <f>IFERROR(__xludf.DUMMYFUNCTION("GOOGLETRANSLATE(B2103, ""zh"", ""en"")"),"Bought a leaking spent two years this place is leaking. So I buy a new one, but this has just bought a new, in the same position, direct water out, do not know why. . .")</f>
        <v>Bought a leaking spent two years this place is leaking. So I buy a new one, but this has just bought a new, in the same position, direct water out, do not know why. . .</v>
      </c>
    </row>
    <row r="2104">
      <c r="A2104" s="1">
        <v>3.0</v>
      </c>
      <c r="B2104" s="1" t="s">
        <v>2101</v>
      </c>
      <c r="C2104" t="str">
        <f>IFERROR(__xludf.DUMMYFUNCTION("GOOGLETRANSLATE(B2104, ""zh"", ""en"")"),"Super thin style okay, wearing a very pretty, is a bit thin, so the summer season will wear reimbursed")</f>
        <v>Super thin style okay, wearing a very pretty, is a bit thin, so the summer season will wear reimbursed</v>
      </c>
    </row>
    <row r="2105">
      <c r="A2105" s="1">
        <v>3.0</v>
      </c>
      <c r="B2105" s="1" t="s">
        <v>2102</v>
      </c>
      <c r="C2105" t="str">
        <f>IFERROR(__xludf.DUMMYFUNCTION("GOOGLETRANSLATE(B2105, ""zh"", ""en"")"),"Cheap quality is generally personal feelings and domestic stores of goods are different, size is too large!")</f>
        <v>Cheap quality is generally personal feelings and domestic stores of goods are different, size is too large!</v>
      </c>
    </row>
    <row r="2106">
      <c r="A2106" s="1">
        <v>1.0</v>
      </c>
      <c r="B2106" s="1" t="s">
        <v>2103</v>
      </c>
      <c r="C2106" t="str">
        <f>IFERROR(__xludf.DUMMYFUNCTION("GOOGLETRANSLATE(B2106, ""zh"", ""en"")"),"Why did not the box? Not even a box, this 😣 ............")</f>
        <v>Why did not the box? Not even a box, this 😣 ............</v>
      </c>
    </row>
    <row r="2107">
      <c r="A2107" s="1">
        <v>1.0</v>
      </c>
      <c r="B2107" s="1" t="s">
        <v>2104</v>
      </c>
      <c r="C2107" t="str">
        <f>IFERROR(__xludf.DUMMYFUNCTION("GOOGLETRANSLATE(B2107, ""zh"", ""en"")"),"Impurities with an impurity filter, the white filled black powder bowl visible. I do not know what the substance is. Put the water for a while, then consecutive bowls also true")</f>
        <v>Impurities with an impurity filter, the white filled black powder bowl visible. I do not know what the substance is. Put the water for a while, then consecutive bowls also true</v>
      </c>
    </row>
    <row r="2108">
      <c r="A2108" s="1">
        <v>4.0</v>
      </c>
      <c r="B2108" s="1" t="s">
        <v>2105</v>
      </c>
      <c r="C2108" t="str">
        <f>IFERROR(__xludf.DUMMYFUNCTION("GOOGLETRANSLATE(B2108, ""zh"", ""en"")"),"Just so-so wide range, clear vocals, bass slightly less, even with the upgraded app also gain was not significant (I over-emphasis on the bass because of it). These are the results link Apple devices. Good balance plus the front line will launch a new eff"&amp;"ect, the recent plan to start NW-ZX300, hopes to launch the desired effect after put balance.")</f>
        <v>Just so-so wide range, clear vocals, bass slightly less, even with the upgraded app also gain was not significant (I over-emphasis on the bass because of it). These are the results link Apple devices. Good balance plus the front line will launch a new effect, the recent plan to start NW-ZX300, hopes to launch the desired effect after put balance.</v>
      </c>
    </row>
    <row r="2109">
      <c r="A2109" s="1">
        <v>4.0</v>
      </c>
      <c r="B2109" s="1" t="s">
        <v>2106</v>
      </c>
      <c r="C2109" t="str">
        <f>IFERROR(__xludf.DUMMYFUNCTION("GOOGLETRANSLATE(B2109, ""zh"", ""en"")"),"Recommended color is a bit dark, not very too fond of, size can also comfortable to wear, is the color, pink beige, not ideal")</f>
        <v>Recommended color is a bit dark, not very too fond of, size can also comfortable to wear, is the color, pink beige, not ideal</v>
      </c>
    </row>
    <row r="2110">
      <c r="A2110" s="1">
        <v>4.0</v>
      </c>
      <c r="B2110" s="1" t="s">
        <v>2107</v>
      </c>
      <c r="C2110" t="str">
        <f>IFERROR(__xludf.DUMMYFUNCTION("GOOGLETRANSLATE(B2110, ""zh"", ""en"")"),"Clean-shaven Netherlands production, clean-shaven, and waterproof, do not clip the beard is often reminded to wash, and washed after the lights still on, and just whatever it up.")</f>
        <v>Clean-shaven Netherlands production, clean-shaven, and waterproof, do not clip the beard is often reminded to wash, and washed after the lights still on, and just whatever it up.</v>
      </c>
    </row>
    <row r="2111">
      <c r="A2111" s="1">
        <v>4.0</v>
      </c>
      <c r="B2111" s="1" t="s">
        <v>2108</v>
      </c>
      <c r="C2111" t="str">
        <f>IFERROR(__xludf.DUMMYFUNCTION("GOOGLETRANSLATE(B2111, ""zh"", ""en"")"),"Not a good use, very cost-effective!")</f>
        <v>Not a good use, very cost-effective!</v>
      </c>
    </row>
    <row r="2112">
      <c r="A2112" s="1">
        <v>4.0</v>
      </c>
      <c r="B2112" s="1" t="s">
        <v>2109</v>
      </c>
      <c r="C2112" t="str">
        <f>IFERROR(__xludf.DUMMYFUNCTION("GOOGLETRANSLATE(B2112, ""zh"", ""en"")"),"Too large 160cm, 46kg, bought No. 2, pants too long, thigh and hip are also big, calf circumference is actually more appropriate. 0 may be more appropriate.")</f>
        <v>Too large 160cm, 46kg, bought No. 2, pants too long, thigh and hip are also big, calf circumference is actually more appropriate. 0 may be more appropriate.</v>
      </c>
    </row>
    <row r="2113">
      <c r="A2113" s="1">
        <v>5.0</v>
      </c>
      <c r="B2113" s="1" t="s">
        <v>2110</v>
      </c>
      <c r="C2113" t="str">
        <f>IFERROR(__xludf.DUMMYFUNCTION("GOOGLETRANSLATE(B2113, ""zh"", ""en"")"),"Reputation difficult to pay wearing comfortable, relatively thin, will play ball")</f>
        <v>Reputation difficult to pay wearing comfortable, relatively thin, will play ball</v>
      </c>
    </row>
    <row r="2114">
      <c r="A2114" s="1">
        <v>5.0</v>
      </c>
      <c r="B2114" s="1" t="s">
        <v>2111</v>
      </c>
      <c r="C2114" t="str">
        <f>IFERROR(__xludf.DUMMYFUNCTION("GOOGLETRANSLATE(B2114, ""zh"", ""en"")"),"Super recommended super rod, really tighten Naples, bought two smaller numbers, can wear into, it is appropriate, that there is no uncomfortable feeling ~")</f>
        <v>Super recommended super rod, really tighten Naples, bought two smaller numbers, can wear into, it is appropriate, that there is no uncomfortable feeling ~</v>
      </c>
    </row>
    <row r="2115">
      <c r="A2115" s="1">
        <v>5.0</v>
      </c>
      <c r="B2115" s="1" t="s">
        <v>2112</v>
      </c>
      <c r="C2115" t="str">
        <f>IFERROR(__xludf.DUMMYFUNCTION("GOOGLETRANSLATE(B2115, ""zh"", ""en"")"),"Very, very good clothes is to buy big, high 180, weight 85kg should buy M's very, very good clothes is to buy big, high 180, weight 85kg should buy M's")</f>
        <v>Very, very good clothes is to buy big, high 180, weight 85kg should buy M's very, very good clothes is to buy big, high 180, weight 85kg should buy M's</v>
      </c>
    </row>
    <row r="2116">
      <c r="A2116" s="1">
        <v>5.0</v>
      </c>
      <c r="B2116" s="1" t="s">
        <v>2113</v>
      </c>
      <c r="C2116" t="str">
        <f>IFERROR(__xludf.DUMMYFUNCTION("GOOGLETRANSLATE(B2116, ""zh"", ""en"")"),"Comfortable, the right size pants is thin, suitable for hot days, wear, self-cultivation, exquisite workmanship")</f>
        <v>Comfortable, the right size pants is thin, suitable for hot days, wear, self-cultivation, exquisite workmanship</v>
      </c>
    </row>
    <row r="2117">
      <c r="A2117" s="1">
        <v>5.0</v>
      </c>
      <c r="B2117" s="1" t="s">
        <v>2114</v>
      </c>
      <c r="C2117" t="str">
        <f>IFERROR(__xludf.DUMMYFUNCTION("GOOGLETRANSLATE(B2117, ""zh"", ""en"")"),"Okay pick amp, you can own a1")</f>
        <v>Okay pick amp, you can own a1</v>
      </c>
    </row>
    <row r="2118">
      <c r="A2118" s="1">
        <v>5.0</v>
      </c>
      <c r="B2118" s="1" t="s">
        <v>2115</v>
      </c>
      <c r="C2118" t="str">
        <f>IFERROR(__xludf.DUMMYFUNCTION("GOOGLETRANSLATE(B2118, ""zh"", ""en"")"),"Yes tell the truth is very good, after listening to two weeks, in addition to general appearance")</f>
        <v>Yes tell the truth is very good, after listening to two weeks, in addition to general appearance</v>
      </c>
    </row>
    <row r="2119">
      <c r="A2119" s="1">
        <v>5.0</v>
      </c>
      <c r="B2119" s="1" t="s">
        <v>2116</v>
      </c>
      <c r="C2119" t="str">
        <f>IFERROR(__xludf.DUMMYFUNCTION("GOOGLETRANSLATE(B2119, ""zh"", ""en"")"),"Like the lightweight and insulation, very good")</f>
        <v>Like the lightweight and insulation, very good</v>
      </c>
    </row>
    <row r="2120">
      <c r="A2120" s="1">
        <v>5.0</v>
      </c>
      <c r="B2120" s="1" t="s">
        <v>2117</v>
      </c>
      <c r="C2120" t="str">
        <f>IFERROR(__xludf.DUMMYFUNCTION("GOOGLETRANSLATE(B2120, ""zh"", ""en"")"),"There is no good amp, it may not play the skill with the original HTC phone Morel earphones ratio, and almost delicate layers of sound. Earmuffs large, long summer wear sweat. There is no good amp, it may not play the skill.")</f>
        <v>There is no good amp, it may not play the skill with the original HTC phone Morel earphones ratio, and almost delicate layers of sound. Earmuffs large, long summer wear sweat. There is no good amp, it may not play the skill.</v>
      </c>
    </row>
    <row r="2121">
      <c r="A2121" s="1">
        <v>5.0</v>
      </c>
      <c r="B2121" s="1" t="s">
        <v>2118</v>
      </c>
      <c r="C2121" t="str">
        <f>IFERROR(__xludf.DUMMYFUNCTION("GOOGLETRANSLATE(B2121, ""zh"", ""en"")"),"The buy smaller, 101 hip postpartum month, 86 this buy small waist, sit down and breathe, hip postpartum month 101, waist 86, just freshman code!")</f>
        <v>The buy smaller, 101 hip postpartum month, 86 this buy small waist, sit down and breathe, hip postpartum month 101, waist 86, just freshman code!</v>
      </c>
    </row>
    <row r="2122">
      <c r="A2122" s="1">
        <v>5.0</v>
      </c>
      <c r="B2122" s="1" t="s">
        <v>2119</v>
      </c>
      <c r="C2122" t="str">
        <f>IFERROR(__xludf.DUMMYFUNCTION("GOOGLETRANSLATE(B2122, ""zh"", ""en"")"),"Thermostat leading out of the package price is very delicate, rapid delivery, excellent workmanship, anti-scald jacket comes with a very sophisticated, heads relatively simple, but the standard interface can upgrade their own")</f>
        <v>Thermostat leading out of the package price is very delicate, rapid delivery, excellent workmanship, anti-scald jacket comes with a very sophisticated, heads relatively simple, but the standard interface can upgrade their own</v>
      </c>
    </row>
    <row r="2123">
      <c r="A2123" s="1">
        <v>5.0</v>
      </c>
      <c r="B2123" s="1" t="s">
        <v>2120</v>
      </c>
      <c r="C2123" t="str">
        <f>IFERROR(__xludf.DUMMYFUNCTION("GOOGLETRANSLATE(B2123, ""zh"", ""en"")"),"Linen cloth is very good to see linen background material unique style is also very thick can also be more convenient to use two sets of straps")</f>
        <v>Linen cloth is very good to see linen background material unique style is also very thick can also be more convenient to use two sets of straps</v>
      </c>
    </row>
    <row r="2124">
      <c r="A2124" s="1">
        <v>5.0</v>
      </c>
      <c r="B2124" s="1" t="s">
        <v>2121</v>
      </c>
      <c r="C2124" t="str">
        <f>IFERROR(__xludf.DUMMYFUNCTION("GOOGLETRANSLATE(B2124, ""zh"", ""en"")"),"Champion for the first time wearing a sweater very thick clothes, I bought the right size, but long sleeves or partial, not to wear")</f>
        <v>Champion for the first time wearing a sweater very thick clothes, I bought the right size, but long sleeves or partial, not to wear</v>
      </c>
    </row>
    <row r="2125">
      <c r="A2125" s="1">
        <v>5.0</v>
      </c>
      <c r="B2125" s="1" t="s">
        <v>2122</v>
      </c>
      <c r="C2125" t="str">
        <f>IFERROR(__xludf.DUMMYFUNCTION("GOOGLETRANSLATE(B2125, ""zh"", ""en"")"),"Quality good quality feel OK, my husband on a business trip, not try, the quality is really good 👍")</f>
        <v>Quality good quality feel OK, my husband on a business trip, not try, the quality is really good 👍</v>
      </c>
    </row>
    <row r="2126">
      <c r="A2126" s="1">
        <v>5.0</v>
      </c>
      <c r="B2126" s="1" t="s">
        <v>2123</v>
      </c>
      <c r="C2126" t="str">
        <f>IFERROR(__xludf.DUMMYFUNCTION("GOOGLETRANSLATE(B2126, ""zh"", ""en"")"),"Ok silver pen body, beautiful, fine workmanship, the most important is the price too good, the domestic price is really Pike.")</f>
        <v>Ok silver pen body, beautiful, fine workmanship, the most important is the price too good, the domestic price is really Pike.</v>
      </c>
    </row>
    <row r="2127">
      <c r="A2127" s="1">
        <v>5.0</v>
      </c>
      <c r="B2127" s="1" t="s">
        <v>2124</v>
      </c>
      <c r="C2127" t="str">
        <f>IFERROR(__xludf.DUMMYFUNCTION("GOOGLETRANSLATE(B2127, ""zh"", ""en"")"),"Writing experience to write very Shunliu!")</f>
        <v>Writing experience to write very Shunliu!</v>
      </c>
    </row>
    <row r="2128">
      <c r="A2128" s="1">
        <v>5.0</v>
      </c>
      <c r="B2128" s="1" t="s">
        <v>2125</v>
      </c>
      <c r="C2128" t="str">
        <f>IFERROR(__xludf.DUMMYFUNCTION("GOOGLETRANSLATE(B2128, ""zh"", ""en"")"),"Nice yardage husband put on just being nice couple shoes hee hee")</f>
        <v>Nice yardage husband put on just being nice couple shoes hee hee</v>
      </c>
    </row>
    <row r="2129">
      <c r="A2129" s="1">
        <v>5.0</v>
      </c>
      <c r="B2129" s="1" t="s">
        <v>2126</v>
      </c>
      <c r="C2129" t="str">
        <f>IFERROR(__xludf.DUMMYFUNCTION("GOOGLETRANSLATE(B2129, ""zh"", ""en"")"),"Amazon Commodity size of this problem, please point effort at No. L, roughly equal to domestic xl, things are good, worth buying")</f>
        <v>Amazon Commodity size of this problem, please point effort at No. L, roughly equal to domestic xl, things are good, worth buying</v>
      </c>
    </row>
    <row r="2130">
      <c r="A2130" s="1">
        <v>5.0</v>
      </c>
      <c r="B2130" s="1" t="s">
        <v>2127</v>
      </c>
      <c r="C2130" t="str">
        <f>IFERROR(__xludf.DUMMYFUNCTION("GOOGLETRANSLATE(B2130, ""zh"", ""en"")"),"Helium disk doing less than 125 / TB, although not the cheapest, but also accepted. It is primarily used when the warehouse disk, power-on time will not be too often so decisively removed the shell.")</f>
        <v>Helium disk doing less than 125 / TB, although not the cheapest, but also accepted. It is primarily used when the warehouse disk, power-on time will not be too often so decisively removed the shell.</v>
      </c>
    </row>
    <row r="2131">
      <c r="A2131" s="1">
        <v>5.0</v>
      </c>
      <c r="B2131" s="1" t="s">
        <v>2128</v>
      </c>
      <c r="C2131" t="str">
        <f>IFERROR(__xludf.DUMMYFUNCTION("GOOGLETRANSLATE(B2131, ""zh"", ""en"")"),"Comments nice shoes")</f>
        <v>Comments nice shoes</v>
      </c>
    </row>
    <row r="2132">
      <c r="A2132" s="1">
        <v>5.0</v>
      </c>
      <c r="B2132" s="1" t="s">
        <v>2129</v>
      </c>
      <c r="C2132" t="str">
        <f>IFERROR(__xludf.DUMMYFUNCTION("GOOGLETRANSLATE(B2132, ""zh"", ""en"")"),"Very nice shoes are very good, with jeans, casual pants look good, material workmanship are first-class. Note that the size is slightly too large, the people who give negative feedback, you are deliberately to Amazon's black, right? Obviously very loose v"&amp;"ersion of the type you say something too small! Suggest that you buy the normal size on the line, I was wearing a light, if cold weather wear socks should be just right. Although slightly too large, but relatively tight shoes mouth, so there is no problem"&amp;" no Genjiao.")</f>
        <v>Very nice shoes are very good, with jeans, casual pants look good, material workmanship are first-class. Note that the size is slightly too large, the people who give negative feedback, you are deliberately to Amazon's black, right? Obviously very loose version of the type you say something too small! Suggest that you buy the normal size on the line, I was wearing a light, if cold weather wear socks should be just right. Although slightly too large, but relatively tight shoes mouth, so there is no problem no Genjiao.</v>
      </c>
    </row>
    <row r="2133">
      <c r="A2133" s="1">
        <v>5.0</v>
      </c>
      <c r="B2133" s="1" t="s">
        <v>2130</v>
      </c>
      <c r="C2133" t="str">
        <f>IFERROR(__xludf.DUMMYFUNCTION("GOOGLETRANSLATE(B2133, ""zh"", ""en"")"),"Very satisfied with very nice color is also good bargain 167cm97 kg s yards just fit a little loose effect")</f>
        <v>Very satisfied with very nice color is also good bargain 167cm97 kg s yards just fit a little loose effect</v>
      </c>
    </row>
    <row r="2134">
      <c r="A2134" s="1">
        <v>5.0</v>
      </c>
      <c r="B2134" s="1" t="s">
        <v>2131</v>
      </c>
      <c r="C2134" t="str">
        <f>IFERROR(__xludf.DUMMYFUNCTION("GOOGLETRANSLATE(B2134, ""zh"", ""en"")"),"Good to my wife bought, very much. A little expensive.")</f>
        <v>Good to my wife bought, very much. A little expensive.</v>
      </c>
    </row>
    <row r="2135">
      <c r="A2135" s="1">
        <v>2.0</v>
      </c>
      <c r="B2135" s="1" t="s">
        <v>2132</v>
      </c>
      <c r="C2135" t="str">
        <f>IFERROR(__xludf.DUMMYFUNCTION("GOOGLETRANSLATE(B2135, ""zh"", ""en"")"),"Yellow to green it actually did not take long yellow hair")</f>
        <v>Yellow to green it actually did not take long yellow hair</v>
      </c>
    </row>
    <row r="2136">
      <c r="A2136" s="1">
        <v>3.0</v>
      </c>
      <c r="B2136" s="1" t="s">
        <v>2133</v>
      </c>
      <c r="C2136" t="str">
        <f>IFERROR(__xludf.DUMMYFUNCTION("GOOGLETRANSLATE(B2136, ""zh"", ""en"")"),"Not turn good sound quality, is sometimes crash (suddenly Rom also not drive off), buy the end of October last year, today will not suddenly opened, the keys did not respond, do not know what Amazon can not find service .")</f>
        <v>Not turn good sound quality, is sometimes crash (suddenly Rom also not drive off), buy the end of October last year, today will not suddenly opened, the keys did not respond, do not know what Amazon can not find service .</v>
      </c>
    </row>
    <row r="2137">
      <c r="A2137" s="1">
        <v>3.0</v>
      </c>
      <c r="B2137" s="1" t="s">
        <v>2134</v>
      </c>
      <c r="C2137" t="str">
        <f>IFERROR(__xludf.DUMMYFUNCTION("GOOGLETRANSLATE(B2137, ""zh"", ""en"")"),"Most of the code, rainy day to wear special shoes with mud most of the code, this brand of amount common problem. Key is the original value is waterproof, bought them to wear a rainy day, but rain was wearing a mud but with ideas, especially upset.")</f>
        <v>Most of the code, rainy day to wear special shoes with mud most of the code, this brand of amount common problem. Key is the original value is waterproof, bought them to wear a rainy day, but rain was wearing a mud but with ideas, especially upset.</v>
      </c>
    </row>
    <row r="2138">
      <c r="A2138" s="1">
        <v>1.0</v>
      </c>
      <c r="B2138" s="1" t="s">
        <v>2135</v>
      </c>
      <c r="C2138" t="str">
        <f>IFERROR(__xludf.DUMMYFUNCTION("GOOGLETRANSLATE(B2138, ""zh"", ""en"")"),"! ! Fake ba! I go! This is simply a fake it! ! I'm furious! I bought so much! ! Cheap is not good quality!")</f>
        <v>! ! Fake ba! I go! This is simply a fake it! ! I'm furious! I bought so much! ! Cheap is not good quality!</v>
      </c>
    </row>
    <row r="2139">
      <c r="A2139" s="1">
        <v>1.0</v>
      </c>
      <c r="B2139" s="1" t="s">
        <v>2136</v>
      </c>
      <c r="C2139" t="str">
        <f>IFERROR(__xludf.DUMMYFUNCTION("GOOGLETRANSLATE(B2139, ""zh"", ""en"")"),"Images and pictures and shoddy goods not, is simply not a model, return but also trouble! ! !")</f>
        <v>Images and pictures and shoddy goods not, is simply not a model, return but also trouble! ! !</v>
      </c>
    </row>
    <row r="2140">
      <c r="A2140" s="1">
        <v>1.0</v>
      </c>
      <c r="B2140" s="1" t="s">
        <v>2137</v>
      </c>
      <c r="C2140" t="str">
        <f>IFERROR(__xludf.DUMMYFUNCTION("GOOGLETRANSLATE(B2140, ""zh"", ""en"")"),"Such a big electricity companies made shoes are worn shoes like other people off! Upper two deep wrinkles! There behind the wrinkles! Shoes are dirty dust!")</f>
        <v>Such a big electricity companies made shoes are worn shoes like other people off! Upper two deep wrinkles! There behind the wrinkles! Shoes are dirty dust!</v>
      </c>
    </row>
    <row r="2141">
      <c r="A2141" s="1">
        <v>4.0</v>
      </c>
      <c r="B2141" s="1" t="s">
        <v>2138</v>
      </c>
      <c r="C2141" t="str">
        <f>IFERROR(__xludf.DUMMYFUNCTION("GOOGLETRANSLATE(B2141, ""zh"", ""en"")"),"Delicious taste good, but the baby does not like candy. I had to eat their own")</f>
        <v>Delicious taste good, but the baby does not like candy. I had to eat their own</v>
      </c>
    </row>
    <row r="2142">
      <c r="A2142" s="1">
        <v>4.0</v>
      </c>
      <c r="B2142" s="1" t="s">
        <v>2139</v>
      </c>
      <c r="C2142" t="str">
        <f>IFERROR(__xludf.DUMMYFUNCTION("GOOGLETRANSLATE(B2142, ""zh"", ""en"")"),"Cheap cheaper, the quality is not so high,")</f>
        <v>Cheap cheaper, the quality is not so high,</v>
      </c>
    </row>
    <row r="2143">
      <c r="A2143" s="1">
        <v>4.0</v>
      </c>
      <c r="B2143" s="1" t="s">
        <v>2140</v>
      </c>
      <c r="C2143" t="str">
        <f>IFERROR(__xludf.DUMMYFUNCTION("GOOGLETRANSLATE(B2143, ""zh"", ""en"")"),"Good easy to use. Also lightweight. Raw and cooked separately with scissors")</f>
        <v>Good easy to use. Also lightweight. Raw and cooked separately with scissors</v>
      </c>
    </row>
    <row r="2144">
      <c r="A2144" s="1">
        <v>4.0</v>
      </c>
      <c r="B2144" s="1" t="s">
        <v>2141</v>
      </c>
      <c r="C2144" t="str">
        <f>IFERROR(__xludf.DUMMYFUNCTION("GOOGLETRANSLATE(B2144, ""zh"", ""en"")"),"Look for cracks would be very nice, clutching the baby love to play, is the middle of silica gel actually has a few cracks easily broken estimate it")</f>
        <v>Look for cracks would be very nice, clutching the baby love to play, is the middle of silica gel actually has a few cracks easily broken estimate it</v>
      </c>
    </row>
    <row r="2145">
      <c r="A2145" s="1">
        <v>4.0</v>
      </c>
      <c r="B2145" s="1" t="s">
        <v>2142</v>
      </c>
      <c r="C2145" t="str">
        <f>IFERROR(__xludf.DUMMYFUNCTION("GOOGLETRANSLATE(B2145, ""zh"", ""en"")"),"Good little flaw is acceptable, and beautiful pot, good 👍")</f>
        <v>Good little flaw is acceptable, and beautiful pot, good 👍</v>
      </c>
    </row>
    <row r="2146">
      <c r="A2146" s="1">
        <v>5.0</v>
      </c>
      <c r="B2146" s="1" t="s">
        <v>2143</v>
      </c>
      <c r="C2146" t="str">
        <f>IFERROR(__xludf.DUMMYFUNCTION("GOOGLETRANSLATE(B2146, ""zh"", ""en"")"),"Happy shopping a heavy cast iron pot, great texture, definitely authentic, the first feeling is like. Though this is the first time in the Amazon shopping, but the pot breath bought three, really live up to my expectations. Express also to the force! Real"&amp;"ly a happy shopping!")</f>
        <v>Happy shopping a heavy cast iron pot, great texture, definitely authentic, the first feeling is like. Though this is the first time in the Amazon shopping, but the pot breath bought three, really live up to my expectations. Express also to the force! Really a happy shopping!</v>
      </c>
    </row>
    <row r="2147">
      <c r="A2147" s="1">
        <v>5.0</v>
      </c>
      <c r="B2147" s="1" t="s">
        <v>2144</v>
      </c>
      <c r="C2147" t="str">
        <f>IFERROR(__xludf.DUMMYFUNCTION("GOOGLETRANSLATE(B2147, ""zh"", ""en"")"),"The headset is very good just bought it was false gone, good quality. Less than 900")</f>
        <v>The headset is very good just bought it was false gone, good quality. Less than 900</v>
      </c>
    </row>
    <row r="2148">
      <c r="A2148" s="1">
        <v>5.0</v>
      </c>
      <c r="B2148" s="1" t="s">
        <v>2145</v>
      </c>
      <c r="C2148" t="str">
        <f>IFERROR(__xludf.DUMMYFUNCTION("GOOGLETRANSLATE(B2148, ""zh"", ""en"")"),"Cotton, comfortable it 163,52, especially suitable clothes, I liked it, very comfortable to wear, is cotton")</f>
        <v>Cotton, comfortable it 163,52, especially suitable clothes, I liked it, very comfortable to wear, is cotton</v>
      </c>
    </row>
    <row r="2149">
      <c r="A2149" s="1">
        <v>5.0</v>
      </c>
      <c r="B2149" s="1" t="s">
        <v>2146</v>
      </c>
      <c r="C2149" t="str">
        <f>IFERROR(__xludf.DUMMYFUNCTION("GOOGLETRANSLATE(B2149, ""zh"", ""en"")"),"The right to buy her husband, felt belt is also very appropriate, may later receive, the very pretty")</f>
        <v>The right to buy her husband, felt belt is also very appropriate, may later receive, the very pretty</v>
      </c>
    </row>
    <row r="2150">
      <c r="A2150" s="1">
        <v>5.0</v>
      </c>
      <c r="B2150" s="1" t="s">
        <v>2147</v>
      </c>
      <c r="C2150" t="str">
        <f>IFERROR(__xludf.DUMMYFUNCTION("GOOGLETRANSLATE(B2150, ""zh"", ""en"")"),"Very good week sent, super fast speed. Quality is also very good, the size of the US version than the Asian version of a large number")</f>
        <v>Very good week sent, super fast speed. Quality is also very good, the size of the US version than the Asian version of a large number</v>
      </c>
    </row>
    <row r="2151">
      <c r="A2151" s="1">
        <v>5.0</v>
      </c>
      <c r="B2151" s="1" t="s">
        <v>2148</v>
      </c>
      <c r="C2151" t="str">
        <f>IFERROR(__xludf.DUMMYFUNCTION("GOOGLETRANSLATE(B2151, ""zh"", ""en"")"),"Cheap no warranty, and consequently very good. . . Electronic products are not so easily broken, eyes closed bought. Of course, luck back when huh up. But the price of your cat x outrageous")</f>
        <v>Cheap no warranty, and consequently very good. . . Electronic products are not so easily broken, eyes closed bought. Of course, luck back when huh up. But the price of your cat x outrageous</v>
      </c>
    </row>
    <row r="2152">
      <c r="A2152" s="1">
        <v>5.0</v>
      </c>
      <c r="B2152" s="1" t="s">
        <v>2149</v>
      </c>
      <c r="C2152" t="str">
        <f>IFERROR(__xludf.DUMMYFUNCTION("GOOGLETRANSLATE(B2152, ""zh"", ""en"")"),"Size selection in accordance with normal size usually wear shoes you can choose, size is normal, sort of a small. Shoes are very comfortable.")</f>
        <v>Size selection in accordance with normal size usually wear shoes you can choose, size is normal, sort of a small. Shoes are very comfortable.</v>
      </c>
    </row>
    <row r="2153">
      <c r="A2153" s="1">
        <v>5.0</v>
      </c>
      <c r="B2153" s="1" t="s">
        <v>2150</v>
      </c>
      <c r="C2153" t="str">
        <f>IFERROR(__xludf.DUMMYFUNCTION("GOOGLETRANSLATE(B2153, ""zh"", ""en"")"),"Did not have to say precisely when the sporty Seiko quartz watches go, the light energy is convenient and save blue canvas strap is very wild, especially for sports attire with the only drawback is that the dial is too thick Well")</f>
        <v>Did not have to say precisely when the sporty Seiko quartz watches go, the light energy is convenient and save blue canvas strap is very wild, especially for sports attire with the only drawback is that the dial is too thick Well</v>
      </c>
    </row>
    <row r="2154">
      <c r="A2154" s="1">
        <v>5.0</v>
      </c>
      <c r="B2154" s="1" t="s">
        <v>2151</v>
      </c>
      <c r="C2154" t="str">
        <f>IFERROR(__xludf.DUMMYFUNCTION("GOOGLETRANSLATE(B2154, ""zh"", ""en"")"),"I like the pocket-type pocket is my favorite type")</f>
        <v>I like the pocket-type pocket is my favorite type</v>
      </c>
    </row>
    <row r="2155">
      <c r="A2155" s="1">
        <v>5.0</v>
      </c>
      <c r="B2155" s="1" t="s">
        <v>2152</v>
      </c>
      <c r="C2155" t="str">
        <f>IFERROR(__xludf.DUMMYFUNCTION("GOOGLETRANSLATE(B2155, ""zh"", ""en"")"),"like very much. Good quality is very good. like")</f>
        <v>like very much. Good quality is very good. like</v>
      </c>
    </row>
    <row r="2156">
      <c r="A2156" s="1">
        <v>5.0</v>
      </c>
      <c r="B2156" s="1" t="s">
        <v>2153</v>
      </c>
      <c r="C2156" t="str">
        <f>IFERROR(__xludf.DUMMYFUNCTION("GOOGLETRANSLATE(B2156, ""zh"", ""en"")"),"Nice shirt, as expected United States Code standard M, 178 78KG, shoulders, sleeves, collar, chest are suitable, in addition to hem is too long, the pendulum goes to the thigh. Card pants'd not hinder, stylish clothes")</f>
        <v>Nice shirt, as expected United States Code standard M, 178 78KG, shoulders, sleeves, collar, chest are suitable, in addition to hem is too long, the pendulum goes to the thigh. Card pants'd not hinder, stylish clothes</v>
      </c>
    </row>
    <row r="2157">
      <c r="A2157" s="1">
        <v>5.0</v>
      </c>
      <c r="B2157" s="1" t="s">
        <v>2154</v>
      </c>
      <c r="C2157" t="str">
        <f>IFERROR(__xludf.DUMMYFUNCTION("GOOGLETRANSLATE(B2157, ""zh"", ""en"")"),"Very comfortable to wear shrinkage of what just fine.")</f>
        <v>Very comfortable to wear shrinkage of what just fine.</v>
      </c>
    </row>
    <row r="2158">
      <c r="A2158" s="1">
        <v>5.0</v>
      </c>
      <c r="B2158" s="1" t="s">
        <v>2155</v>
      </c>
      <c r="C2158" t="str">
        <f>IFERROR(__xludf.DUMMYFUNCTION("GOOGLETRANSLATE(B2158, ""zh"", ""en"")"),"This is a headset for listening to a symphony just bought it and cut prices, and did not catch the lowest, really very sorry. Headset received a quick, less than a week, the packaging is very appropriate, also new, good luck. Beyerdynamic headphones had t"&amp;"o burn for a long time because as children, currently burning dozens of hours, is already higher than the beginning of the dry, prickly sound much better. Headphone effect is listening, more structured sound field, listening to the symphony very comfortab"&amp;"le, especially not recommended to use this power to listen to sounds and hiphop. . . Overall still value for money.")</f>
        <v>This is a headset for listening to a symphony just bought it and cut prices, and did not catch the lowest, really very sorry. Headset received a quick, less than a week, the packaging is very appropriate, also new, good luck. Beyerdynamic headphones had to burn for a long time because as children, currently burning dozens of hours, is already higher than the beginning of the dry, prickly sound much better. Headphone effect is listening, more structured sound field, listening to the symphony very comfortable, especially not recommended to use this power to listen to sounds and hiphop. . . Overall still value for money.</v>
      </c>
    </row>
    <row r="2159">
      <c r="A2159" s="1">
        <v>5.0</v>
      </c>
      <c r="B2159" s="1" t="s">
        <v>2156</v>
      </c>
      <c r="C2159" t="str">
        <f>IFERROR(__xludf.DUMMYFUNCTION("GOOGLETRANSLATE(B2159, ""zh"", ""en"")"),"Taste, no plastic arrival time very long. May 29 order, June 13 only received the goods. Bottle taste, not to use. Packaging is good, indeed no plastic, no plastic but many foreign products. I have not seen money counter, unable to distinguish between tru"&amp;"e and false. But not to say that foreign goods are scouring the United States and Asia import it, should not fake it.")</f>
        <v>Taste, no plastic arrival time very long. May 29 order, June 13 only received the goods. Bottle taste, not to use. Packaging is good, indeed no plastic, no plastic but many foreign products. I have not seen money counter, unable to distinguish between true and false. But not to say that foreign goods are scouring the United States and Asia import it, should not fake it.</v>
      </c>
    </row>
    <row r="2160">
      <c r="A2160" s="1">
        <v>5.0</v>
      </c>
      <c r="B2160" s="1" t="s">
        <v>2157</v>
      </c>
      <c r="C2160" t="str">
        <f>IFERROR(__xludf.DUMMYFUNCTION("GOOGLETRANSLATE(B2160, ""zh"", ""en"")"),"Very satisfied with something good! Logistics soon! Thought it was a start, the result is a red and a blue, a good deal")</f>
        <v>Very satisfied with something good! Logistics soon! Thought it was a start, the result is a red and a blue, a good deal</v>
      </c>
    </row>
    <row r="2161">
      <c r="A2161" s="1">
        <v>5.0</v>
      </c>
      <c r="B2161" s="1" t="s">
        <v>2158</v>
      </c>
      <c r="C2161" t="str">
        <f>IFERROR(__xludf.DUMMYFUNCTION("GOOGLETRANSLATE(B2161, ""zh"", ""en"")"),"Easy to use than washing powder, buy back my house is 13 sets of Siemens dishwasher, washing this block although small in size, but each one is perfectly adequate, wash it clean. Each have a plastic film, it does not afford gray dirty, too easy to use tha"&amp;"n the washing powder. Affordable, satisfaction.")</f>
        <v>Easy to use than washing powder, buy back my house is 13 sets of Siemens dishwasher, washing this block although small in size, but each one is perfectly adequate, wash it clean. Each have a plastic film, it does not afford gray dirty, too easy to use than the washing powder. Affordable, satisfaction.</v>
      </c>
    </row>
    <row r="2162">
      <c r="A2162" s="1">
        <v>5.0</v>
      </c>
      <c r="B2162" s="1" t="s">
        <v>2159</v>
      </c>
      <c r="C2162" t="str">
        <f>IFERROR(__xludf.DUMMYFUNCTION("GOOGLETRANSLATE(B2162, ""zh"", ""en"")"),"170cm 65kg s yards just good clothes, good texture")</f>
        <v>170cm 65kg s yards just good clothes, good texture</v>
      </c>
    </row>
    <row r="2163">
      <c r="A2163" s="1">
        <v>5.0</v>
      </c>
      <c r="B2163" s="1" t="s">
        <v>2160</v>
      </c>
      <c r="C2163" t="str">
        <f>IFERROR(__xludf.DUMMYFUNCTION("GOOGLETRANSLATE(B2163, ""zh"", ""en"")"),"Net red cups fresh baby suck it up very provincial, and watertight")</f>
        <v>Net red cups fresh baby suck it up very provincial, and watertight</v>
      </c>
    </row>
    <row r="2164">
      <c r="A2164" s="1">
        <v>5.0</v>
      </c>
      <c r="B2164" s="1" t="s">
        <v>2161</v>
      </c>
      <c r="C2164" t="str">
        <f>IFERROR(__xludf.DUMMYFUNCTION("GOOGLETRANSLATE(B2164, ""zh"", ""en"")"),"Very satisfied! Very satisfied!")</f>
        <v>Very satisfied! Very satisfied!</v>
      </c>
    </row>
    <row r="2165">
      <c r="A2165" s="1">
        <v>5.0</v>
      </c>
      <c r="B2165" s="1" t="s">
        <v>2162</v>
      </c>
      <c r="C2165" t="str">
        <f>IFERROR(__xludf.DUMMYFUNCTION("GOOGLETRANSLATE(B2165, ""zh"", ""en"")"),"Good good, very satisfied, will always support")</f>
        <v>Good good, very satisfied, will always support</v>
      </c>
    </row>
    <row r="2166">
      <c r="A2166" s="1">
        <v>5.0</v>
      </c>
      <c r="B2166" s="1" t="s">
        <v>2163</v>
      </c>
      <c r="C2166" t="str">
        <f>IFERROR(__xludf.DUMMYFUNCTION("GOOGLETRANSLATE(B2166, ""zh"", ""en"")"),"Filter used for years, used to make tea good!")</f>
        <v>Filter used for years, used to make tea good!</v>
      </c>
    </row>
    <row r="2167">
      <c r="A2167" s="1">
        <v>2.0</v>
      </c>
      <c r="B2167" s="1" t="s">
        <v>2164</v>
      </c>
      <c r="C2167" t="str">
        <f>IFERROR(__xludf.DUMMYFUNCTION("GOOGLETRANSLATE(B2167, ""zh"", ""en"")"),"Bad version difficult to wear dead! Front bottom against posts (not because of a large, very tight later), breast cup further pressure. Waste of money")</f>
        <v>Bad version difficult to wear dead! Front bottom against posts (not because of a large, very tight later), breast cup further pressure. Waste of money</v>
      </c>
    </row>
    <row r="2168">
      <c r="A2168" s="1">
        <v>3.0</v>
      </c>
      <c r="B2168" s="1" t="s">
        <v>2165</v>
      </c>
      <c r="C2168" t="str">
        <f>IFERROR(__xludf.DUMMYFUNCTION("GOOGLETRANSLATE(B2168, ""zh"", ""en"")"),"There is a kind of gray-green color, chromatic aberration")</f>
        <v>There is a kind of gray-green color, chromatic aberration</v>
      </c>
    </row>
    <row r="2169">
      <c r="A2169" s="1">
        <v>3.0</v>
      </c>
      <c r="B2169" s="1" t="s">
        <v>2166</v>
      </c>
      <c r="C2169" t="str">
        <f>IFERROR(__xludf.DUMMYFUNCTION("GOOGLETRANSLATE(B2169, ""zh"", ""en"")"),"N-code, the shoes usually about 248 feet long, standard foot, wear shoes of various 250 / 39.5 / US8.5, is very suitable to wear this 6UK. Double last year bought Ecco the same texture, also the general feeling of this, a number of thin hard soles, as ECC"&amp;"O comfortable. Because the overall hard, Pei-ling do not walk, then no problem, go fast feet hurt. The strange thing is obviously the lateral malleolus where nothing, not tight, but inexplicable pain")</f>
        <v>N-code, the shoes usually about 248 feet long, standard foot, wear shoes of various 250 / 39.5 / US8.5, is very suitable to wear this 6UK. Double last year bought Ecco the same texture, also the general feeling of this, a number of thin hard soles, as ECCO comfortable. Because the overall hard, Pei-ling do not walk, then no problem, go fast feet hurt. The strange thing is obviously the lateral malleolus where nothing, not tight, but inexplicable pain</v>
      </c>
    </row>
    <row r="2170">
      <c r="A2170" s="1">
        <v>3.0</v>
      </c>
      <c r="B2170" s="1" t="s">
        <v>2167</v>
      </c>
      <c r="C2170" t="str">
        <f>IFERROR(__xludf.DUMMYFUNCTION("GOOGLETRANSLATE(B2170, ""zh"", ""en"")"),"The quality of the general quality in general, and in general the supermarket to buy a little better a little bit, not worth the strenuous Bala buy back from overseas, the tax is so high!")</f>
        <v>The quality of the general quality in general, and in general the supermarket to buy a little better a little bit, not worth the strenuous Bala buy back from overseas, the tax is so high!</v>
      </c>
    </row>
    <row r="2171">
      <c r="A2171" s="1">
        <v>1.0</v>
      </c>
      <c r="B2171" s="1" t="s">
        <v>2168</v>
      </c>
      <c r="C2171" t="str">
        <f>IFERROR(__xludf.DUMMYFUNCTION("GOOGLETRANSLATE(B2171, ""zh"", ""en"")"),"Too great, and completely inconsistent size reference, returns a lot of trouble, people had to find some of piecemeal")</f>
        <v>Too great, and completely inconsistent size reference, returns a lot of trouble, people had to find some of piecemeal</v>
      </c>
    </row>
    <row r="2172">
      <c r="A2172" s="1">
        <v>1.0</v>
      </c>
      <c r="B2172" s="1" t="s">
        <v>2169</v>
      </c>
      <c r="C2172" t="str">
        <f>IFERROR(__xludf.DUMMYFUNCTION("GOOGLETRANSLATE(B2172, ""zh"", ""en"")"),"Serious quality problems! Staff of dereliction of duty and damage to the Amazon brand! Even defective products are not as! Did not like big brand shoes, in any case not even a pair of shoes qualified! Upper multiple scratches! Tongue badly worn! Sole larg"&amp;"er break! Leather suture breakage, crack turn! Shoe head is crooked! Even some leather Edge did not do! Very angry!")</f>
        <v>Serious quality problems! Staff of dereliction of duty and damage to the Amazon brand! Even defective products are not as! Did not like big brand shoes, in any case not even a pair of shoes qualified! Upper multiple scratches! Tongue badly worn! Sole larger break! Leather suture breakage, crack turn! Shoe head is crooked! Even some leather Edge did not do! Very angry!</v>
      </c>
    </row>
    <row r="2173">
      <c r="A2173" s="1">
        <v>4.0</v>
      </c>
      <c r="B2173" s="1" t="s">
        <v>2170</v>
      </c>
      <c r="C2173" t="str">
        <f>IFERROR(__xludf.DUMMYFUNCTION("GOOGLETRANSLATE(B2173, ""zh"", ""en"")"),"Okay, not as good as the first wife of durable razor okay, not as good as the first wife of durable razor, this can only be seven months or so will be damaged foil")</f>
        <v>Okay, not as good as the first wife of durable razor okay, not as good as the first wife of durable razor, this can only be seven months or so will be damaged foil</v>
      </c>
    </row>
    <row r="2174">
      <c r="A2174" s="1">
        <v>4.0</v>
      </c>
      <c r="B2174" s="1" t="s">
        <v>2171</v>
      </c>
      <c r="C2174" t="str">
        <f>IFERROR(__xludf.DUMMYFUNCTION("GOOGLETRANSLATE(B2174, ""zh"", ""en"")"),"Value for money to the four stars it did not in the case of the pot. Very comfortable to wear, no discomfort.")</f>
        <v>Value for money to the four stars it did not in the case of the pot. Very comfortable to wear, no discomfort.</v>
      </c>
    </row>
    <row r="2175">
      <c r="A2175" s="1">
        <v>4.0</v>
      </c>
      <c r="B2175" s="1" t="s">
        <v>2172</v>
      </c>
      <c r="C2175" t="str">
        <f>IFERROR(__xludf.DUMMYFUNCTION("GOOGLETRANSLATE(B2175, ""zh"", ""en"")"),"The overall fit clothes the whole can, 17868 wear M is slightly too large to accept")</f>
        <v>The overall fit clothes the whole can, 17868 wear M is slightly too large to accept</v>
      </c>
    </row>
    <row r="2176">
      <c r="A2176" s="1">
        <v>4.0</v>
      </c>
      <c r="B2176" s="1" t="s">
        <v>2173</v>
      </c>
      <c r="C2176" t="str">
        <f>IFERROR(__xludf.DUMMYFUNCTION("GOOGLETRANSLATE(B2176, ""zh"", ""en"")"),"You can also go from the previous evaluation, I do not know how many wasted points, points can change money now know, they should look carefully evaluated, then I put these words to copy to go, both to earn points, but also save trouble, where one copy wh"&amp;"ere, most importantly, do not seriously review, do not think how much worse word, sent directly to it, recommend it to everyone! !")</f>
        <v>You can also go from the previous evaluation, I do not know how many wasted points, points can change money now know, they should look carefully evaluated, then I put these words to copy to go, both to earn points, but also save trouble, where one copy where, most importantly, do not seriously review, do not think how much worse word, sent directly to it, recommend it to everyone! !</v>
      </c>
    </row>
    <row r="2177">
      <c r="A2177" s="1">
        <v>4.0</v>
      </c>
      <c r="B2177" s="1" t="s">
        <v>2174</v>
      </c>
      <c r="C2177" t="str">
        <f>IFERROR(__xludf.DUMMYFUNCTION("GOOGLETRANSLATE(B2177, ""zh"", ""en"")"),"Usually general comfort, look upper flat, slippery liner")</f>
        <v>Usually general comfort, look upper flat, slippery liner</v>
      </c>
    </row>
    <row r="2178">
      <c r="A2178" s="1">
        <v>5.0</v>
      </c>
      <c r="B2178" s="1" t="s">
        <v>2175</v>
      </c>
      <c r="C2178" t="str">
        <f>IFERROR(__xludf.DUMMYFUNCTION("GOOGLETRANSLATE(B2178, ""zh"", ""en"")"),"Something good can really increase the resistance of children. The number of sick a lot better.")</f>
        <v>Something good can really increase the resistance of children. The number of sick a lot better.</v>
      </c>
    </row>
    <row r="2179">
      <c r="A2179" s="1">
        <v>5.0</v>
      </c>
      <c r="B2179" s="1" t="s">
        <v>2176</v>
      </c>
      <c r="C2179" t="str">
        <f>IFERROR(__xludf.DUMMYFUNCTION("GOOGLETRANSLATE(B2179, ""zh"", ""en"")"),"Extremely comfortable a sub-price goods ah, out!")</f>
        <v>Extremely comfortable a sub-price goods ah, out!</v>
      </c>
    </row>
    <row r="2180">
      <c r="A2180" s="1">
        <v>5.0</v>
      </c>
      <c r="B2180" s="1" t="s">
        <v>2177</v>
      </c>
      <c r="C2180" t="str">
        <f>IFERROR(__xludf.DUMMYFUNCTION("GOOGLETRANSLATE(B2180, ""zh"", ""en"")"),"The smell, the taste is very affordable, much cheaper to buy than at home, and no smell, no tip is watertight fitting after being bitten rotten kids to buy,")</f>
        <v>The smell, the taste is very affordable, much cheaper to buy than at home, and no smell, no tip is watertight fitting after being bitten rotten kids to buy,</v>
      </c>
    </row>
    <row r="2181">
      <c r="A2181" s="1">
        <v>5.0</v>
      </c>
      <c r="B2181" s="1" t="s">
        <v>2178</v>
      </c>
      <c r="C2181" t="str">
        <f>IFERROR(__xludf.DUMMYFUNCTION("GOOGLETRANSLATE(B2181, ""zh"", ""en"")"),"Yes. 168cm.68kg. Fit, good quality.")</f>
        <v>Yes. 168cm.68kg. Fit, good quality.</v>
      </c>
    </row>
    <row r="2182">
      <c r="A2182" s="1">
        <v>5.0</v>
      </c>
      <c r="B2182" s="1" t="s">
        <v>2179</v>
      </c>
      <c r="C2182" t="str">
        <f>IFERROR(__xludf.DUMMYFUNCTION("GOOGLETRANSLATE(B2182, ""zh"", ""en"")"),"Good quality is strongly recommended rich chocolate, with milk better to drink!")</f>
        <v>Good quality is strongly recommended rich chocolate, with milk better to drink!</v>
      </c>
    </row>
    <row r="2183">
      <c r="A2183" s="1">
        <v>5.0</v>
      </c>
      <c r="B2183" s="1" t="s">
        <v>2180</v>
      </c>
      <c r="C2183" t="str">
        <f>IFERROR(__xludf.DUMMYFUNCTION("GOOGLETRANSLATE(B2183, ""zh"", ""en"")"),"For the commute to work wearing a good, clarks wear uk8.5, just this 42")</f>
        <v>For the commute to work wearing a good, clarks wear uk8.5, just this 42</v>
      </c>
    </row>
    <row r="2184">
      <c r="A2184" s="1">
        <v>5.0</v>
      </c>
      <c r="B2184" s="1" t="s">
        <v>2181</v>
      </c>
      <c r="C2184" t="str">
        <f>IFERROR(__xludf.DUMMYFUNCTION("GOOGLETRANSLATE(B2184, ""zh"", ""en"")"),"Larger color looks good, great US version, usually wear 26, the minimum number is loose")</f>
        <v>Larger color looks good, great US version, usually wear 26, the minimum number is loose</v>
      </c>
    </row>
    <row r="2185">
      <c r="A2185" s="1">
        <v>5.0</v>
      </c>
      <c r="B2185" s="1" t="s">
        <v>2182</v>
      </c>
      <c r="C2185" t="str">
        <f>IFERROR(__xludf.DUMMYFUNCTION("GOOGLETRANSLATE(B2185, ""zh"", ""en"")"),"Big money box to buy the Four Seasons, containing 4.5 + 9 the two can be used together by buttoned. 40 degrees can be displayed label drum washing and drying. 4.5 pile less, a lot of light leakage portion of the lattice, 9 relatively uniform. Is the Briti"&amp;"sh standard and domestic big difference, difficult to apply with. But having said that, if I fail to get the same size bought, has long been yellow cattle were evacuated. . .")</f>
        <v>Big money box to buy the Four Seasons, containing 4.5 + 9 the two can be used together by buttoned. 40 degrees can be displayed label drum washing and drying. 4.5 pile less, a lot of light leakage portion of the lattice, 9 relatively uniform. Is the British standard and domestic big difference, difficult to apply with. But having said that, if I fail to get the same size bought, has long been yellow cattle were evacuated. . .</v>
      </c>
    </row>
    <row r="2186">
      <c r="A2186" s="1">
        <v>5.0</v>
      </c>
      <c r="B2186" s="1" t="s">
        <v>2183</v>
      </c>
      <c r="C2186" t="str">
        <f>IFERROR(__xludf.DUMMYFUNCTION("GOOGLETRANSLATE(B2186, ""zh"", ""en"")"),"This freshman code size than domestic brands freshman code, just buy a small one yard.")</f>
        <v>This freshman code size than domestic brands freshman code, just buy a small one yard.</v>
      </c>
    </row>
    <row r="2187">
      <c r="A2187" s="1">
        <v>5.0</v>
      </c>
      <c r="B2187" s="1" t="s">
        <v>2184</v>
      </c>
      <c r="C2187" t="str">
        <f>IFERROR(__xludf.DUMMYFUNCTION("GOOGLETRANSLATE(B2187, ""zh"", ""en"")"),"Bite the baby is not too fond of watching my colleagues to buy themselves bought, not James Gray, is four feet biting time blocked off each other, but also too big to bite the head, baby, do not play the next two")</f>
        <v>Bite the baby is not too fond of watching my colleagues to buy themselves bought, not James Gray, is four feet biting time blocked off each other, but also too big to bite the head, baby, do not play the next two</v>
      </c>
    </row>
    <row r="2188">
      <c r="A2188" s="1">
        <v>5.0</v>
      </c>
      <c r="B2188" s="1" t="s">
        <v>2185</v>
      </c>
      <c r="C2188" t="str">
        <f>IFERROR(__xludf.DUMMYFUNCTION("GOOGLETRANSLATE(B2188, ""zh"", ""en"")"),"Good shoes are very good, the right size, no doubt genuine")</f>
        <v>Good shoes are very good, the right size, no doubt genuine</v>
      </c>
    </row>
    <row r="2189">
      <c r="A2189" s="1">
        <v>5.0</v>
      </c>
      <c r="B2189" s="1" t="s">
        <v>2186</v>
      </c>
      <c r="C2189" t="str">
        <f>IFERROR(__xludf.DUMMYFUNCTION("GOOGLETRANSLATE(B2189, ""zh"", ""en"")"),"Good normal wear No. 31 just right jeans belt 34 in the second well normal")</f>
        <v>Good normal wear No. 31 just right jeans belt 34 in the second well normal</v>
      </c>
    </row>
    <row r="2190">
      <c r="A2190" s="1">
        <v>5.0</v>
      </c>
      <c r="B2190" s="1" t="s">
        <v>2187</v>
      </c>
      <c r="C2190" t="str">
        <f>IFERROR(__xludf.DUMMYFUNCTION("GOOGLETRANSLATE(B2190, ""zh"", ""en"")"),"Half received a very good, generous, steady, quality, workmanship is very good, the price is much cheaper than the counter, it is worth buying.")</f>
        <v>Half received a very good, generous, steady, quality, workmanship is very good, the price is much cheaper than the counter, it is worth buying.</v>
      </c>
    </row>
    <row r="2191">
      <c r="A2191" s="1">
        <v>5.0</v>
      </c>
      <c r="B2191" s="1" t="s">
        <v>2188</v>
      </c>
      <c r="C2191" t="str">
        <f>IFERROR(__xludf.DUMMYFUNCTION("GOOGLETRANSLATE(B2191, ""zh"", ""en"")"),"The right size. Soft, the right size.")</f>
        <v>The right size. Soft, the right size.</v>
      </c>
    </row>
    <row r="2192">
      <c r="A2192" s="1">
        <v>5.0</v>
      </c>
      <c r="B2192" s="1" t="s">
        <v>2189</v>
      </c>
      <c r="C2192" t="str">
        <f>IFERROR(__xludf.DUMMYFUNCTION("GOOGLETRANSLATE(B2192, ""zh"", ""en"")"),"Light and comfortable 172.5, slightly longer length, but there is no so-called necking, light and comfortable")</f>
        <v>Light and comfortable 172.5, slightly longer length, but there is no so-called necking, light and comfortable</v>
      </c>
    </row>
    <row r="2193">
      <c r="A2193" s="1">
        <v>5.0</v>
      </c>
      <c r="B2193" s="1" t="s">
        <v>2190</v>
      </c>
      <c r="C2193" t="str">
        <f>IFERROR(__xludf.DUMMYFUNCTION("GOOGLETRANSLATE(B2193, ""zh"", ""en"")"),"Suitable pretty pretty appropriate")</f>
        <v>Suitable pretty pretty appropriate</v>
      </c>
    </row>
    <row r="2194">
      <c r="A2194" s="1">
        <v>5.0</v>
      </c>
      <c r="B2194" s="1" t="s">
        <v>2191</v>
      </c>
      <c r="C2194" t="str">
        <f>IFERROR(__xludf.DUMMYFUNCTION("GOOGLETRANSLATE(B2194, ""zh"", ""en"")"),"Very good value domestic double eleven 1399 must hand side before 1050. About a week to get the hand thing really is true, workmanship feel, what are the superb sound quality, then have to burn for a long time, open burning a still very good, guitar sound"&amp;" poison does not work, other then law-abiding, the main or rock, and occasionally listen listen to folk songs is also good. Not worth it.")</f>
        <v>Very good value domestic double eleven 1399 must hand side before 1050. About a week to get the hand thing really is true, workmanship feel, what are the superb sound quality, then have to burn for a long time, open burning a still very good, guitar sound poison does not work, other then law-abiding, the main or rock, and occasionally listen listen to folk songs is also good. Not worth it.</v>
      </c>
    </row>
    <row r="2195">
      <c r="A2195" s="1">
        <v>5.0</v>
      </c>
      <c r="B2195" s="1" t="s">
        <v>2192</v>
      </c>
      <c r="C2195" t="str">
        <f>IFERROR(__xludf.DUMMYFUNCTION("GOOGLETRANSLATE(B2195, ""zh"", ""en"")"),"Healthy summer wear very comfortable")</f>
        <v>Healthy summer wear very comfortable</v>
      </c>
    </row>
    <row r="2196">
      <c r="A2196" s="1">
        <v>5.0</v>
      </c>
      <c r="B2196" s="1" t="s">
        <v>2193</v>
      </c>
      <c r="C2196" t="str">
        <f>IFERROR(__xludf.DUMMYFUNCTION("GOOGLETRANSLATE(B2196, ""zh"", ""en"")"),"Amazon purchased abroad may rest assured that buy the most secure is a short-sleeved, long sleeves problem does not exist. 169/120 and comfortable fit, the price is really worth it")</f>
        <v>Amazon purchased abroad may rest assured that buy the most secure is a short-sleeved, long sleeves problem does not exist. 169/120 and comfortable fit, the price is really worth it</v>
      </c>
    </row>
    <row r="2197">
      <c r="A2197" s="1">
        <v>5.0</v>
      </c>
      <c r="B2197" s="1" t="s">
        <v>2194</v>
      </c>
      <c r="C2197" t="str">
        <f>IFERROR(__xludf.DUMMYFUNCTION("GOOGLETRANSLATE(B2197, ""zh"", ""en"")"),"Overall fit! 170,60 kg! The sleeves a little long, a little thin but soft clothes fit! for reference")</f>
        <v>Overall fit! 170,60 kg! The sleeves a little long, a little thin but soft clothes fit! for reference</v>
      </c>
    </row>
    <row r="2198">
      <c r="A2198" s="1">
        <v>5.0</v>
      </c>
      <c r="B2198" s="1" t="s">
        <v>2195</v>
      </c>
      <c r="C2198" t="str">
        <f>IFERROR(__xludf.DUMMYFUNCTION("GOOGLETRANSLATE(B2198, ""zh"", ""en"")"),"Description consistent size standard is very satisfied!")</f>
        <v>Description consistent size standard is very satisfied!</v>
      </c>
    </row>
    <row r="2199">
      <c r="A2199" s="1">
        <v>5.0</v>
      </c>
      <c r="B2199" s="1" t="s">
        <v>2196</v>
      </c>
      <c r="C2199" t="str">
        <f>IFERROR(__xludf.DUMMYFUNCTION("GOOGLETRANSLATE(B2199, ""zh"", ""en"")"),"Good quality took some time to comment, good quality leather, easily deformed, material a little hard (I like hardness).")</f>
        <v>Good quality took some time to comment, good quality leather, easily deformed, material a little hard (I like hardness).</v>
      </c>
    </row>
    <row r="2200">
      <c r="A2200" s="1">
        <v>2.0</v>
      </c>
      <c r="B2200" s="1" t="s">
        <v>2197</v>
      </c>
      <c r="C2200" t="str">
        <f>IFERROR(__xludf.DUMMYFUNCTION("GOOGLETRANSLATE(B2200, ""zh"", ""en"")"),"Poor quality is not good quality, style can also wear a few times and found the back that ass pocket actually broke a big hole, I really do not know a good spade, quality fakes are better than you, huh da")</f>
        <v>Poor quality is not good quality, style can also wear a few times and found the back that ass pocket actually broke a big hole, I really do not know a good spade, quality fakes are better than you, huh da</v>
      </c>
    </row>
    <row r="2201">
      <c r="A2201" s="1">
        <v>3.0</v>
      </c>
      <c r="B2201" s="1" t="s">
        <v>2198</v>
      </c>
      <c r="C2201" t="str">
        <f>IFERROR(__xludf.DUMMYFUNCTION("GOOGLETRANSLATE(B2201, ""zh"", ""en"")"),"6.35 lbs and my tastes in the US costco brought back are not the same as chocolate, but the taste is not the same. Moreover, cold brew with floating clot. Stir not open. I bring back from the US do not have this problem. How could this be? totally differe"&amp;"nt! You can answer about it?")</f>
        <v>6.35 lbs and my tastes in the US costco brought back are not the same as chocolate, but the taste is not the same. Moreover, cold brew with floating clot. Stir not open. I bring back from the US do not have this problem. How could this be? totally different! You can answer about it?</v>
      </c>
    </row>
    <row r="2202">
      <c r="A2202" s="1">
        <v>3.0</v>
      </c>
      <c r="B2202" s="1" t="s">
        <v>2199</v>
      </c>
      <c r="C2202" t="str">
        <f>IFERROR(__xludf.DUMMYFUNCTION("GOOGLETRANSLATE(B2202, ""zh"", ""en"")"),"Good texture, good texture size too small, but size really too small a lot.")</f>
        <v>Good texture, good texture size too small, but size really too small a lot.</v>
      </c>
    </row>
    <row r="2203">
      <c r="A2203" s="1">
        <v>1.0</v>
      </c>
      <c r="B2203" s="1" t="s">
        <v>2200</v>
      </c>
      <c r="C2203" t="str">
        <f>IFERROR(__xludf.DUMMYFUNCTION("GOOGLETRANSLATE(B2203, ""zh"", ""en"")"),"Left and right is not as big pit father, Meyer sent me shoes are 38 left, 40 right, but also their own return America to return.")</f>
        <v>Left and right is not as big pit father, Meyer sent me shoes are 38 left, 40 right, but also their own return America to return.</v>
      </c>
    </row>
    <row r="2204">
      <c r="A2204" s="1">
        <v>1.0</v>
      </c>
      <c r="B2204" s="1" t="s">
        <v>2201</v>
      </c>
      <c r="C2204" t="str">
        <f>IFERROR(__xludf.DUMMYFUNCTION("GOOGLETRANSLATE(B2204, ""zh"", ""en"")"),"Rough suspected fake, carefully later (Poor) rough suspected fake, carefully later (Poor)")</f>
        <v>Rough suspected fake, carefully later (Poor) rough suspected fake, carefully later (Poor)</v>
      </c>
    </row>
    <row r="2205">
      <c r="A2205" s="1">
        <v>1.0</v>
      </c>
      <c r="B2205" s="1" t="s">
        <v>2202</v>
      </c>
      <c r="C2205" t="str">
        <f>IFERROR(__xludf.DUMMYFUNCTION("GOOGLETRANSLATE(B2205, ""zh"", ""en"")"),"Production date date location does have altered IOUs to cover, into print at the bottom. I do not know how it is. Look at the reviews 2017 purchase of the case, I did not think in 2019 or so. . .")</f>
        <v>Production date date location does have altered IOUs to cover, into print at the bottom. I do not know how it is. Look at the reviews 2017 purchase of the case, I did not think in 2019 or so. . .</v>
      </c>
    </row>
    <row r="2206">
      <c r="A2206" s="1">
        <v>4.0</v>
      </c>
      <c r="B2206" s="1" t="s">
        <v>2203</v>
      </c>
      <c r="C2206" t="str">
        <f>IFERROR(__xludf.DUMMYFUNCTION("GOOGLETRANSLATE(B2206, ""zh"", ""en"")"),"Long pants a little long, other more appropriate, cost is very high cost out, took more than a tremor, sea Amoy return shipping more expensive than pants")</f>
        <v>Long pants a little long, other more appropriate, cost is very high cost out, took more than a tremor, sea Amoy return shipping more expensive than pants</v>
      </c>
    </row>
    <row r="2207">
      <c r="A2207" s="1">
        <v>4.0</v>
      </c>
      <c r="B2207" s="1" t="s">
        <v>2204</v>
      </c>
      <c r="C2207" t="str">
        <f>IFERROR(__xludf.DUMMYFUNCTION("GOOGLETRANSLATE(B2207, ""zh"", ""en"")"),"It can be cost-effective, less than 110 purchase pattern of domestic materials can not pass.")</f>
        <v>It can be cost-effective, less than 110 purchase pattern of domestic materials can not pass.</v>
      </c>
    </row>
    <row r="2208">
      <c r="A2208" s="1">
        <v>4.0</v>
      </c>
      <c r="B2208" s="1" t="s">
        <v>2205</v>
      </c>
      <c r="C2208" t="str">
        <f>IFERROR(__xludf.DUMMYFUNCTION("GOOGLETRANSLATE(B2208, ""zh"", ""en"")"),"Timberland shoes after a lapse of four years and I bought a pair, but the cortex clearly see it is not the same, is part of the original light skinned, the larger grain leather. Shoes should be a little too large")</f>
        <v>Timberland shoes after a lapse of four years and I bought a pair, but the cortex clearly see it is not the same, is part of the original light skinned, the larger grain leather. Shoes should be a little too large</v>
      </c>
    </row>
    <row r="2209">
      <c r="A2209" s="1">
        <v>4.0</v>
      </c>
      <c r="B2209" s="1" t="s">
        <v>2206</v>
      </c>
      <c r="C2209" t="str">
        <f>IFERROR(__xludf.DUMMYFUNCTION("GOOGLETRANSLATE(B2209, ""zh"", ""en"")"),"Fast and convenient a few months, Advantages: convenient, easy to use, very fragrant coffee, noise is also acceptable range Cons: milk frother in the milk is not super-max (line), when the bubble will automatically play often overflow (will be the top of "&amp;"the lid),")</f>
        <v>Fast and convenient a few months, Advantages: convenient, easy to use, very fragrant coffee, noise is also acceptable range Cons: milk frother in the milk is not super-max (line), when the bubble will automatically play often overflow (will be the top of the lid),</v>
      </c>
    </row>
    <row r="2210">
      <c r="A2210" s="1">
        <v>5.0</v>
      </c>
      <c r="B2210" s="1" t="s">
        <v>2207</v>
      </c>
      <c r="C2210" t="str">
        <f>IFERROR(__xludf.DUMMYFUNCTION("GOOGLETRANSLATE(B2210, ""zh"", ""en"")"),"Proper fit, thermal effects can ............")</f>
        <v>Proper fit, thermal effects can ............</v>
      </c>
    </row>
    <row r="2211">
      <c r="A2211" s="1">
        <v>5.0</v>
      </c>
      <c r="B2211" s="1" t="s">
        <v>2208</v>
      </c>
      <c r="C2211" t="str">
        <f>IFERROR(__xludf.DUMMYFUNCTION("GOOGLETRANSLATE(B2211, ""zh"", ""en"")"),"Fast card, necessary after the British-SLR compare prices fairly OK, but also Chinese-made goods, the overall feel is acceptable to use specific data on the Internet are no longer tested, with the package also comes with two years of data restore. Shippin"&amp;"g is OK, the next single to a little more than 10 days of receipt, but the British-packaging to garbage, is a cardboard wrap it up, although the goods in good condition, but the whole package are covered with a layer of soil, there is no date Avaya packag"&amp;"ing carefully, goods fifth of zero packaging")</f>
        <v>Fast card, necessary after the British-SLR compare prices fairly OK, but also Chinese-made goods, the overall feel is acceptable to use specific data on the Internet are no longer tested, with the package also comes with two years of data restore. Shipping is OK, the next single to a little more than 10 days of receipt, but the British-packaging to garbage, is a cardboard wrap it up, although the goods in good condition, but the whole package are covered with a layer of soil, there is no date Avaya packaging carefully, goods fifth of zero packaging</v>
      </c>
    </row>
    <row r="2212">
      <c r="A2212" s="1">
        <v>5.0</v>
      </c>
      <c r="B2212" s="1" t="s">
        <v>2209</v>
      </c>
      <c r="C2212" t="str">
        <f>IFERROR(__xludf.DUMMYFUNCTION("GOOGLETRANSLATE(B2212, ""zh"", ""en"")"),"Prudent to buy Amazon's service is great protein powder sent packing slip of the customer immediately gave me a refund little sister very grateful 🙏 buy friends, this might be the production date after 18 years and then send over everyone is likely to le"&amp;"ak powder buy with caution")</f>
        <v>Prudent to buy Amazon's service is great protein powder sent packing slip of the customer immediately gave me a refund little sister very grateful 🙏 buy friends, this might be the production date after 18 years and then send over everyone is likely to leak powder buy with caution</v>
      </c>
    </row>
    <row r="2213">
      <c r="A2213" s="1">
        <v>5.0</v>
      </c>
      <c r="B2213" s="1" t="s">
        <v>2210</v>
      </c>
      <c r="C2213" t="str">
        <f>IFERROR(__xludf.DUMMYFUNCTION("GOOGLETRANSLATE(B2213, ""zh"", ""en"")"),"Easy to use heavy work really sent me a good cost-effective conservation measures equivalent to no, but fortunately was doing anything visible scratches. Shanghai to the point of a distribution after all SF Like 👍 machine very easy to use, my mother said"&amp;" you can not buy one behind children to do their own noodles at ease!")</f>
        <v>Easy to use heavy work really sent me a good cost-effective conservation measures equivalent to no, but fortunately was doing anything visible scratches. Shanghai to the point of a distribution after all SF Like 👍 machine very easy to use, my mother said you can not buy one behind children to do their own noodles at ease!</v>
      </c>
    </row>
    <row r="2214">
      <c r="A2214" s="1">
        <v>5.0</v>
      </c>
      <c r="B2214" s="1" t="s">
        <v>2211</v>
      </c>
      <c r="C2214" t="str">
        <f>IFERROR(__xludf.DUMMYFUNCTION("GOOGLETRANSLATE(B2214, ""zh"", ""en"")"),"Jeans really good quality, style Ye Hao")</f>
        <v>Jeans really good quality, style Ye Hao</v>
      </c>
    </row>
    <row r="2215">
      <c r="A2215" s="1">
        <v>5.0</v>
      </c>
      <c r="B2215" s="1" t="s">
        <v>2212</v>
      </c>
      <c r="C2215" t="str">
        <f>IFERROR(__xludf.DUMMYFUNCTION("GOOGLETRANSLATE(B2215, ""zh"", ""en"")"),"Ah regular size, soft fabric, the color of unbiased")</f>
        <v>Ah regular size, soft fabric, the color of unbiased</v>
      </c>
    </row>
    <row r="2216">
      <c r="A2216" s="1">
        <v>5.0</v>
      </c>
      <c r="B2216" s="1" t="s">
        <v>2213</v>
      </c>
      <c r="C2216" t="str">
        <f>IFERROR(__xludf.DUMMYFUNCTION("GOOGLETRANSLATE(B2216, ""zh"", ""en"")"),"Good pen, detoxification recipe, recommended! Pen is very positive, tall, very smooth, very, very good writing. M is my tip, the tip is too big points, meticulous fast to catch up with the United States, and signature calligraphy F sharp enough.")</f>
        <v>Good pen, detoxification recipe, recommended! Pen is very positive, tall, very smooth, very, very good writing. M is my tip, the tip is too big points, meticulous fast to catch up with the United States, and signature calligraphy F sharp enough.</v>
      </c>
    </row>
    <row r="2217">
      <c r="A2217" s="1">
        <v>5.0</v>
      </c>
      <c r="B2217" s="1" t="s">
        <v>2214</v>
      </c>
      <c r="C2217" t="str">
        <f>IFERROR(__xludf.DUMMYFUNCTION("GOOGLETRANSLATE(B2217, ""zh"", ""en"")"),"Free your point is average, okay, less than twenty dollars a bottle, the taste is very fond of children, bottle design is also very characteristic, especially like his son now brush your teeth")</f>
        <v>Free your point is average, okay, less than twenty dollars a bottle, the taste is very fond of children, bottle design is also very characteristic, especially like his son now brush your teeth</v>
      </c>
    </row>
    <row r="2218">
      <c r="A2218" s="1">
        <v>5.0</v>
      </c>
      <c r="B2218" s="1" t="s">
        <v>2215</v>
      </c>
      <c r="C2218" t="str">
        <f>IFERROR(__xludf.DUMMYFUNCTION("GOOGLETRANSLATE(B2218, ""zh"", ""en"")"),"Good clothes very fit, very fit.")</f>
        <v>Good clothes very fit, very fit.</v>
      </c>
    </row>
    <row r="2219">
      <c r="A2219" s="1">
        <v>5.0</v>
      </c>
      <c r="B2219" s="1" t="s">
        <v>2216</v>
      </c>
      <c r="C2219" t="str">
        <f>IFERROR(__xludf.DUMMYFUNCTION("GOOGLETRANSLATE(B2219, ""zh"", ""en"")"),"Value is good, the error is 6 seconds, 460 fast, error according to the curriculum, half a month, within three seconds, sometimes even on time, is so fast hardware, yellow Tuo back through the movement do not see how operation,")</f>
        <v>Value is good, the error is 6 seconds, 460 fast, error according to the curriculum, half a month, within three seconds, sometimes even on time, is so fast hardware, yellow Tuo back through the movement do not see how operation,</v>
      </c>
    </row>
    <row r="2220">
      <c r="A2220" s="1">
        <v>5.0</v>
      </c>
      <c r="B2220" s="1" t="s">
        <v>2217</v>
      </c>
      <c r="C2220" t="str">
        <f>IFERROR(__xludf.DUMMYFUNCTION("GOOGLETRANSLATE(B2220, ""zh"", ""en"")"),"3T storing mechanical hard drives Hitachi brand identification, inventory standard white plate, used as a backup data storage cost value.")</f>
        <v>3T storing mechanical hard drives Hitachi brand identification, inventory standard white plate, used as a backup data storage cost value.</v>
      </c>
    </row>
    <row r="2221">
      <c r="A2221" s="1">
        <v>5.0</v>
      </c>
      <c r="B2221" s="1" t="s">
        <v>2218</v>
      </c>
      <c r="C2221" t="str">
        <f>IFERROR(__xludf.DUMMYFUNCTION("GOOGLETRANSLATE(B2221, ""zh"", ""en"")"),"Good shoes usually wear 41 yards, just the shoes.")</f>
        <v>Good shoes usually wear 41 yards, just the shoes.</v>
      </c>
    </row>
    <row r="2222">
      <c r="A2222" s="1">
        <v>5.0</v>
      </c>
      <c r="B2222" s="1" t="s">
        <v>2219</v>
      </c>
      <c r="C2222" t="str">
        <f>IFERROR(__xludf.DUMMYFUNCTION("GOOGLETRANSLATE(B2222, ""zh"", ""en"")"),"Strange same size pants were bought gravel and navy blue color, the result of two pairs of pants actually not as big, navy blue pants type is very positive, is the standard slimfit.")</f>
        <v>Strange same size pants were bought gravel and navy blue color, the result of two pairs of pants actually not as big, navy blue pants type is very positive, is the standard slimfit.</v>
      </c>
    </row>
    <row r="2223">
      <c r="A2223" s="1">
        <v>5.0</v>
      </c>
      <c r="B2223" s="1" t="s">
        <v>2220</v>
      </c>
      <c r="C2223" t="str">
        <f>IFERROR(__xludf.DUMMYFUNCTION("GOOGLETRANSLATE(B2223, ""zh"", ""en"")"),"Comfort 172 65 s code")</f>
        <v>Comfort 172 65 s code</v>
      </c>
    </row>
    <row r="2224">
      <c r="A2224" s="1">
        <v>5.0</v>
      </c>
      <c r="B2224" s="1" t="s">
        <v>2221</v>
      </c>
      <c r="C2224" t="str">
        <f>IFERROR(__xludf.DUMMYFUNCTION("GOOGLETRANSLATE(B2224, ""zh"", ""en"")"),"Very good, it is not entirely soft, still a little cup shape, 70c wear m just, still very comfortable. Arrived very fast, one week to go.")</f>
        <v>Very good, it is not entirely soft, still a little cup shape, 70c wear m just, still very comfortable. Arrived very fast, one week to go.</v>
      </c>
    </row>
    <row r="2225">
      <c r="A2225" s="1">
        <v>5.0</v>
      </c>
      <c r="B2225" s="1" t="s">
        <v>2222</v>
      </c>
      <c r="C2225" t="str">
        <f>IFERROR(__xludf.DUMMYFUNCTION("GOOGLETRANSLATE(B2225, ""zh"", ""en"")"),"The appearance of quality to be very good burn, logistics and very efficient, sent a week, five-star praise!")</f>
        <v>The appearance of quality to be very good burn, logistics and very efficient, sent a week, five-star praise!</v>
      </c>
    </row>
    <row r="2226">
      <c r="A2226" s="1">
        <v>5.0</v>
      </c>
      <c r="B2226" s="1" t="s">
        <v>2223</v>
      </c>
      <c r="C2226" t="str">
        <f>IFERROR(__xludf.DUMMYFUNCTION("GOOGLETRANSLATE(B2226, ""zh"", ""en"")"),"Tasty, tasty like candy, like candy")</f>
        <v>Tasty, tasty like candy, like candy</v>
      </c>
    </row>
    <row r="2227">
      <c r="A2227" s="1">
        <v>5.0</v>
      </c>
      <c r="B2227" s="1" t="s">
        <v>2224</v>
      </c>
      <c r="C2227" t="str">
        <f>IFERROR(__xludf.DUMMYFUNCTION("GOOGLETRANSLATE(B2227, ""zh"", ""en"")"),"175cm, 85kg, medium. 175,85kg, medium, just right. Very good, buy one.")</f>
        <v>175cm, 85kg, medium. 175,85kg, medium, just right. Very good, buy one.</v>
      </c>
    </row>
    <row r="2228">
      <c r="A2228" s="1">
        <v>5.0</v>
      </c>
      <c r="B2228" s="1" t="s">
        <v>2225</v>
      </c>
      <c r="C2228" t="str">
        <f>IFERROR(__xludf.DUMMYFUNCTION("GOOGLETRANSLATE(B2228, ""zh"", ""en"")"),"Replace simple inexpensive, simple replacement brush for complete and very clean.")</f>
        <v>Replace simple inexpensive, simple replacement brush for complete and very clean.</v>
      </c>
    </row>
    <row r="2229">
      <c r="A2229" s="1">
        <v>5.0</v>
      </c>
      <c r="B2229" s="1" t="s">
        <v>2226</v>
      </c>
      <c r="C2229" t="str">
        <f>IFERROR(__xludf.DUMMYFUNCTION("GOOGLETRANSLATE(B2229, ""zh"", ""en"")"),"Good quality genuine mug! Big trusted brand.")</f>
        <v>Good quality genuine mug! Big trusted brand.</v>
      </c>
    </row>
    <row r="2230">
      <c r="A2230" s="1">
        <v>5.0</v>
      </c>
      <c r="B2230" s="1" t="s">
        <v>2227</v>
      </c>
      <c r="C2230" t="str">
        <f>IFERROR(__xludf.DUMMYFUNCTION("GOOGLETRANSLATE(B2230, ""zh"", ""en"")"),"philips diamond brush clearance fast, this time the price is good, w2 can be used in the old section of the hx9332")</f>
        <v>philips diamond brush clearance fast, this time the price is good, w2 can be used in the old section of the hx9332</v>
      </c>
    </row>
    <row r="2231">
      <c r="A2231" s="1">
        <v>5.0</v>
      </c>
      <c r="B2231" s="1" t="s">
        <v>2228</v>
      </c>
      <c r="C2231" t="str">
        <f>IFERROR(__xludf.DUMMYFUNCTION("GOOGLETRANSLATE(B2231, ""zh"", ""en"")"),"Pelvis with Nichia buy this indeed is the most cost-effective. I have not seen the quality of the Lynx, but have seen a friend of the same. Fast.")</f>
        <v>Pelvis with Nichia buy this indeed is the most cost-effective. I have not seen the quality of the Lynx, but have seen a friend of the same. Fast.</v>
      </c>
    </row>
    <row r="2232">
      <c r="A2232" s="1">
        <v>2.0</v>
      </c>
      <c r="B2232" s="1" t="s">
        <v>2229</v>
      </c>
      <c r="C2232" t="str">
        <f>IFERROR(__xludf.DUMMYFUNCTION("GOOGLETRANSLATE(B2232, ""zh"", ""en"")"),"Blue color fabric rather hard, and blue color picture of a little big.")</f>
        <v>Blue color fabric rather hard, and blue color picture of a little big.</v>
      </c>
    </row>
    <row r="2233">
      <c r="A2233" s="1">
        <v>3.0</v>
      </c>
      <c r="B2233" s="1" t="s">
        <v>2230</v>
      </c>
      <c r="C2233" t="str">
        <f>IFERROR(__xludf.DUMMYFUNCTION("GOOGLETRANSLATE(B2233, ""zh"", ""en"")"),"Wearing one week, and then play ball! Wearing one week, and then play ball! The right size, the plate is very beautiful, just put on the feeling of value, but with a few days to play the ball, it felt so right")</f>
        <v>Wearing one week, and then play ball! Wearing one week, and then play ball! The right size, the plate is very beautiful, just put on the feeling of value, but with a few days to play the ball, it felt so right</v>
      </c>
    </row>
    <row r="2234">
      <c r="A2234" s="1">
        <v>3.0</v>
      </c>
      <c r="B2234" s="1" t="s">
        <v>2231</v>
      </c>
      <c r="C2234" t="str">
        <f>IFERROR(__xludf.DUMMYFUNCTION("GOOGLETRANSLATE(B2234, ""zh"", ""en"")"),"too big! ! ! 185cm / 88kg, bought L, feeling 3XL ~ 4XL, too. . .")</f>
        <v>too big! ! ! 185cm / 88kg, bought L, feeling 3XL ~ 4XL, too. . .</v>
      </c>
    </row>
    <row r="2235">
      <c r="A2235" s="1">
        <v>1.0</v>
      </c>
      <c r="B2235" s="1" t="s">
        <v>2232</v>
      </c>
      <c r="C2235" t="str">
        <f>IFERROR(__xludf.DUMMYFUNCTION("GOOGLETRANSLATE(B2235, ""zh"", ""en"")"),"Spicy chicken spicy chicken, hair loss, lost a lot of hair, the feeling spread the goods")</f>
        <v>Spicy chicken spicy chicken, hair loss, lost a lot of hair, the feeling spread the goods</v>
      </c>
    </row>
    <row r="2236">
      <c r="A2236" s="1">
        <v>1.0</v>
      </c>
      <c r="B2236" s="1" t="s">
        <v>2233</v>
      </c>
      <c r="C2236" t="str">
        <f>IFERROR(__xludf.DUMMYFUNCTION("GOOGLETRANSLATE(B2236, ""zh"", ""en"")"),"It is generally weak batch of low frequency, with only piano, listening to music is simply impossible")</f>
        <v>It is generally weak batch of low frequency, with only piano, listening to music is simply impossible</v>
      </c>
    </row>
    <row r="2237">
      <c r="A2237" s="1">
        <v>4.0</v>
      </c>
      <c r="B2237" s="1" t="s">
        <v>2234</v>
      </c>
      <c r="C2237" t="str">
        <f>IFERROR(__xludf.DUMMYFUNCTION("GOOGLETRANSLATE(B2237, ""zh"", ""en"")"),"Size height 183 weight 220 number to buy Xl! Started to wear a little tight when the day began to wear loose quickly, this weather was okay, if the high temperatures in the summer to buy the freshman code may be more comfortable! Cotton may be the reason!"&amp;" A little self! Quality line, with the former wearing a Nike T-shirt Adidas thickness almost feel!")</f>
        <v>Size height 183 weight 220 number to buy Xl! Started to wear a little tight when the day began to wear loose quickly, this weather was okay, if the high temperatures in the summer to buy the freshman code may be more comfortable! Cotton may be the reason! A little self! Quality line, with the former wearing a Nike T-shirt Adidas thickness almost feel!</v>
      </c>
    </row>
    <row r="2238">
      <c r="A2238" s="1">
        <v>4.0</v>
      </c>
      <c r="B2238" s="1" t="s">
        <v>2235</v>
      </c>
      <c r="C2238" t="str">
        <f>IFERROR(__xludf.DUMMYFUNCTION("GOOGLETRANSLATE(B2238, ""zh"", ""en"")"),"Convenient baby likes to bite, but the old bell. not convenient")</f>
        <v>Convenient baby likes to bite, but the old bell. not convenient</v>
      </c>
    </row>
    <row r="2239">
      <c r="A2239" s="1">
        <v>4.0</v>
      </c>
      <c r="B2239" s="1" t="s">
        <v>2236</v>
      </c>
      <c r="C2239" t="str">
        <f>IFERROR(__xludf.DUMMYFUNCTION("GOOGLETRANSLATE(B2239, ""zh"", ""en"")"),"Fairly satisfied with the speed of a generally stable in 50-60M / s capacity will be almost 0.93 times on the way considered normal volume is also good point is smaller than expected")</f>
        <v>Fairly satisfied with the speed of a generally stable in 50-60M / s capacity will be almost 0.93 times on the way considered normal volume is also good point is smaller than expected</v>
      </c>
    </row>
    <row r="2240">
      <c r="A2240" s="1">
        <v>4.0</v>
      </c>
      <c r="B2240" s="1" t="s">
        <v>2237</v>
      </c>
      <c r="C2240" t="str">
        <f>IFERROR(__xludf.DUMMYFUNCTION("GOOGLETRANSLATE(B2240, ""zh"", ""en"")"),"Roll waist clip fart not very thick, winter wear can not roll back not tight, a little clip fart")</f>
        <v>Roll waist clip fart not very thick, winter wear can not roll back not tight, a little clip fart</v>
      </c>
    </row>
    <row r="2241">
      <c r="A2241" s="1">
        <v>4.0</v>
      </c>
      <c r="B2241" s="1" t="s">
        <v>2238</v>
      </c>
      <c r="C2241" t="str">
        <f>IFERROR(__xludf.DUMMYFUNCTION("GOOGLETRANSLATE(B2241, ""zh"", ""en"")"),"After the package is too simple orders see a country east of the same model line price spike 999, the actual receipt of the goods took nine days, the arrival of the packaging is too simple, a little shock protection are not, things okay. Normal use, the a"&amp;"ctual capacity of more than 3.6T")</f>
        <v>After the package is too simple orders see a country east of the same model line price spike 999, the actual receipt of the goods took nine days, the arrival of the packaging is too simple, a little shock protection are not, things okay. Normal use, the actual capacity of more than 3.6T</v>
      </c>
    </row>
    <row r="2242">
      <c r="A2242" s="1">
        <v>5.0</v>
      </c>
      <c r="B2242" s="1" t="s">
        <v>2239</v>
      </c>
      <c r="C2242" t="str">
        <f>IFERROR(__xludf.DUMMYFUNCTION("GOOGLETRANSLATE(B2242, ""zh"", ""en"")"),"Comfortable fabric comfortable thin, fit to wear the South.")</f>
        <v>Comfortable fabric comfortable thin, fit to wear the South.</v>
      </c>
    </row>
    <row r="2243">
      <c r="A2243" s="1">
        <v>5.0</v>
      </c>
      <c r="B2243" s="1" t="s">
        <v>2240</v>
      </c>
      <c r="C2243" t="str">
        <f>IFERROR(__xludf.DUMMYFUNCTION("GOOGLETRANSLATE(B2243, ""zh"", ""en"")"),"Very cozy little inside! In Japan, high waist cotton pants, my height 166CM, 70CM and 92CM waist-hip, bought the L code, very comfortable, breathable, like to wear high waist recommended to buy.")</f>
        <v>Very cozy little inside! In Japan, high waist cotton pants, my height 166CM, 70CM and 92CM waist-hip, bought the L code, very comfortable, breathable, like to wear high waist recommended to buy.</v>
      </c>
    </row>
    <row r="2244">
      <c r="A2244" s="1">
        <v>5.0</v>
      </c>
      <c r="B2244" s="1" t="s">
        <v>2241</v>
      </c>
      <c r="C2244" t="str">
        <f>IFERROR(__xludf.DUMMYFUNCTION("GOOGLETRANSLATE(B2244, ""zh"", ""en"")"),"No good, never went before the evaluation, I do not know how many wasted points, points can change money now know, they should look carefully evaluated, then I put these words to copy to go, both to earn points, but also save trouble, went to which copy w"&amp;"here, most importantly, do not seriously review, do not think how much worse word, sent directly to it, recommend it to everyone!")</f>
        <v>No good, never went before the evaluation, I do not know how many wasted points, points can change money now know, they should look carefully evaluated, then I put these words to copy to go, both to earn points, but also save trouble, went to which copy where, most importantly, do not seriously review, do not think how much worse word, sent directly to it, recommend it to everyone!</v>
      </c>
    </row>
    <row r="2245">
      <c r="A2245" s="1">
        <v>5.0</v>
      </c>
      <c r="B2245" s="1" t="s">
        <v>2242</v>
      </c>
      <c r="C2245" t="str">
        <f>IFERROR(__xludf.DUMMYFUNCTION("GOOGLETRANSLATE(B2245, ""zh"", ""en"")"),"Effective price better than the domestic effects are particularly good all in one grade better than the above two, the domestic washing block will resort to a strange smell exhausted after remaining on the dishes. This version did not, do not fully unders"&amp;"tand the comparison. Buy expensive imported version 7 people found this review helpful")</f>
        <v>Effective price better than the domestic effects are particularly good all in one grade better than the above two, the domestic washing block will resort to a strange smell exhausted after remaining on the dishes. This version did not, do not fully understand the comparison. Buy expensive imported version 7 people found this review helpful</v>
      </c>
    </row>
    <row r="2246">
      <c r="A2246" s="1">
        <v>5.0</v>
      </c>
      <c r="B2246" s="1" t="s">
        <v>2243</v>
      </c>
      <c r="C2246" t="str">
        <f>IFERROR(__xludf.DUMMYFUNCTION("GOOGLETRANSLATE(B2246, ""zh"", ""en"")"),"Delicious candy. Delicious, nutritious. satisfaction.")</f>
        <v>Delicious candy. Delicious, nutritious. satisfaction.</v>
      </c>
    </row>
    <row r="2247">
      <c r="A2247" s="1">
        <v>5.0</v>
      </c>
      <c r="B2247" s="1" t="s">
        <v>2244</v>
      </c>
      <c r="C2247" t="str">
        <f>IFERROR(__xludf.DUMMYFUNCTION("GOOGLETRANSLATE(B2247, ""zh"", ""en"")"),"Happy shopping a pleasant shopping, the first time Amazon, feel good.")</f>
        <v>Happy shopping a pleasant shopping, the first time Amazon, feel good.</v>
      </c>
    </row>
    <row r="2248">
      <c r="A2248" s="1">
        <v>5.0</v>
      </c>
      <c r="B2248" s="1" t="s">
        <v>2245</v>
      </c>
      <c r="C2248" t="str">
        <f>IFERROR(__xludf.DUMMYFUNCTION("GOOGLETRANSLATE(B2248, ""zh"", ""en"")"),"Easy to buy a few good use")</f>
        <v>Easy to buy a few good use</v>
      </c>
    </row>
    <row r="2249">
      <c r="A2249" s="1">
        <v>5.0</v>
      </c>
      <c r="B2249" s="1" t="s">
        <v>2246</v>
      </c>
      <c r="C2249" t="str">
        <f>IFERROR(__xludf.DUMMYFUNCTION("GOOGLETRANSLATE(B2249, ""zh"", ""en"")"),"Good pen high cost! Yes! Smooth writing")</f>
        <v>Good pen high cost! Yes! Smooth writing</v>
      </c>
    </row>
    <row r="2250">
      <c r="A2250" s="1">
        <v>5.0</v>
      </c>
      <c r="B2250" s="1" t="s">
        <v>2247</v>
      </c>
      <c r="C2250" t="str">
        <f>IFERROR(__xludf.DUMMYFUNCTION("GOOGLETRANSLATE(B2250, ""zh"", ""en"")"),"Recommended to buy cups are particularly good, super-insulation effect, it is recommended, the price is very beautiful, cheaper than the Lynx's official website")</f>
        <v>Recommended to buy cups are particularly good, super-insulation effect, it is recommended, the price is very beautiful, cheaper than the Lynx's official website</v>
      </c>
    </row>
    <row r="2251">
      <c r="A2251" s="1">
        <v>5.0</v>
      </c>
      <c r="B2251" s="1" t="s">
        <v>2248</v>
      </c>
      <c r="C2251" t="str">
        <f>IFERROR(__xludf.DUMMYFUNCTION("GOOGLETRANSLATE(B2251, ""zh"", ""en"")"),"Good sound quality is very good, worth having.")</f>
        <v>Good sound quality is very good, worth having.</v>
      </c>
    </row>
    <row r="2252">
      <c r="A2252" s="1">
        <v>5.0</v>
      </c>
      <c r="B2252" s="1" t="s">
        <v>2249</v>
      </c>
      <c r="C2252" t="str">
        <f>IFERROR(__xludf.DUMMYFUNCTION("GOOGLETRANSLATE(B2252, ""zh"", ""en"")"),"10061 style and not much different, no need to recognize only the 10061 domestic 42 yards, 26 cm, bought 8.5 foot high I can not buy small, big boots option is not selected small. And remember.")</f>
        <v>10061 style and not much different, no need to recognize only the 10061 domestic 42 yards, 26 cm, bought 8.5 foot high I can not buy small, big boots option is not selected small. And remember.</v>
      </c>
    </row>
    <row r="2253">
      <c r="A2253" s="1">
        <v>5.0</v>
      </c>
      <c r="B2253" s="1" t="s">
        <v>2250</v>
      </c>
      <c r="C2253" t="str">
        <f>IFERROR(__xludf.DUMMYFUNCTION("GOOGLETRANSLATE(B2253, ""zh"", ""en"")"),"You can also right also good, I feel like a general, because it is straight, legs indeed very fat")</f>
        <v>You can also right also good, I feel like a general, because it is straight, legs indeed very fat</v>
      </c>
    </row>
    <row r="2254">
      <c r="A2254" s="1">
        <v>5.0</v>
      </c>
      <c r="B2254" s="1" t="s">
        <v>2251</v>
      </c>
      <c r="C2254" t="str">
        <f>IFERROR(__xludf.DUMMYFUNCTION("GOOGLETRANSLATE(B2254, ""zh"", ""en"")"),"Compact and lightweight body is cheap and easy")</f>
        <v>Compact and lightweight body is cheap and easy</v>
      </c>
    </row>
    <row r="2255">
      <c r="A2255" s="1">
        <v>5.0</v>
      </c>
      <c r="B2255" s="1" t="s">
        <v>2252</v>
      </c>
      <c r="C2255" t="str">
        <f>IFERROR(__xludf.DUMMYFUNCTION("GOOGLETRANSLATE(B2255, ""zh"", ""en"")"),"I pretty strange too large for everyday wear 39 this is a great 8.5")</f>
        <v>I pretty strange too large for everyday wear 39 this is a great 8.5</v>
      </c>
    </row>
    <row r="2256">
      <c r="A2256" s="1">
        <v>5.0</v>
      </c>
      <c r="B2256" s="1" t="s">
        <v>2253</v>
      </c>
      <c r="C2256" t="str">
        <f>IFERROR(__xludf.DUMMYFUNCTION("GOOGLETRANSLATE(B2256, ""zh"", ""en"")"),"Very Good Very Good")</f>
        <v>Very Good Very Good</v>
      </c>
    </row>
    <row r="2257">
      <c r="A2257" s="1">
        <v>5.0</v>
      </c>
      <c r="B2257" s="1" t="s">
        <v>2254</v>
      </c>
      <c r="C2257" t="str">
        <f>IFERROR(__xludf.DUMMYFUNCTION("GOOGLETRANSLATE(B2257, ""zh"", ""en"")"),"Super love love! Unfortunately, just bought on price cuts")</f>
        <v>Super love love! Unfortunately, just bought on price cuts</v>
      </c>
    </row>
    <row r="2258">
      <c r="A2258" s="1">
        <v>5.0</v>
      </c>
      <c r="B2258" s="1" t="s">
        <v>2255</v>
      </c>
      <c r="C2258" t="str">
        <f>IFERROR(__xludf.DUMMYFUNCTION("GOOGLETRANSLATE(B2258, ""zh"", ""en"")"),"Size Size is not good choice, too small")</f>
        <v>Size Size is not good choice, too small</v>
      </c>
    </row>
    <row r="2259">
      <c r="A2259" s="1">
        <v>5.0</v>
      </c>
      <c r="B2259" s="1" t="s">
        <v>2256</v>
      </c>
      <c r="C2259" t="str">
        <f>IFERROR(__xludf.DUMMYFUNCTION("GOOGLETRANSLATE(B2259, ""zh"", ""en"")"),"AIU send good speed quickly, the price is very cost-effective, the measured speed of about 160M / S, also good")</f>
        <v>AIU send good speed quickly, the price is very cost-effective, the measured speed of about 160M / S, also good</v>
      </c>
    </row>
    <row r="2260">
      <c r="A2260" s="1">
        <v>5.0</v>
      </c>
      <c r="B2260" s="1" t="s">
        <v>2257</v>
      </c>
      <c r="C2260" t="str">
        <f>IFERROR(__xludf.DUMMYFUNCTION("GOOGLETRANSLATE(B2260, ""zh"", ""en"")"),"Stylish and comfortable. Hiking for outdoor activities. The price is very good.")</f>
        <v>Stylish and comfortable. Hiking for outdoor activities. The price is very good.</v>
      </c>
    </row>
    <row r="2261">
      <c r="A2261" s="1">
        <v>5.0</v>
      </c>
      <c r="B2261" s="1" t="s">
        <v>2258</v>
      </c>
      <c r="C2261" t="str">
        <f>IFERROR(__xludf.DUMMYFUNCTION("GOOGLETRANSLATE(B2261, ""zh"", ""en"")"),"Easy to increase the water pressure, spray on the body comfortable, did not wait for the new home decoration can not wait to spend the nozzle")</f>
        <v>Easy to increase the water pressure, spray on the body comfortable, did not wait for the new home decoration can not wait to spend the nozzle</v>
      </c>
    </row>
    <row r="2262">
      <c r="A2262" s="1">
        <v>5.0</v>
      </c>
      <c r="B2262" s="1" t="s">
        <v>2259</v>
      </c>
      <c r="C2262" t="str">
        <f>IFERROR(__xludf.DUMMYFUNCTION("GOOGLETRANSLATE(B2262, ""zh"", ""en"")"),"Has been eating this brand, the role of the elderly have been eating this brand, the role of the elderly")</f>
        <v>Has been eating this brand, the role of the elderly have been eating this brand, the role of the elderly</v>
      </c>
    </row>
    <row r="2263">
      <c r="A2263" s="1">
        <v>5.0</v>
      </c>
      <c r="B2263" s="1" t="s">
        <v>2260</v>
      </c>
      <c r="C2263" t="str">
        <f>IFERROR(__xludf.DUMMYFUNCTION("GOOGLETRANSLATE(B2263, ""zh"", ""en"")"),"Genuine cheaper than domestic prices cheaper than the domestic price ah looks good about five days arrive")</f>
        <v>Genuine cheaper than domestic prices cheaper than the domestic price ah looks good about five days arrive</v>
      </c>
    </row>
    <row r="2264">
      <c r="A2264" s="1">
        <v>2.0</v>
      </c>
      <c r="B2264" s="1" t="s">
        <v>2261</v>
      </c>
      <c r="C2264" t="str">
        <f>IFERROR(__xludf.DUMMYFUNCTION("GOOGLETRANSLATE(B2264, ""zh"", ""en"")"),"The high cost prices are very favorable right size ~ ~")</f>
        <v>The high cost prices are very favorable right size ~ ~</v>
      </c>
    </row>
    <row r="2265">
      <c r="A2265" s="1">
        <v>3.0</v>
      </c>
      <c r="B2265" s="1" t="s">
        <v>2262</v>
      </c>
      <c r="C2265" t="str">
        <f>IFERROR(__xludf.DUMMYFUNCTION("GOOGLETRANSLATE(B2265, ""zh"", ""en"")"),"For beginning to eat their own baby fit this model for just learning to handle their own baby take a spoon, another big point I felt a little handle. And in the bowl, the dish can only lie down throughout the whole spoon, because the handle put too unstab"&amp;"le, often dropped on the table and floor. Baby big point is not recommended. Further, 2 months after use, the patterned side of the plastic handle on the whole are off, leaving only the blue handle, mottled surface.")</f>
        <v>For beginning to eat their own baby fit this model for just learning to handle their own baby take a spoon, another big point I felt a little handle. And in the bowl, the dish can only lie down throughout the whole spoon, because the handle put too unstable, often dropped on the table and floor. Baby big point is not recommended. Further, 2 months after use, the patterned side of the plastic handle on the whole are off, leaving only the blue handle, mottled surface.</v>
      </c>
    </row>
    <row r="2266">
      <c r="A2266" s="1">
        <v>3.0</v>
      </c>
      <c r="B2266" s="1" t="s">
        <v>2263</v>
      </c>
      <c r="C2266" t="str">
        <f>IFERROR(__xludf.DUMMYFUNCTION("GOOGLETRANSLATE(B2266, ""zh"", ""en"")"),"Less permeable thin, some pinch, digital understand this brand, the original bought small as not wearing a pair of codes. ecco no problems on other brands")</f>
        <v>Less permeable thin, some pinch, digital understand this brand, the original bought small as not wearing a pair of codes. ecco no problems on other brands</v>
      </c>
    </row>
    <row r="2267">
      <c r="A2267" s="1">
        <v>1.0</v>
      </c>
      <c r="B2267" s="1" t="s">
        <v>2264</v>
      </c>
      <c r="C2267" t="str">
        <f>IFERROR(__xludf.DUMMYFUNCTION("GOOGLETRANSLATE(B2267, ""zh"", ""en"")"),"No tag, too large a particularly long sleeves really do not know ye deal. There are even a clothing tag are not drunk ......")</f>
        <v>No tag, too large a particularly long sleeves really do not know ye deal. There are even a clothing tag are not drunk ......</v>
      </c>
    </row>
    <row r="2268">
      <c r="A2268" s="1">
        <v>1.0</v>
      </c>
      <c r="B2268" s="1" t="s">
        <v>2265</v>
      </c>
      <c r="C2268" t="str">
        <f>IFERROR(__xludf.DUMMYFUNCTION("GOOGLETRANSLATE(B2268, ""zh"", ""en"")"),"Very, very bad shopping experience terribel shppping fabric is very scratchy and thin color is not correct size allowed very uncomfortable to wear")</f>
        <v>Very, very bad shopping experience terribel shppping fabric is very scratchy and thin color is not correct size allowed very uncomfortable to wear</v>
      </c>
    </row>
    <row r="2269">
      <c r="A2269" s="1">
        <v>1.0</v>
      </c>
      <c r="B2269" s="1" t="s">
        <v>2266</v>
      </c>
      <c r="C2269" t="str">
        <f>IFERROR(__xludf.DUMMYFUNCTION("GOOGLETRANSLATE(B2269, ""zh"", ""en"")"),"Why waste is old, obviously worn.")</f>
        <v>Why waste is old, obviously worn.</v>
      </c>
    </row>
    <row r="2270">
      <c r="A2270" s="1">
        <v>4.0</v>
      </c>
      <c r="B2270" s="1" t="s">
        <v>2267</v>
      </c>
      <c r="C2270" t="str">
        <f>IFERROR(__xludf.DUMMYFUNCTION("GOOGLETRANSLATE(B2270, ""zh"", ""en"")"),"There may also be a cover to be opened. There are 4 days after I bought the freight can avoid the shipping costs. . . .")</f>
        <v>There may also be a cover to be opened. There are 4 days after I bought the freight can avoid the shipping costs. . . .</v>
      </c>
    </row>
    <row r="2271">
      <c r="A2271" s="1">
        <v>4.0</v>
      </c>
      <c r="B2271" s="1" t="s">
        <v>2268</v>
      </c>
      <c r="C2271" t="str">
        <f>IFERROR(__xludf.DUMMYFUNCTION("GOOGLETRANSLATE(B2271, ""zh"", ""en"")"),"Dier size shoes size is not one, are separated. On foot in kind it is not very beautiful, but very comfortable to wear.")</f>
        <v>Dier size shoes size is not one, are separated. On foot in kind it is not very beautiful, but very comfortable to wear.</v>
      </c>
    </row>
    <row r="2272">
      <c r="A2272" s="1">
        <v>4.0</v>
      </c>
      <c r="B2272" s="1" t="s">
        <v>2269</v>
      </c>
      <c r="C2272" t="str">
        <f>IFERROR(__xludf.DUMMYFUNCTION("GOOGLETRANSLATE(B2272, ""zh"", ""en"")"),"Easily scratched, holding the cup is very good insulation, one-handed operation is very convenient, is not afraid leak, but easily scratched, put a cup Tory car, he used a few times there is a very visible scratches, and this FIG coating too weak")</f>
        <v>Easily scratched, holding the cup is very good insulation, one-handed operation is very convenient, is not afraid leak, but easily scratched, put a cup Tory car, he used a few times there is a very visible scratches, and this FIG coating too weak</v>
      </c>
    </row>
    <row r="2273">
      <c r="A2273" s="1">
        <v>4.0</v>
      </c>
      <c r="B2273" s="1" t="s">
        <v>2270</v>
      </c>
      <c r="C2273" t="str">
        <f>IFERROR(__xludf.DUMMYFUNCTION("GOOGLETRANSLATE(B2273, ""zh"", ""en"")"),"No packaging, acceptable quality. Why not package it? It is genuine, bought, the same.")</f>
        <v>No packaging, acceptable quality. Why not package it? It is genuine, bought, the same.</v>
      </c>
    </row>
    <row r="2274">
      <c r="A2274" s="1">
        <v>4.0</v>
      </c>
      <c r="B2274" s="1" t="s">
        <v>2271</v>
      </c>
      <c r="C2274" t="str">
        <f>IFERROR(__xludf.DUMMYFUNCTION("GOOGLETRANSLATE(B2274, ""zh"", ""en"")"),"1699 start, is still relatively satisfied with the 1699 spike i version of the black, super-fast delivery empire. Headphone quality no big problem, earmuffs part is feeling very wrinkled, the material itself may be the problem now. Open burning is not the"&amp;" sound quality, but the personal feeling is commendatory boiled water, eat bread also chew for a long time will be sweet.")</f>
        <v>1699 start, is still relatively satisfied with the 1699 spike i version of the black, super-fast delivery empire. Headphone quality no big problem, earmuffs part is feeling very wrinkled, the material itself may be the problem now. Open burning is not the sound quality, but the personal feeling is commendatory boiled water, eat bread also chew for a long time will be sweet.</v>
      </c>
    </row>
    <row r="2275">
      <c r="A2275" s="1">
        <v>5.0</v>
      </c>
      <c r="B2275" s="1" t="s">
        <v>2272</v>
      </c>
      <c r="C2275" t="str">
        <f>IFERROR(__xludf.DUMMYFUNCTION("GOOGLETRANSLATE(B2275, ""zh"", ""en"")"),"Good family benefits, to help students buy, the second time to buy, easy to use, cheaper than purchasing, run out will continue to buy.")</f>
        <v>Good family benefits, to help students buy, the second time to buy, easy to use, cheaper than purchasing, run out will continue to buy.</v>
      </c>
    </row>
    <row r="2276">
      <c r="A2276" s="1">
        <v>5.0</v>
      </c>
      <c r="B2276" s="1" t="s">
        <v>2273</v>
      </c>
      <c r="C2276" t="str">
        <f>IFERROR(__xludf.DUMMYFUNCTION("GOOGLETRANSLATE(B2276, ""zh"", ""en"")"),"Yes 178 cm, 90KG, wear L code, just very thin, is good, but a general material.")</f>
        <v>Yes 178 cm, 90KG, wear L code, just very thin, is good, but a general material.</v>
      </c>
    </row>
    <row r="2277">
      <c r="A2277" s="1">
        <v>5.0</v>
      </c>
      <c r="B2277" s="1" t="s">
        <v>2274</v>
      </c>
      <c r="C2277" t="str">
        <f>IFERROR(__xludf.DUMMYFUNCTION("GOOGLETRANSLATE(B2277, ""zh"", ""en"")"),"No fitting problems. Read comments are wary of buying before you buy, because of his believe that the quality of Japanese products later or buy, to home improvement No comments said at all can not buy parts of the problem, is a point short hose, go downst"&amp;"airs Hardware store bought master open hardware accessories, fitted able to use, very good!")</f>
        <v>No fitting problems. Read comments are wary of buying before you buy, because of his believe that the quality of Japanese products later or buy, to home improvement No comments said at all can not buy parts of the problem, is a point short hose, go downstairs Hardware store bought master open hardware accessories, fitted able to use, very good!</v>
      </c>
    </row>
    <row r="2278">
      <c r="A2278" s="1">
        <v>5.0</v>
      </c>
      <c r="B2278" s="1" t="s">
        <v>2275</v>
      </c>
      <c r="C2278" t="str">
        <f>IFERROR(__xludf.DUMMYFUNCTION("GOOGLETRANSLATE(B2278, ""zh"", ""en"")"),"Number bad points to buy clothes too big")</f>
        <v>Number bad points to buy clothes too big</v>
      </c>
    </row>
    <row r="2279">
      <c r="A2279" s="1">
        <v>5.0</v>
      </c>
      <c r="B2279" s="1" t="s">
        <v>2276</v>
      </c>
      <c r="C2279" t="str">
        <f>IFERROR(__xludf.DUMMYFUNCTION("GOOGLETRANSLATE(B2279, ""zh"", ""en"")"),"Nice shoes shoes the right size, see comment bought.")</f>
        <v>Nice shoes shoes the right size, see comment bought.</v>
      </c>
    </row>
    <row r="2280">
      <c r="A2280" s="1">
        <v>5.0</v>
      </c>
      <c r="B2280" s="1" t="s">
        <v>2277</v>
      </c>
      <c r="C2280" t="str">
        <f>IFERROR(__xludf.DUMMYFUNCTION("GOOGLETRANSLATE(B2280, ""zh"", ""en"")"),"Perfect height 169, weight 110, wearing the perfect girlfriend, the domestic counter 549, half the price here is cheaper, very good")</f>
        <v>Perfect height 169, weight 110, wearing the perfect girlfriend, the domestic counter 549, half the price here is cheaper, very good</v>
      </c>
    </row>
    <row r="2281">
      <c r="A2281" s="1">
        <v>5.0</v>
      </c>
      <c r="B2281" s="1" t="s">
        <v>2278</v>
      </c>
      <c r="C2281" t="str">
        <f>IFERROR(__xludf.DUMMYFUNCTION("GOOGLETRANSLATE(B2281, ""zh"", ""en"")"),"Japanese version of the Japanese version of the good work the cost is very high, I looked carefully evaluate before you buy, deliberately bought a big One, 177cm, 65kg wear L is very appropriate. Logistics is also much faster than expected.")</f>
        <v>Japanese version of the Japanese version of the good work the cost is very high, I looked carefully evaluate before you buy, deliberately bought a big One, 177cm, 65kg wear L is very appropriate. Logistics is also much faster than expected.</v>
      </c>
    </row>
    <row r="2282">
      <c r="A2282" s="1">
        <v>5.0</v>
      </c>
      <c r="B2282" s="1" t="s">
        <v>2279</v>
      </c>
      <c r="C2282" t="str">
        <f>IFERROR(__xludf.DUMMYFUNCTION("GOOGLETRANSLATE(B2282, ""zh"", ""en"")"),"Casio 5610 Yes, this is what I want Casio watch, I like")</f>
        <v>Casio 5610 Yes, this is what I want Casio watch, I like</v>
      </c>
    </row>
    <row r="2283">
      <c r="A2283" s="1">
        <v>5.0</v>
      </c>
      <c r="B2283" s="1" t="s">
        <v>2280</v>
      </c>
      <c r="C2283" t="str">
        <f>IFERROR(__xludf.DUMMYFUNCTION("GOOGLETRANSLATE(B2283, ""zh"", ""en"")"),"Value for money tangled for a long time, after careful comparison (including JBL305) after into this right, after all, cheaper by nearly 1k. A lot of background noise interference problems people encounter, I have basically solved, can be used in general "&amp;"have a balanced output of the decoder, shielding the bottom line, away from the 2.4G equipment, renovation decoder USB cable, specific methods can refer to my photos Aunt single sun")</f>
        <v>Value for money tangled for a long time, after careful comparison (including JBL305) after into this right, after all, cheaper by nearly 1k. A lot of background noise interference problems people encounter, I have basically solved, can be used in general have a balanced output of the decoder, shielding the bottom line, away from the 2.4G equipment, renovation decoder USB cable, specific methods can refer to my photos Aunt single sun</v>
      </c>
    </row>
    <row r="2284">
      <c r="A2284" s="1">
        <v>5.0</v>
      </c>
      <c r="B2284" s="1" t="s">
        <v>2281</v>
      </c>
      <c r="C2284" t="str">
        <f>IFERROR(__xludf.DUMMYFUNCTION("GOOGLETRANSLATE(B2284, ""zh"", ""en"")"),"Good use good use, LaCie Les something easy to use")</f>
        <v>Good use good use, LaCie Les something easy to use</v>
      </c>
    </row>
    <row r="2285">
      <c r="A2285" s="1">
        <v>5.0</v>
      </c>
      <c r="B2285" s="1" t="s">
        <v>2282</v>
      </c>
      <c r="C2285" t="str">
        <f>IFERROR(__xludf.DUMMYFUNCTION("GOOGLETRANSLATE(B2285, ""zh"", ""en"")"),"Yan high value of the high price of beauty is very practical cook machine Yen value, the price is beautiful, orders three days after delivery, week of receiving, transparent mixing bowl very practical, more directly see the state of the food, made with th"&amp;"e cook and the face, beat egg white, mix the meat, the performance is very good, sound can accept work, but no instructions in Chinese, need to be familiar with their own way")</f>
        <v>Yan high value of the high price of beauty is very practical cook machine Yen value, the price is beautiful, orders three days after delivery, week of receiving, transparent mixing bowl very practical, more directly see the state of the food, made with the cook and the face, beat egg white, mix the meat, the performance is very good, sound can accept work, but no instructions in Chinese, need to be familiar with their own way</v>
      </c>
    </row>
    <row r="2286">
      <c r="A2286" s="1">
        <v>5.0</v>
      </c>
      <c r="B2286" s="1" t="s">
        <v>2283</v>
      </c>
      <c r="C2286" t="str">
        <f>IFERROR(__xludf.DUMMYFUNCTION("GOOGLETRANSLATE(B2286, ""zh"", ""en"")"),"Water bottle water bottle is a good capacity of 1.2L")</f>
        <v>Water bottle water bottle is a good capacity of 1.2L</v>
      </c>
    </row>
    <row r="2287">
      <c r="A2287" s="1">
        <v>5.0</v>
      </c>
      <c r="B2287" s="1" t="s">
        <v>2284</v>
      </c>
      <c r="C2287" t="str">
        <f>IFERROR(__xludf.DUMMYFUNCTION("GOOGLETRANSLATE(B2287, ""zh"", ""en"")"),"Good to wear very comfortable, good-looking breast shape.")</f>
        <v>Good to wear very comfortable, good-looking breast shape.</v>
      </c>
    </row>
    <row r="2288">
      <c r="A2288" s="1">
        <v>5.0</v>
      </c>
      <c r="B2288" s="1" t="s">
        <v>2285</v>
      </c>
      <c r="C2288" t="str">
        <f>IFERROR(__xludf.DUMMYFUNCTION("GOOGLETRANSLATE(B2288, ""zh"", ""en"")"),"Very, very good product, we need to save the fridge, and it is best not to let run into the mouth, so as not to have to go saliva-producing bacteria.")</f>
        <v>Very, very good product, we need to save the fridge, and it is best not to let run into the mouth, so as not to have to go saliva-producing bacteria.</v>
      </c>
    </row>
    <row r="2289">
      <c r="A2289" s="1">
        <v>5.0</v>
      </c>
      <c r="B2289" s="1" t="s">
        <v>2286</v>
      </c>
      <c r="C2289" t="str">
        <f>IFERROR(__xludf.DUMMYFUNCTION("GOOGLETRANSLATE(B2289, ""zh"", ""en"")"),"Very satisfied with the shopping is very good, work well, the price is right, good softness, comfortable, 177,77kg, appropriate. Sort, wore shirts or T-shirts may be.")</f>
        <v>Very satisfied with the shopping is very good, work well, the price is right, good softness, comfortable, 177,77kg, appropriate. Sort, wore shirts or T-shirts may be.</v>
      </c>
    </row>
    <row r="2290">
      <c r="A2290" s="1">
        <v>5.0</v>
      </c>
      <c r="B2290" s="1" t="s">
        <v>2287</v>
      </c>
      <c r="C2290" t="str">
        <f>IFERROR(__xludf.DUMMYFUNCTION("GOOGLETRANSLATE(B2290, ""zh"", ""en"")"),"Cost-effective and very comfortable, there is support and it feels especially tight!")</f>
        <v>Cost-effective and very comfortable, there is support and it feels especially tight!</v>
      </c>
    </row>
    <row r="2291">
      <c r="A2291" s="1">
        <v>5.0</v>
      </c>
      <c r="B2291" s="1" t="s">
        <v>2288</v>
      </c>
      <c r="C2291" t="str">
        <f>IFERROR(__xludf.DUMMYFUNCTION("GOOGLETRANSLATE(B2291, ""zh"", ""en"")"),"Not particularly soft texture, color clothes feeling a little dim")</f>
        <v>Not particularly soft texture, color clothes feeling a little dim</v>
      </c>
    </row>
    <row r="2292">
      <c r="A2292" s="1">
        <v>5.0</v>
      </c>
      <c r="B2292" s="1" t="s">
        <v>2289</v>
      </c>
      <c r="C2292" t="str">
        <f>IFERROR(__xludf.DUMMYFUNCTION("GOOGLETRANSLATE(B2292, ""zh"", ""en"")"),"Yardage forty-one yards wear sneakers forty-one yards to buy so large a trace of 9 should be almost, but not the original shoe box, as if foreign buying something like this?")</f>
        <v>Yardage forty-one yards wear sneakers forty-one yards to buy so large a trace of 9 should be almost, but not the original shoe box, as if foreign buying something like this?</v>
      </c>
    </row>
    <row r="2293">
      <c r="A2293" s="1">
        <v>5.0</v>
      </c>
      <c r="B2293" s="1" t="s">
        <v>2290</v>
      </c>
      <c r="C2293" t="str">
        <f>IFERROR(__xludf.DUMMYFUNCTION("GOOGLETRANSLATE(B2293, ""zh"", ""en"")"),"Good quality! Good quality!")</f>
        <v>Good quality! Good quality!</v>
      </c>
    </row>
    <row r="2294">
      <c r="A2294" s="1">
        <v>5.0</v>
      </c>
      <c r="B2294" s="1" t="s">
        <v>2291</v>
      </c>
      <c r="C2294" t="str">
        <f>IFERROR(__xludf.DUMMYFUNCTION("GOOGLETRANSLATE(B2294, ""zh"", ""en"")"),"Is too large, then the general appearance of thick, too large for summer wear clothes is obviously partial thickness, wearing too hot for obese Aunt Uncle wear")</f>
        <v>Is too large, then the general appearance of thick, too large for summer wear clothes is obviously partial thickness, wearing too hot for obese Aunt Uncle wear</v>
      </c>
    </row>
    <row r="2295">
      <c r="A2295" s="1">
        <v>5.0</v>
      </c>
      <c r="B2295" s="1" t="s">
        <v>2292</v>
      </c>
      <c r="C2295" t="str">
        <f>IFERROR(__xludf.DUMMYFUNCTION("GOOGLETRANSLATE(B2295, ""zh"", ""en"")"),"Cotton good length of almost 1 meter 72, but the waist a little big, but there are elastic")</f>
        <v>Cotton good length of almost 1 meter 72, but the waist a little big, but there are elastic</v>
      </c>
    </row>
    <row r="2296">
      <c r="A2296" s="1">
        <v>5.0</v>
      </c>
      <c r="B2296" s="1" t="s">
        <v>2293</v>
      </c>
      <c r="C2296" t="str">
        <f>IFERROR(__xludf.DUMMYFUNCTION("GOOGLETRANSLATE(B2296, ""zh"", ""en"")"),"A nice watch good watch, as long as the fancy of this convenient table radio pair, plus the appearance of the table is quite satisfactory. A pleasant shopping experience.")</f>
        <v>A nice watch good watch, as long as the fancy of this convenient table radio pair, plus the appearance of the table is quite satisfactory. A pleasant shopping experience.</v>
      </c>
    </row>
    <row r="2297">
      <c r="A2297" s="1">
        <v>2.0</v>
      </c>
      <c r="B2297" s="1" t="s">
        <v>2294</v>
      </c>
      <c r="C2297" t="str">
        <f>IFERROR(__xludf.DUMMYFUNCTION("GOOGLETRANSLATE(B2297, ""zh"", ""en"")"),"Bags too small break, Mom and pictures, Poor delivery, slow death.")</f>
        <v>Bags too small break, Mom and pictures, Poor delivery, slow death.</v>
      </c>
    </row>
    <row r="2298">
      <c r="A2298" s="1">
        <v>3.0</v>
      </c>
      <c r="B2298" s="1" t="s">
        <v>2295</v>
      </c>
      <c r="C2298" t="str">
        <f>IFERROR(__xludf.DUMMYFUNCTION("GOOGLETRANSLATE(B2298, ""zh"", ""en"")"),"Shoddy goods headline title is MQ785, sent me is MQ745, halo")</f>
        <v>Shoddy goods headline title is MQ785, sent me is MQ745, halo</v>
      </c>
    </row>
    <row r="2299">
      <c r="A2299" s="1">
        <v>3.0</v>
      </c>
      <c r="B2299" s="1" t="s">
        <v>2296</v>
      </c>
      <c r="C2299" t="str">
        <f>IFERROR(__xludf.DUMMYFUNCTION("GOOGLETRANSLATE(B2299, ""zh"", ""en"")"),"Users generally like to see a review of the main problems, had wanted to return, but the speed okay, is this plastic case too knock chen, even the outlet are.")</f>
        <v>Users generally like to see a review of the main problems, had wanted to return, but the speed okay, is this plastic case too knock chen, even the outlet are.</v>
      </c>
    </row>
    <row r="2300">
      <c r="A2300" s="1">
        <v>3.0</v>
      </c>
      <c r="B2300" s="1" t="s">
        <v>2297</v>
      </c>
      <c r="C2300" t="str">
        <f>IFERROR(__xludf.DUMMYFUNCTION("GOOGLETRANSLATE(B2300, ""zh"", ""en"")"),"Larger size than normal, it is 41 feet, bought us9, larger size, 42 feet just to wear, only through time, you want to contact me, sell")</f>
        <v>Larger size than normal, it is 41 feet, bought us9, larger size, 42 feet just to wear, only through time, you want to contact me, sell</v>
      </c>
    </row>
    <row r="2301">
      <c r="A2301" s="1">
        <v>1.0</v>
      </c>
      <c r="B2301" s="1" t="s">
        <v>2298</v>
      </c>
      <c r="C2301" t="str">
        <f>IFERROR(__xludf.DUMMYFUNCTION("GOOGLETRANSLATE(B2301, ""zh"", ""en"")"),"Very easy to use poor quality brush, the bristles are not very strong, always brush with the brush with his mouth there are a few plastic bristles. Bad experience")</f>
        <v>Very easy to use poor quality brush, the bristles are not very strong, always brush with the brush with his mouth there are a few plastic bristles. Bad experience</v>
      </c>
    </row>
    <row r="2302">
      <c r="A2302" s="1">
        <v>1.0</v>
      </c>
      <c r="B2302" s="1" t="s">
        <v>2299</v>
      </c>
      <c r="C2302" t="str">
        <f>IFERROR(__xludf.DUMMYFUNCTION("GOOGLETRANSLATE(B2302, ""zh"", ""en"")"),"Plug in the power loom broken machine did not respond ah bad yet")</f>
        <v>Plug in the power loom broken machine did not respond ah bad yet</v>
      </c>
    </row>
    <row r="2303">
      <c r="A2303" s="1">
        <v>4.0</v>
      </c>
      <c r="B2303" s="1" t="s">
        <v>2300</v>
      </c>
      <c r="C2303" t="str">
        <f>IFERROR(__xludf.DUMMYFUNCTION("GOOGLETRANSLATE(B2303, ""zh"", ""en"")"),"Leg wear shoe size fit, comfortable on the feet, the only drawback is that the shoes I wear leg strike areas")</f>
        <v>Leg wear shoe size fit, comfortable on the feet, the only drawback is that the shoes I wear leg strike areas</v>
      </c>
    </row>
    <row r="2304">
      <c r="A2304" s="1">
        <v>4.0</v>
      </c>
      <c r="B2304" s="1" t="s">
        <v>2301</v>
      </c>
      <c r="C2304" t="str">
        <f>IFERROR(__xludf.DUMMYFUNCTION("GOOGLETRANSLATE(B2304, ""zh"", ""en"")"),"CITIZEN watches feeling good quality, style I like, basically the same. Strap is a bit hard, the whole package in general, simple and practical! Time whether the Right, have a look to say slightly.")</f>
        <v>CITIZEN watches feeling good quality, style I like, basically the same. Strap is a bit hard, the whole package in general, simple and practical! Time whether the Right, have a look to say slightly.</v>
      </c>
    </row>
    <row r="2305">
      <c r="A2305" s="1">
        <v>4.0</v>
      </c>
      <c r="B2305" s="1" t="s">
        <v>2302</v>
      </c>
      <c r="C2305" t="str">
        <f>IFERROR(__xludf.DUMMYFUNCTION("GOOGLETRANSLATE(B2305, ""zh"", ""en"")"),"Cost-effective to buy two, the overall feeling is very good. bouncy. The only regret is that radical-colored trousers trousers color than the larger maverick")</f>
        <v>Cost-effective to buy two, the overall feeling is very good. bouncy. The only regret is that radical-colored trousers trousers color than the larger maverick</v>
      </c>
    </row>
    <row r="2306">
      <c r="A2306" s="1">
        <v>4.0</v>
      </c>
      <c r="B2306" s="1" t="s">
        <v>2303</v>
      </c>
      <c r="C2306" t="str">
        <f>IFERROR(__xludf.DUMMYFUNCTION("GOOGLETRANSLATE(B2306, ""zh"", ""en"")"),"Fly something very good, I used a feel good 👍")</f>
        <v>Fly something very good, I used a feel good 👍</v>
      </c>
    </row>
    <row r="2307">
      <c r="A2307" s="1">
        <v>4.0</v>
      </c>
      <c r="B2307" s="1" t="s">
        <v>2304</v>
      </c>
      <c r="C2307" t="str">
        <f>IFERROR(__xludf.DUMMYFUNCTION("GOOGLETRANSLATE(B2307, ""zh"", ""en"")"),"Too big, clothes can be, not retreat. Clothing prices are still beautiful, is too large to wear, I 175CM, 70KG, selected M number, the actual feeling of S number is enough.")</f>
        <v>Too big, clothes can be, not retreat. Clothing prices are still beautiful, is too large to wear, I 175CM, 70KG, selected M number, the actual feeling of S number is enough.</v>
      </c>
    </row>
    <row r="2308">
      <c r="A2308" s="1">
        <v>5.0</v>
      </c>
      <c r="B2308" s="1" t="s">
        <v>2305</v>
      </c>
      <c r="C2308" t="str">
        <f>IFERROR(__xludf.DUMMYFUNCTION("GOOGLETRANSLATE(B2308, ""zh"", ""en"")"),"Yes, British-come fast good, British-over quickly, the original, which is double the package open only a head, to promptly resolve customer service, good service")</f>
        <v>Yes, British-come fast good, British-over quickly, the original, which is double the package open only a head, to promptly resolve customer service, good service</v>
      </c>
    </row>
    <row r="2309">
      <c r="A2309" s="1">
        <v>5.0</v>
      </c>
      <c r="B2309" s="1" t="s">
        <v>2306</v>
      </c>
      <c r="C2309" t="str">
        <f>IFERROR(__xludf.DUMMYFUNCTION("GOOGLETRANSLATE(B2309, ""zh"", ""en"")"),"Like to use for a long time, good quality!")</f>
        <v>Like to use for a long time, good quality!</v>
      </c>
    </row>
    <row r="2310">
      <c r="A2310" s="1">
        <v>5.0</v>
      </c>
      <c r="B2310" s="1" t="s">
        <v>2307</v>
      </c>
      <c r="C2310" t="str">
        <f>IFERROR(__xludf.DUMMYFUNCTION("GOOGLETRANSLATE(B2310, ""zh"", ""en"")"),"Buy this brand has been comfortable, my mother bought, comfortable")</f>
        <v>Buy this brand has been comfortable, my mother bought, comfortable</v>
      </c>
    </row>
    <row r="2311">
      <c r="A2311" s="1">
        <v>5.0</v>
      </c>
      <c r="B2311" s="1" t="s">
        <v>2308</v>
      </c>
      <c r="C2311" t="str">
        <f>IFERROR(__xludf.DUMMYFUNCTION("GOOGLETRANSLATE(B2311, ""zh"", ""en"")"),"It is very good value, very satisfied, cheaper by half.")</f>
        <v>It is very good value, very satisfied, cheaper by half.</v>
      </c>
    </row>
    <row r="2312">
      <c r="A2312" s="1">
        <v>5.0</v>
      </c>
      <c r="B2312" s="1" t="s">
        <v>2309</v>
      </c>
      <c r="C2312" t="str">
        <f>IFERROR(__xludf.DUMMYFUNCTION("GOOGLETRANSLATE(B2312, ""zh"", ""en"")"),"When finally have 650 orders before the fact, wanted to buy prw3500, because it has six Bureau of radio, however, the value of Yen 650 better, so buy chant, faster time to hand for an hour, estimated to be legendary daylight saving time . Always under the"&amp;" instructions Quguan network, slowly debugging, generally speaking, a lot of functions, feel good, cost-effective. Finally, under Ruoruo ask, where to look this off how much tax?")</f>
        <v>When finally have 650 orders before the fact, wanted to buy prw3500, because it has six Bureau of radio, however, the value of Yen 650 better, so buy chant, faster time to hand for an hour, estimated to be legendary daylight saving time . Always under the instructions Quguan network, slowly debugging, generally speaking, a lot of functions, feel good, cost-effective. Finally, under Ruoruo ask, where to look this off how much tax?</v>
      </c>
    </row>
    <row r="2313">
      <c r="A2313" s="1">
        <v>5.0</v>
      </c>
      <c r="B2313" s="1" t="s">
        <v>2310</v>
      </c>
      <c r="C2313" t="str">
        <f>IFERROR(__xludf.DUMMYFUNCTION("GOOGLETRANSLATE(B2313, ""zh"", ""en"")"),"ecco brand of shoes is good. Very good, wear comfortable shoes, lightweight.")</f>
        <v>ecco brand of shoes is good. Very good, wear comfortable shoes, lightweight.</v>
      </c>
    </row>
    <row r="2314">
      <c r="A2314" s="1">
        <v>5.0</v>
      </c>
      <c r="B2314" s="1" t="s">
        <v>2311</v>
      </c>
      <c r="C2314" t="str">
        <f>IFERROR(__xludf.DUMMYFUNCTION("GOOGLETRANSLATE(B2314, ""zh"", ""en"")"),"Comfortable Lycra fabric elastic, wear comfortable, relatively thick, suitable for winter days, comfortable elastic waist design, 172,78 wear W33L30 just.")</f>
        <v>Comfortable Lycra fabric elastic, wear comfortable, relatively thick, suitable for winter days, comfortable elastic waist design, 172,78 wear W33L30 just.</v>
      </c>
    </row>
    <row r="2315">
      <c r="A2315" s="1">
        <v>5.0</v>
      </c>
      <c r="B2315" s="1" t="s">
        <v>2312</v>
      </c>
      <c r="C2315" t="str">
        <f>IFERROR(__xludf.DUMMYFUNCTION("GOOGLETRANSLATE(B2315, ""zh"", ""en"")"),"173 hard cloth weight 70kg selected M, slightly longer hem, cuffs slightly longer. Cloth hard. Generally acceptable")</f>
        <v>173 hard cloth weight 70kg selected M, slightly longer hem, cuffs slightly longer. Cloth hard. Generally acceptable</v>
      </c>
    </row>
    <row r="2316">
      <c r="A2316" s="1">
        <v>5.0</v>
      </c>
      <c r="B2316" s="1" t="s">
        <v>2313</v>
      </c>
      <c r="C2316" t="str">
        <f>IFERROR(__xludf.DUMMYFUNCTION("GOOGLETRANSLATE(B2316, ""zh"", ""en"")"),"Light and beautiful overseas shopping too convenient, prices are also cost-effective, light and beautiful, a gift to send girlfriends")</f>
        <v>Light and beautiful overseas shopping too convenient, prices are also cost-effective, light and beautiful, a gift to send girlfriends</v>
      </c>
    </row>
    <row r="2317">
      <c r="A2317" s="1">
        <v>5.0</v>
      </c>
      <c r="B2317" s="1" t="s">
        <v>2314</v>
      </c>
      <c r="C2317" t="str">
        <f>IFERROR(__xludf.DUMMYFUNCTION("GOOGLETRANSLATE(B2317, ""zh"", ""en"")"),"Good quality, good speed 70M per second, quality, speed of 70M per second. Push")</f>
        <v>Good quality, good speed 70M per second, quality, speed of 70M per second. Push</v>
      </c>
    </row>
    <row r="2318">
      <c r="A2318" s="1">
        <v>5.0</v>
      </c>
      <c r="B2318" s="1" t="s">
        <v>2315</v>
      </c>
      <c r="C2318" t="str">
        <f>IFERROR(__xludf.DUMMYFUNCTION("GOOGLETRANSLATE(B2318, ""zh"", ""en"")"),"Very good 39 yards more standard foot generally buy a pair of shoes in the long 24.5cm did not how a fault, this election uk5.5 / us8 / eur38.5 / 24.5cm very appropriate. FIG thick flesh can wear the socks, but more relaxed. Really easy to fold the toe po"&amp;"rtion of the skin, personal feeling does not matter. Overall, great, increased significantly delicate feet, and winter wild. The issue of a plastic and the like has yet to be verified. Hand price including tax of more than 290 points")</f>
        <v>Very good 39 yards more standard foot generally buy a pair of shoes in the long 24.5cm did not how a fault, this election uk5.5 / us8 / eur38.5 / 24.5cm very appropriate. FIG thick flesh can wear the socks, but more relaxed. Really easy to fold the toe portion of the skin, personal feeling does not matter. Overall, great, increased significantly delicate feet, and winter wild. The issue of a plastic and the like has yet to be verified. Hand price including tax of more than 290 points</v>
      </c>
    </row>
    <row r="2319">
      <c r="A2319" s="1">
        <v>5.0</v>
      </c>
      <c r="B2319" s="1" t="s">
        <v>2316</v>
      </c>
      <c r="C2319" t="str">
        <f>IFERROR(__xludf.DUMMYFUNCTION("GOOGLETRANSLATE(B2319, ""zh"", ""en"")"),"Suitable suitable size, cheap, only three 108 yuan.")</f>
        <v>Suitable suitable size, cheap, only three 108 yuan.</v>
      </c>
    </row>
    <row r="2320">
      <c r="A2320" s="1">
        <v>5.0</v>
      </c>
      <c r="B2320" s="1" t="s">
        <v>2317</v>
      </c>
      <c r="C2320" t="str">
        <f>IFERROR(__xludf.DUMMYFUNCTION("GOOGLETRANSLATE(B2320, ""zh"", ""en"")"),"Worth buying looks good, the quality of Leverage! Made in Germany, trusted!")</f>
        <v>Worth buying looks good, the quality of Leverage! Made in Germany, trusted!</v>
      </c>
    </row>
    <row r="2321">
      <c r="A2321" s="1">
        <v>5.0</v>
      </c>
      <c r="B2321" s="1" t="s">
        <v>2318</v>
      </c>
      <c r="C2321" t="str">
        <f>IFERROR(__xludf.DUMMYFUNCTION("GOOGLETRANSLATE(B2321, ""zh"", ""en"")"),"Very Good Very Good German, to Beijing six days, very good")</f>
        <v>Very Good Very Good German, to Beijing six days, very good</v>
      </c>
    </row>
    <row r="2322">
      <c r="A2322" s="1">
        <v>5.0</v>
      </c>
      <c r="B2322" s="1" t="s">
        <v>2319</v>
      </c>
      <c r="C2322" t="str">
        <f>IFERROR(__xludf.DUMMYFUNCTION("GOOGLETRANSLATE(B2322, ""zh"", ""en"")"),"Cool recently fell in love with a tall black good leather shoes, even into three pairs, the same label size 255, Tim Bo Lan largest, followed by the north, just Martin. This pair is leather covered, I do not know whether the durable, cool black look good."&amp;" I do not know how to care. Because it is all black, brown leather shoes significantly smaller than appearance. I is the standard 250 feet, has been like to wear shoes half yards. 40 feet have been like to buy 41, so this double UK7US8 Martin right size.")</f>
        <v>Cool recently fell in love with a tall black good leather shoes, even into three pairs, the same label size 255, Tim Bo Lan largest, followed by the north, just Martin. This pair is leather covered, I do not know whether the durable, cool black look good. I do not know how to care. Because it is all black, brown leather shoes significantly smaller than appearance. I is the standard 250 feet, has been like to wear shoes half yards. 40 feet have been like to buy 41, so this double UK7US8 Martin right size.</v>
      </c>
    </row>
    <row r="2323">
      <c r="A2323" s="1">
        <v>5.0</v>
      </c>
      <c r="B2323" s="1" t="s">
        <v>2320</v>
      </c>
      <c r="C2323" t="str">
        <f>IFERROR(__xludf.DUMMYFUNCTION("GOOGLETRANSLATE(B2323, ""zh"", ""en"")"),"Good really good, which domestic prices can not buy a")</f>
        <v>Good really good, which domestic prices can not buy a</v>
      </c>
    </row>
    <row r="2324">
      <c r="A2324" s="1">
        <v>5.0</v>
      </c>
      <c r="B2324" s="1" t="s">
        <v>856</v>
      </c>
      <c r="C2324" t="str">
        <f>IFERROR(__xludf.DUMMYFUNCTION("GOOGLETRANSLATE(B2324, ""zh"", ""en"")"),"Good good microprojectiles, according to the size of the table to buy the right size, is also very good pant")</f>
        <v>Good good microprojectiles, according to the size of the table to buy the right size, is also very good pant</v>
      </c>
    </row>
    <row r="2325">
      <c r="A2325" s="1">
        <v>5.0</v>
      </c>
      <c r="B2325" s="1" t="s">
        <v>2321</v>
      </c>
      <c r="C2325" t="str">
        <f>IFERROR(__xludf.DUMMYFUNCTION("GOOGLETRANSLATE(B2325, ""zh"", ""en"")"),"Cost-effective to buy office, with very comfortable, smooth writing feeling very good")</f>
        <v>Cost-effective to buy office, with very comfortable, smooth writing feeling very good</v>
      </c>
    </row>
    <row r="2326">
      <c r="A2326" s="1">
        <v>5.0</v>
      </c>
      <c r="B2326" s="1" t="s">
        <v>2322</v>
      </c>
      <c r="C2326" t="str">
        <f>IFERROR(__xludf.DUMMYFUNCTION("GOOGLETRANSLATE(B2326, ""zh"", ""en"")"),"Quality okay good quality, value for money.")</f>
        <v>Quality okay good quality, value for money.</v>
      </c>
    </row>
    <row r="2327">
      <c r="A2327" s="1">
        <v>5.0</v>
      </c>
      <c r="B2327" s="1" t="s">
        <v>2323</v>
      </c>
      <c r="C2327" t="str">
        <f>IFERROR(__xludf.DUMMYFUNCTION("GOOGLETRANSLATE(B2327, ""zh"", ""en"")"),"The greatest feature is comfortable! Very nice sandals, free Prime membership can not start with 300, free shipping, value incomparable! Amazon logistics very fast, more than one week to go. Yardage very accurate, usually wear 40 yards shoes, sandals also"&amp;" chose 40 yards, freshman code estimation problem of course is not great (the price difference is big, ha ha). Indonesian origin, and leather work are good, especially the soles very strong, does not slip! Although some thread or something, overall good q"&amp;"uality. To wear the most comfortable feeling worn sandals, with soles foot contact layer is quite soft, flexible, and soles are flexible rubber sole, the supporting role of the foot well, parcel above cortex shoes on the feet also very good, the contact p"&amp;"ortion has a buffer Genjiao wrapping material. To sum it up: This is the biggest feature is the comfortable shoes!")</f>
        <v>The greatest feature is comfortable! Very nice sandals, free Prime membership can not start with 300, free shipping, value incomparable! Amazon logistics very fast, more than one week to go. Yardage very accurate, usually wear 40 yards shoes, sandals also chose 40 yards, freshman code estimation problem of course is not great (the price difference is big, ha ha). Indonesian origin, and leather work are good, especially the soles very strong, does not slip! Although some thread or something, overall good quality. To wear the most comfortable feeling worn sandals, with soles foot contact layer is quite soft, flexible, and soles are flexible rubber sole, the supporting role of the foot well, parcel above cortex shoes on the feet also very good, the contact portion has a buffer Genjiao wrapping material. To sum it up: This is the biggest feature is the comfortable shoes!</v>
      </c>
    </row>
    <row r="2328">
      <c r="A2328" s="1">
        <v>5.0</v>
      </c>
      <c r="B2328" s="1" t="s">
        <v>2324</v>
      </c>
      <c r="C2328" t="str">
        <f>IFERROR(__xludf.DUMMYFUNCTION("GOOGLETRANSLATE(B2328, ""zh"", ""en"")"),"160cm, 122 pounds, wearing 70 can be put on about 20 days after caesarean section, 160cm, 122 pounds, 99 hip, abdominal circumference can wear 85,70, le standing, seated dinner a little tight, uncomfortable. for reference.")</f>
        <v>160cm, 122 pounds, wearing 70 can be put on about 20 days after caesarean section, 160cm, 122 pounds, 99 hip, abdominal circumference can wear 85,70, le standing, seated dinner a little tight, uncomfortable. for reference.</v>
      </c>
    </row>
    <row r="2329">
      <c r="A2329" s="1">
        <v>5.0</v>
      </c>
      <c r="B2329" s="1" t="s">
        <v>2325</v>
      </c>
      <c r="C2329" t="str">
        <f>IFERROR(__xludf.DUMMYFUNCTION("GOOGLETRANSLATE(B2329, ""zh"", ""en"")"),"Size is very accurate, the version Ye Hao more comfortable to wear, good. bouncy")</f>
        <v>Size is very accurate, the version Ye Hao more comfortable to wear, good. bouncy</v>
      </c>
    </row>
    <row r="2330">
      <c r="A2330" s="1">
        <v>2.0</v>
      </c>
      <c r="B2330" s="1" t="s">
        <v>2326</v>
      </c>
      <c r="C2330" t="str">
        <f>IFERROR(__xludf.DUMMYFUNCTION("GOOGLETRANSLATE(B2330, ""zh"", ""en"")"),"Fade / larger than my super super thick coat L code are also big circle three times to soak fade")</f>
        <v>Fade / larger than my super super thick coat L code are also big circle three times to soak fade</v>
      </c>
    </row>
    <row r="2331">
      <c r="A2331" s="1">
        <v>3.0</v>
      </c>
      <c r="B2331" s="1" t="s">
        <v>2327</v>
      </c>
      <c r="C2331" t="str">
        <f>IFERROR(__xludf.DUMMYFUNCTION("GOOGLETRANSLATE(B2331, ""zh"", ""en"")"),"Small size does not describe so big, too small, the quality is actually pretty good, fabric is also lightweight textured.")</f>
        <v>Small size does not describe so big, too small, the quality is actually pretty good, fabric is also lightweight textured.</v>
      </c>
    </row>
    <row r="2332">
      <c r="A2332" s="1">
        <v>3.0</v>
      </c>
      <c r="B2332" s="1" t="s">
        <v>2328</v>
      </c>
      <c r="C2332" t="str">
        <f>IFERROR(__xludf.DUMMYFUNCTION("GOOGLETRANSLATE(B2332, ""zh"", ""en"")"),"Paint water ripples, not perfect. Jianlou packaging, paint pens have a close look at the water ripples. Control online and false identification, they are in line. Just assume that it is a quality control problem. EF tip for writing Chinese characters, bet"&amp;"ter control the amount of water. Good-looking black pen.")</f>
        <v>Paint water ripples, not perfect. Jianlou packaging, paint pens have a close look at the water ripples. Control online and false identification, they are in line. Just assume that it is a quality control problem. EF tip for writing Chinese characters, better control the amount of water. Good-looking black pen.</v>
      </c>
    </row>
    <row r="2333">
      <c r="A2333" s="1">
        <v>1.0</v>
      </c>
      <c r="B2333" s="1" t="s">
        <v>2329</v>
      </c>
      <c r="C2333" t="str">
        <f>IFERROR(__xludf.DUMMYFUNCTION("GOOGLETRANSLATE(B2333, ""zh"", ""en"")"),"In less than six months on the bad, customer service say no warranty, also particularly poor attitude, she was looking for him to ignore the charging case charging problem, always charge for a stop, one week before the charge did not actually full. In les"&amp;"s than six months on the bad. Customer service said no warranty, particularly poor attitude also, to find her he would ignore, and Amazon has no complaints function really is terms of the King, nauseous and a half stars do not want to")</f>
        <v>In less than six months on the bad, customer service say no warranty, also particularly poor attitude, she was looking for him to ignore the charging case charging problem, always charge for a stop, one week before the charge did not actually full. In less than six months on the bad. Customer service said no warranty, particularly poor attitude also, to find her he would ignore, and Amazon has no complaints function really is terms of the King, nauseous and a half stars do not want to</v>
      </c>
    </row>
    <row r="2334">
      <c r="A2334" s="1">
        <v>1.0</v>
      </c>
      <c r="B2334" s="1" t="s">
        <v>2330</v>
      </c>
      <c r="C2334" t="str">
        <f>IFERROR(__xludf.DUMMYFUNCTION("GOOGLETRANSLATE(B2334, ""zh"", ""en"")"),"Amazon disappointing overseas purchase this self-port design SHOES serious crimes against humanity, according to the size usually wear 41 yards to buy, after the arrival try, shoe size is too small mouth fast feet did not put on a bend, taking into accoun"&amp;"t barely then either broken shoes, or feet broken, customer service calls return. The results of customer service told me that the United States return overseas to buy their own. . . After a few last communication I return to refund more than 200 pieces! "&amp;"Original shoes also more than 400, a total of 600 things, to explain how Amazon")</f>
        <v>Amazon disappointing overseas purchase this self-port design SHOES serious crimes against humanity, according to the size usually wear 41 yards to buy, after the arrival try, shoe size is too small mouth fast feet did not put on a bend, taking into account barely then either broken shoes, or feet broken, customer service calls return. The results of customer service told me that the United States return overseas to buy their own. . . After a few last communication I return to refund more than 200 pieces! Original shoes also more than 400, a total of 600 things, to explain how Amazon</v>
      </c>
    </row>
    <row r="2335">
      <c r="A2335" s="1">
        <v>1.0</v>
      </c>
      <c r="B2335" s="1" t="s">
        <v>2331</v>
      </c>
      <c r="C2335" t="str">
        <f>IFERROR(__xludf.DUMMYFUNCTION("GOOGLETRANSLATE(B2335, ""zh"", ""en"")"),"Insulation is not broken? ? ? Buy bad? ? ? No insulation! ! ! ! !")</f>
        <v>Insulation is not broken? ? ? Buy bad? ? ? No insulation! ! ! ! !</v>
      </c>
    </row>
    <row r="2336">
      <c r="A2336" s="1">
        <v>4.0</v>
      </c>
      <c r="B2336" s="1" t="s">
        <v>2332</v>
      </c>
      <c r="C2336" t="str">
        <f>IFERROR(__xludf.DUMMYFUNCTION("GOOGLETRANSLATE(B2336, ""zh"", ""en"")"),"Insulation effect is not very good insulation effect is not very good, very fond of the little guy")</f>
        <v>Insulation effect is not very good insulation effect is not very good, very fond of the little guy</v>
      </c>
    </row>
    <row r="2337">
      <c r="A2337" s="1">
        <v>4.0</v>
      </c>
      <c r="B2337" s="1" t="s">
        <v>2333</v>
      </c>
      <c r="C2337" t="str">
        <f>IFERROR(__xludf.DUMMYFUNCTION("GOOGLETRANSLATE(B2337, ""zh"", ""en"")"),"There is also good type")</f>
        <v>There is also good type</v>
      </c>
    </row>
    <row r="2338">
      <c r="A2338" s="1">
        <v>4.0</v>
      </c>
      <c r="B2338" s="1" t="s">
        <v>2334</v>
      </c>
      <c r="C2338" t="str">
        <f>IFERROR(__xludf.DUMMYFUNCTION("GOOGLETRANSLATE(B2338, ""zh"", ""en"")"),"Overall feeling good overall feel good, bought more than 34 of imagined wide, do not know what leather, printed leather belt on words, but a little hard, double-sided use of very high-end.")</f>
        <v>Overall feeling good overall feel good, bought more than 34 of imagined wide, do not know what leather, printed leather belt on words, but a little hard, double-sided use of very high-end.</v>
      </c>
    </row>
    <row r="2339">
      <c r="A2339" s="1">
        <v>4.0</v>
      </c>
      <c r="B2339" s="1" t="s">
        <v>2335</v>
      </c>
      <c r="C2339" t="str">
        <f>IFERROR(__xludf.DUMMYFUNCTION("GOOGLETRANSLATE(B2339, ""zh"", ""en"")"),"Comfortable to wear Mom said very comfortable to wear, it is a bit small.")</f>
        <v>Comfortable to wear Mom said very comfortable to wear, it is a bit small.</v>
      </c>
    </row>
    <row r="2340">
      <c r="A2340" s="1">
        <v>4.0</v>
      </c>
      <c r="B2340" s="1" t="s">
        <v>2336</v>
      </c>
      <c r="C2340" t="str">
        <f>IFERROR(__xludf.DUMMYFUNCTION("GOOGLETRANSLATE(B2340, ""zh"", ""en"")"),"Weekender very good, it is to go up sound big, handsome styling")</f>
        <v>Weekender very good, it is to go up sound big, handsome styling</v>
      </c>
    </row>
    <row r="2341">
      <c r="A2341" s="1">
        <v>5.0</v>
      </c>
      <c r="B2341" s="1" t="s">
        <v>2337</v>
      </c>
      <c r="C2341" t="str">
        <f>IFERROR(__xludf.DUMMYFUNCTION("GOOGLETRANSLATE(B2341, ""zh"", ""en"")"),"That is, trousers pants, basic models, $ 100 worth it.")</f>
        <v>That is, trousers pants, basic models, $ 100 worth it.</v>
      </c>
    </row>
    <row r="2342">
      <c r="A2342" s="1">
        <v>5.0</v>
      </c>
      <c r="B2342" s="1" t="s">
        <v>2338</v>
      </c>
      <c r="C2342" t="str">
        <f>IFERROR(__xludf.DUMMYFUNCTION("GOOGLETRANSLATE(B2342, ""zh"", ""en"")"),"its not bad, right! Quality is no problem, very good, packaging is relatively simple! !")</f>
        <v>its not bad, right! Quality is no problem, very good, packaging is relatively simple! !</v>
      </c>
    </row>
    <row r="2343">
      <c r="A2343" s="1">
        <v>5.0</v>
      </c>
      <c r="B2343" s="1" t="s">
        <v>2339</v>
      </c>
      <c r="C2343" t="str">
        <f>IFERROR(__xludf.DUMMYFUNCTION("GOOGLETRANSLATE(B2343, ""zh"", ""en"")"),"Good very practical sucker bowl, often with")</f>
        <v>Good very practical sucker bowl, often with</v>
      </c>
    </row>
    <row r="2344">
      <c r="A2344" s="1">
        <v>5.0</v>
      </c>
      <c r="B2344" s="1" t="s">
        <v>2340</v>
      </c>
      <c r="C2344" t="str">
        <f>IFERROR(__xludf.DUMMYFUNCTION("GOOGLETRANSLATE(B2344, ""zh"", ""en"")"),"A nice baby baby good use, is the need for a converter to use with super-easy baby, there is no juice tool, coupled with hopes for even more perfect")</f>
        <v>A nice baby baby good use, is the need for a converter to use with super-easy baby, there is no juice tool, coupled with hopes for even more perfect</v>
      </c>
    </row>
    <row r="2345">
      <c r="A2345" s="1">
        <v>5.0</v>
      </c>
      <c r="B2345" s="1" t="s">
        <v>2341</v>
      </c>
      <c r="C2345" t="str">
        <f>IFERROR(__xludf.DUMMYFUNCTION("GOOGLETRANSLATE(B2345, ""zh"", ""en"")"),"Affordable work well")</f>
        <v>Affordable work well</v>
      </c>
    </row>
    <row r="2346">
      <c r="A2346" s="1">
        <v>5.0</v>
      </c>
      <c r="B2346" s="1" t="s">
        <v>2342</v>
      </c>
      <c r="C2346" t="str">
        <f>IFERROR(__xludf.DUMMYFUNCTION("GOOGLETRANSLATE(B2346, ""zh"", ""en"")"),"Very good, cost-effective cost-effective, very fond of")</f>
        <v>Very good, cost-effective cost-effective, very fond of</v>
      </c>
    </row>
    <row r="2347">
      <c r="A2347" s="1">
        <v>5.0</v>
      </c>
      <c r="B2347" s="1" t="s">
        <v>2343</v>
      </c>
      <c r="C2347" t="str">
        <f>IFERROR(__xludf.DUMMYFUNCTION("GOOGLETRANSLATE(B2347, ""zh"", ""en"")"),"Slim should be said that good quality shoes! Shoe size just too small, slim.")</f>
        <v>Slim should be said that good quality shoes! Shoe size just too small, slim.</v>
      </c>
    </row>
    <row r="2348">
      <c r="A2348" s="1">
        <v>5.0</v>
      </c>
      <c r="B2348" s="1" t="s">
        <v>2344</v>
      </c>
      <c r="C2348" t="str">
        <f>IFERROR(__xludf.DUMMYFUNCTION("GOOGLETRANSLATE(B2348, ""zh"", ""en"")"),"It burly shoulders before in the United States Aviation Museum saw, not numbers, and come home and find Amazon has bought, this dress is too large, very burly shoulders")</f>
        <v>It burly shoulders before in the United States Aviation Museum saw, not numbers, and come home and find Amazon has bought, this dress is too large, very burly shoulders</v>
      </c>
    </row>
    <row r="2349">
      <c r="A2349" s="1">
        <v>5.0</v>
      </c>
      <c r="B2349" s="1" t="s">
        <v>2345</v>
      </c>
      <c r="C2349" t="str">
        <f>IFERROR(__xludf.DUMMYFUNCTION("GOOGLETRANSLATE(B2349, ""zh"", ""en"")"),"Too fat fit, but a little bit short too fat, fit, but a little bit short")</f>
        <v>Too fat fit, but a little bit short too fat, fit, but a little bit short</v>
      </c>
    </row>
    <row r="2350">
      <c r="A2350" s="1">
        <v>5.0</v>
      </c>
      <c r="B2350" s="1" t="s">
        <v>2346</v>
      </c>
      <c r="C2350" t="str">
        <f>IFERROR(__xludf.DUMMYFUNCTION("GOOGLETRANSLATE(B2350, ""zh"", ""en"")"),"Very nice large 爱汉斯格雅 rainfall shower, good workmanship exquisite quality. Amazon's price is very affordable, logistics speed quickly, with the Stiebel Eltron water heater is appropriate. But decorating the house put something yourself.")</f>
        <v>Very nice large 爱汉斯格雅 rainfall shower, good workmanship exquisite quality. Amazon's price is very affordable, logistics speed quickly, with the Stiebel Eltron water heater is appropriate. But decorating the house put something yourself.</v>
      </c>
    </row>
    <row r="2351">
      <c r="A2351" s="1">
        <v>5.0</v>
      </c>
      <c r="B2351" s="1" t="s">
        <v>2347</v>
      </c>
      <c r="C2351" t="str">
        <f>IFERROR(__xludf.DUMMYFUNCTION("GOOGLETRANSLATE(B2351, ""zh"", ""en"")"),"Good sleeping bag! Good sleeping bag! Breathable good use! Cottage than domestic soft!")</f>
        <v>Good sleeping bag! Good sleeping bag! Breathable good use! Cottage than domestic soft!</v>
      </c>
    </row>
    <row r="2352">
      <c r="A2352" s="1">
        <v>5.0</v>
      </c>
      <c r="B2352" s="1" t="s">
        <v>2348</v>
      </c>
      <c r="C2352" t="str">
        <f>IFERROR(__xludf.DUMMYFUNCTION("GOOGLETRANSLATE(B2352, ""zh"", ""en"")"),"Full of good headphones 🎧 open sound field, deep bass dive, IF vigorous. Velvet comfortable to wear, the fit is good. Cost-effective. recommend!")</f>
        <v>Full of good headphones 🎧 open sound field, deep bass dive, IF vigorous. Velvet comfortable to wear, the fit is good. Cost-effective. recommend!</v>
      </c>
    </row>
    <row r="2353">
      <c r="A2353" s="1">
        <v>5.0</v>
      </c>
      <c r="B2353" s="1" t="s">
        <v>2349</v>
      </c>
      <c r="C2353" t="str">
        <f>IFERROR(__xludf.DUMMYFUNCTION("GOOGLETRANSLATE(B2353, ""zh"", ""en"")"),"Quality is very good quality is very good, like the atmosphere, very good time shopping experience")</f>
        <v>Quality is very good quality is very good, like the atmosphere, very good time shopping experience</v>
      </c>
    </row>
    <row r="2354">
      <c r="A2354" s="1">
        <v>5.0</v>
      </c>
      <c r="B2354" s="1" t="s">
        <v>2350</v>
      </c>
      <c r="C2354" t="str">
        <f>IFERROR(__xludf.DUMMYFUNCTION("GOOGLETRANSLATE(B2354, ""zh"", ""en"")"),"Good value for the impedance of the mobile terminal, a balanced three frequencies, the substantial materials.")</f>
        <v>Good value for the impedance of the mobile terminal, a balanced three frequencies, the substantial materials.</v>
      </c>
    </row>
    <row r="2355">
      <c r="A2355" s="1">
        <v>5.0</v>
      </c>
      <c r="B2355" s="1" t="s">
        <v>2351</v>
      </c>
      <c r="C2355" t="str">
        <f>IFERROR(__xludf.DUMMYFUNCTION("GOOGLETRANSLATE(B2355, ""zh"", ""en"")"),"Big K something very sophisticated, cost-effective, although more than a pot and there is no comparison program guide, but it does not affect use. The first day, it is very familiar with. In addition and face very commendable, very satisfied")</f>
        <v>Big K something very sophisticated, cost-effective, although more than a pot and there is no comparison program guide, but it does not affect use. The first day, it is very familiar with. In addition and face very commendable, very satisfied</v>
      </c>
    </row>
    <row r="2356">
      <c r="A2356" s="1">
        <v>5.0</v>
      </c>
      <c r="B2356" s="1" t="s">
        <v>2352</v>
      </c>
      <c r="C2356" t="str">
        <f>IFERROR(__xludf.DUMMYFUNCTION("GOOGLETRANSLATE(B2356, ""zh"", ""en"")"),"Cup cup insulation effect good insulation effect, and black paint easy grin after the bump, slightly larger.")</f>
        <v>Cup cup insulation effect good insulation effect, and black paint easy grin after the bump, slightly larger.</v>
      </c>
    </row>
    <row r="2357">
      <c r="A2357" s="1">
        <v>5.0</v>
      </c>
      <c r="B2357" s="1" t="s">
        <v>2353</v>
      </c>
      <c r="C2357" t="str">
        <f>IFERROR(__xludf.DUMMYFUNCTION("GOOGLETRANSLATE(B2357, ""zh"", ""en"")"),"Recommend purchase! Appropriate, good quality, affordable!")</f>
        <v>Recommend purchase! Appropriate, good quality, affordable!</v>
      </c>
    </row>
    <row r="2358">
      <c r="A2358" s="1">
        <v>5.0</v>
      </c>
      <c r="B2358" s="1" t="s">
        <v>2354</v>
      </c>
      <c r="C2358" t="str">
        <f>IFERROR(__xludf.DUMMYFUNCTION("GOOGLETRANSLATE(B2358, ""zh"", ""en"")"),"Transmission speed very quickly! The product is good, the appearance is not so good")</f>
        <v>Transmission speed very quickly! The product is good, the appearance is not so good</v>
      </c>
    </row>
    <row r="2359">
      <c r="A2359" s="1">
        <v>5.0</v>
      </c>
      <c r="B2359" s="1" t="s">
        <v>2355</v>
      </c>
      <c r="C2359" t="str">
        <f>IFERROR(__xludf.DUMMYFUNCTION("GOOGLETRANSLATE(B2359, ""zh"", ""en"")"),"Underwear This underwear is very comfortable size is also just the right. Color is also beautiful, is authentic. Express also to the force. . . . .")</f>
        <v>Underwear This underwear is very comfortable size is also just the right. Color is also beautiful, is authentic. Express also to the force. . . . .</v>
      </c>
    </row>
    <row r="2360">
      <c r="A2360" s="1">
        <v>5.0</v>
      </c>
      <c r="B2360" s="1" t="s">
        <v>2356</v>
      </c>
      <c r="C2360" t="str">
        <f>IFERROR(__xludf.DUMMYFUNCTION("GOOGLETRANSLATE(B2360, ""zh"", ""en"")"),"Very good logistics soon about a week can go to, and packaging intact. And the store selling the same on foot very comfortable. Perfect time shopping.")</f>
        <v>Very good logistics soon about a week can go to, and packaging intact. And the store selling the same on foot very comfortable. Perfect time shopping.</v>
      </c>
    </row>
    <row r="2361">
      <c r="A2361" s="1">
        <v>5.0</v>
      </c>
      <c r="B2361" s="1" t="s">
        <v>2357</v>
      </c>
      <c r="C2361" t="str">
        <f>IFERROR(__xludf.DUMMYFUNCTION("GOOGLETRANSLATE(B2361, ""zh"", ""en"")"),"Pretty authentic, appropriate and comfortable.")</f>
        <v>Pretty authentic, appropriate and comfortable.</v>
      </c>
    </row>
    <row r="2362">
      <c r="A2362" s="1">
        <v>2.0</v>
      </c>
      <c r="B2362" s="1" t="s">
        <v>2358</v>
      </c>
      <c r="C2362" t="str">
        <f>IFERROR(__xludf.DUMMYFUNCTION("GOOGLETRANSLATE(B2362, ""zh"", ""en"")"),"Pants good shape. Wearing a little a little bit big. Pants good shape.")</f>
        <v>Pants good shape. Wearing a little a little bit big. Pants good shape.</v>
      </c>
    </row>
    <row r="2363">
      <c r="A2363" s="1">
        <v>3.0</v>
      </c>
      <c r="B2363" s="1" t="s">
        <v>2359</v>
      </c>
      <c r="C2363" t="str">
        <f>IFERROR(__xludf.DUMMYFUNCTION("GOOGLETRANSLATE(B2363, ""zh"", ""en"")"),"This is not a sweater instead of sweaters, long-sleeved compassionate.")</f>
        <v>This is not a sweater instead of sweaters, long-sleeved compassionate.</v>
      </c>
    </row>
    <row r="2364">
      <c r="A2364" s="1">
        <v>3.0</v>
      </c>
      <c r="B2364" s="1" t="s">
        <v>2360</v>
      </c>
      <c r="C2364" t="str">
        <f>IFERROR(__xludf.DUMMYFUNCTION("GOOGLETRANSLATE(B2364, ""zh"", ""en"")"),"Do not recommend buying the first time to wear pants so hard, it Chuosi people, especially poor comfort! We do not recommend buying")</f>
        <v>Do not recommend buying the first time to wear pants so hard, it Chuosi people, especially poor comfort! We do not recommend buying</v>
      </c>
    </row>
    <row r="2365">
      <c r="A2365" s="1">
        <v>3.0</v>
      </c>
      <c r="B2365" s="1" t="s">
        <v>2361</v>
      </c>
      <c r="C2365" t="str">
        <f>IFERROR(__xludf.DUMMYFUNCTION("GOOGLETRANSLATE(B2365, ""zh"", ""en"")"),"Shoes material generally to the price of a star a star a star to the comfort of the speed of trial membership Neither shoe leather material is not the same as a relatively normal only sent when there is another wrinkle to wear shoes two days have wrinkled"&amp;" unlike the way I can only say that this price must be a reason the price of thin legs do not like to buy the right size too large one yard")</f>
        <v>Shoes material generally to the price of a star a star a star to the comfort of the speed of trial membership Neither shoe leather material is not the same as a relatively normal only sent when there is another wrinkle to wear shoes two days have wrinkled unlike the way I can only say that this price must be a reason the price of thin legs do not like to buy the right size too large one yard</v>
      </c>
    </row>
    <row r="2366">
      <c r="A2366" s="1">
        <v>1.0</v>
      </c>
      <c r="B2366" s="1" t="s">
        <v>2362</v>
      </c>
      <c r="C2366" t="str">
        <f>IFERROR(__xludf.DUMMYFUNCTION("GOOGLETRANSLATE(B2366, ""zh"", ""en"")"),"Worst of the worst in the history of experiencing the worst service shop service, refunds heard from more than a month, when the display is always in line sale, scrap when new hair, get the goods can not be used, then plug in the computer alarm, suffering"&amp;" the first overseas purchase this gas ah, who bought who knows, who bought who regret it, easy to play money, hard road to rights, to continue to report complaints to report complaints ...... ......")</f>
        <v>Worst of the worst in the history of experiencing the worst service shop service, refunds heard from more than a month, when the display is always in line sale, scrap when new hair, get the goods can not be used, then plug in the computer alarm, suffering the first overseas purchase this gas ah, who bought who knows, who bought who regret it, easy to play money, hard road to rights, to continue to report complaints to report complaints ...... ......</v>
      </c>
    </row>
    <row r="2367">
      <c r="A2367" s="1">
        <v>1.0</v>
      </c>
      <c r="B2367" s="1" t="s">
        <v>2363</v>
      </c>
      <c r="C2367" t="str">
        <f>IFERROR(__xludf.DUMMYFUNCTION("GOOGLETRANSLATE(B2367, ""zh"", ""en"")"),"Poor quality workmanship pants quality workmanship and problems, trouser materials and sewing poor, naked on the broken several times. Too disappointed 😞, worth the price")</f>
        <v>Poor quality workmanship pants quality workmanship and problems, trouser materials and sewing poor, naked on the broken several times. Too disappointed 😞, worth the price</v>
      </c>
    </row>
    <row r="2368">
      <c r="A2368" s="1">
        <v>1.0</v>
      </c>
      <c r="B2368" s="1" t="s">
        <v>2364</v>
      </c>
      <c r="C2368" t="str">
        <f>IFERROR(__xludf.DUMMYFUNCTION("GOOGLETRANSLATE(B2368, ""zh"", ""en"")"),"Do not buy suede shoes are not recommended to buy Amoy sea, after the shoes worn open at least three, and in the most obvious location, mulberry heart")</f>
        <v>Do not buy suede shoes are not recommended to buy Amoy sea, after the shoes worn open at least three, and in the most obvious location, mulberry heart</v>
      </c>
    </row>
    <row r="2369">
      <c r="A2369" s="1">
        <v>4.0</v>
      </c>
      <c r="B2369" s="1" t="s">
        <v>2365</v>
      </c>
      <c r="C2369" t="str">
        <f>IFERROR(__xludf.DUMMYFUNCTION("GOOGLETRANSLATE(B2369, ""zh"", ""en"")"),"Yes! It is quite satisfactory! Good value for money. Now wear every morning. The color is like!")</f>
        <v>Yes! It is quite satisfactory! Good value for money. Now wear every morning. The color is like!</v>
      </c>
    </row>
    <row r="2370">
      <c r="A2370" s="1">
        <v>4.0</v>
      </c>
      <c r="B2370" s="1" t="s">
        <v>2366</v>
      </c>
      <c r="C2370" t="str">
        <f>IFERROR(__xludf.DUMMYFUNCTION("GOOGLETRANSLATE(B2370, ""zh"", ""en"")"),"Champion 160,55kg, wear very appropriate. Inside the velvet is also added. Overall good.")</f>
        <v>Champion 160,55kg, wear very appropriate. Inside the velvet is also added. Overall good.</v>
      </c>
    </row>
    <row r="2371">
      <c r="A2371" s="1">
        <v>4.0</v>
      </c>
      <c r="B2371" s="1" t="s">
        <v>2367</v>
      </c>
      <c r="C2371" t="str">
        <f>IFERROR(__xludf.DUMMYFUNCTION("GOOGLETRANSLATE(B2371, ""zh"", ""en"")"),"A little too large pants a little too large, to not a lot of big, just think fit, then you lack so little meaning. 178cm / 75kg")</f>
        <v>A little too large pants a little too large, to not a lot of big, just think fit, then you lack so little meaning. 178cm / 75kg</v>
      </c>
    </row>
    <row r="2372">
      <c r="A2372" s="1">
        <v>4.0</v>
      </c>
      <c r="B2372" s="1" t="s">
        <v>2368</v>
      </c>
      <c r="C2372" t="str">
        <f>IFERROR(__xludf.DUMMYFUNCTION("GOOGLETRANSLATE(B2372, ""zh"", ""en"")"),"Genuine fast delivery from Japan")</f>
        <v>Genuine fast delivery from Japan</v>
      </c>
    </row>
    <row r="2373">
      <c r="A2373" s="1">
        <v>5.0</v>
      </c>
      <c r="B2373" s="1" t="s">
        <v>2369</v>
      </c>
      <c r="C2373" t="str">
        <f>IFERROR(__xludf.DUMMYFUNCTION("GOOGLETRANSLATE(B2373, ""zh"", ""en"")"),"Good functional design, the Amazon services is constant over the people, and can be changed. Amazon is trustworthy good business")</f>
        <v>Good functional design, the Amazon services is constant over the people, and can be changed. Amazon is trustworthy good business</v>
      </c>
    </row>
    <row r="2374">
      <c r="A2374" s="1">
        <v>5.0</v>
      </c>
      <c r="B2374" s="1" t="s">
        <v>2370</v>
      </c>
      <c r="C2374" t="str">
        <f>IFERROR(__xludf.DUMMYFUNCTION("GOOGLETRANSLATE(B2374, ""zh"", ""en"")"),"The proposed increase in customer service belt should be really good quality. Last bought a 36, ​​too short, this time to buy 42, but also too long. Hit four eyes. Amazon can recommend to increase customer service, one-time customers to give good advice a"&amp;"t customers, it's better.")</f>
        <v>The proposed increase in customer service belt should be really good quality. Last bought a 36, ​​too short, this time to buy 42, but also too long. Hit four eyes. Amazon can recommend to increase customer service, one-time customers to give good advice at customers, it's better.</v>
      </c>
    </row>
    <row r="2375">
      <c r="A2375" s="1">
        <v>5.0</v>
      </c>
      <c r="B2375" s="1" t="s">
        <v>2371</v>
      </c>
      <c r="C2375" t="str">
        <f>IFERROR(__xludf.DUMMYFUNCTION("GOOGLETRANSLATE(B2375, ""zh"", ""en"")"),"Well worth buying 167/58 this code appropriate, give you a reference. The price is the quality of it")</f>
        <v>Well worth buying 167/58 this code appropriate, give you a reference. The price is the quality of it</v>
      </c>
    </row>
    <row r="2376">
      <c r="A2376" s="1">
        <v>5.0</v>
      </c>
      <c r="B2376" s="1" t="s">
        <v>2372</v>
      </c>
      <c r="C2376" t="str">
        <f>IFERROR(__xludf.DUMMYFUNCTION("GOOGLETRANSLATE(B2376, ""zh"", ""en"")"),"Good quality comfortable, flexible, and durable!")</f>
        <v>Good quality comfortable, flexible, and durable!</v>
      </c>
    </row>
    <row r="2377">
      <c r="A2377" s="1">
        <v>5.0</v>
      </c>
      <c r="B2377" s="1" t="s">
        <v>2373</v>
      </c>
      <c r="C2377" t="str">
        <f>IFERROR(__xludf.DUMMYFUNCTION("GOOGLETRANSLATE(B2377, ""zh"", ""en"")"),"Very attractive way of squeezing toothpaste child toothpaste packaging design of this very interesting, caused a great interest in children. Brush your teeth can be a lot of fun.")</f>
        <v>Very attractive way of squeezing toothpaste child toothpaste packaging design of this very interesting, caused a great interest in children. Brush your teeth can be a lot of fun.</v>
      </c>
    </row>
    <row r="2378">
      <c r="A2378" s="1">
        <v>5.0</v>
      </c>
      <c r="B2378" s="1" t="s">
        <v>2374</v>
      </c>
      <c r="C2378" t="str">
        <f>IFERROR(__xludf.DUMMYFUNCTION("GOOGLETRANSLATE(B2378, ""zh"", ""en"")"),"Pretty pen pen color is very beautiful, but there is no blotter, only disposable refills, did not see a little disappointed")</f>
        <v>Pretty pen pen color is very beautiful, but there is no blotter, only disposable refills, did not see a little disappointed</v>
      </c>
    </row>
    <row r="2379">
      <c r="A2379" s="1">
        <v>5.0</v>
      </c>
      <c r="B2379" s="1" t="s">
        <v>2375</v>
      </c>
      <c r="C2379" t="str">
        <f>IFERROR(__xludf.DUMMYFUNCTION("GOOGLETRANSLATE(B2379, ""zh"", ""en"")"),"Suitable size, quality also, the right size is a little high, the quality can be, little expensive")</f>
        <v>Suitable size, quality also, the right size is a little high, the quality can be, little expensive</v>
      </c>
    </row>
    <row r="2380">
      <c r="A2380" s="1">
        <v>5.0</v>
      </c>
      <c r="B2380" s="1" t="s">
        <v>2376</v>
      </c>
      <c r="C2380" t="str">
        <f>IFERROR(__xludf.DUMMYFUNCTION("GOOGLETRANSLATE(B2380, ""zh"", ""en"")"),"Quality and first-rate quality and first-rate, is not supporting my body with")</f>
        <v>Quality and first-rate quality and first-rate, is not supporting my body with</v>
      </c>
    </row>
    <row r="2381">
      <c r="A2381" s="1">
        <v>5.0</v>
      </c>
      <c r="B2381" s="1" t="s">
        <v>2377</v>
      </c>
      <c r="C2381" t="str">
        <f>IFERROR(__xludf.DUMMYFUNCTION("GOOGLETRANSLATE(B2381, ""zh"", ""en"")"),"99 yuan cheaper to buy, the size of the layout is good. But after a month trousers exposed holes.")</f>
        <v>99 yuan cheaper to buy, the size of the layout is good. But after a month trousers exposed holes.</v>
      </c>
    </row>
    <row r="2382">
      <c r="A2382" s="1">
        <v>5.0</v>
      </c>
      <c r="B2382" s="1" t="s">
        <v>2378</v>
      </c>
      <c r="C2382" t="str">
        <f>IFERROR(__xludf.DUMMYFUNCTION("GOOGLETRANSLATE(B2382, ""zh"", ""en"")"),"Look beautiful, clean and simple imported rice cookers, self-made transformer. At present three ways to cook. Power, cooking delicious. Feel less cooked than before domestic rice cooker.")</f>
        <v>Look beautiful, clean and simple imported rice cookers, self-made transformer. At present three ways to cook. Power, cooking delicious. Feel less cooked than before domestic rice cooker.</v>
      </c>
    </row>
    <row r="2383">
      <c r="A2383" s="1">
        <v>5.0</v>
      </c>
      <c r="B2383" s="1" t="s">
        <v>2379</v>
      </c>
      <c r="C2383" t="str">
        <f>IFERROR(__xludf.DUMMYFUNCTION("GOOGLETRANSLATE(B2383, ""zh"", ""en"")"),"Very good very like, work well.")</f>
        <v>Very good very like, work well.</v>
      </c>
    </row>
    <row r="2384">
      <c r="A2384" s="1">
        <v>5.0</v>
      </c>
      <c r="B2384" s="1" t="s">
        <v>2380</v>
      </c>
      <c r="C2384" t="str">
        <f>IFERROR(__xludf.DUMMYFUNCTION("GOOGLETRANSLATE(B2384, ""zh"", ""en"")"),"Satisfied with a grade fabrics, fine workmanship, size standard.")</f>
        <v>Satisfied with a grade fabrics, fine workmanship, size standard.</v>
      </c>
    </row>
    <row r="2385">
      <c r="A2385" s="1">
        <v>5.0</v>
      </c>
      <c r="B2385" s="1" t="s">
        <v>2381</v>
      </c>
      <c r="C2385" t="str">
        <f>IFERROR(__xludf.DUMMYFUNCTION("GOOGLETRANSLATE(B2385, ""zh"", ""en"")"),"Cost-effective low voice barely noticeable. Order from Wisconsin delivery time to about a week. usb2.0 interfaces the read and write speed of more than 20 MB / s")</f>
        <v>Cost-effective low voice barely noticeable. Order from Wisconsin delivery time to about a week. usb2.0 interfaces the read and write speed of more than 20 MB / s</v>
      </c>
    </row>
    <row r="2386">
      <c r="A2386" s="1">
        <v>5.0</v>
      </c>
      <c r="B2386" s="1" t="s">
        <v>2382</v>
      </c>
      <c r="C2386" t="str">
        <f>IFERROR(__xludf.DUMMYFUNCTION("GOOGLETRANSLATE(B2386, ""zh"", ""en"")"),"Inexpensive shoes very good, very comfortable, Amazon service is worth the other domestic electricity providers to learn a lot cheaper than the store,, I bought several pairs of Ecco shoes, well, except for the high price, nothing shortcomings, I Asics , "&amp;"nike ad wear shoes 8D (us), you can refer to size")</f>
        <v>Inexpensive shoes very good, very comfortable, Amazon service is worth the other domestic electricity providers to learn a lot cheaper than the store,, I bought several pairs of Ecco shoes, well, except for the high price, nothing shortcomings, I Asics , nike ad wear shoes 8D (us), you can refer to size</v>
      </c>
    </row>
    <row r="2387">
      <c r="A2387" s="1">
        <v>5.0</v>
      </c>
      <c r="B2387" s="1" t="s">
        <v>2383</v>
      </c>
      <c r="C2387" t="str">
        <f>IFERROR(__xludf.DUMMYFUNCTION("GOOGLETRANSLATE(B2387, ""zh"", ""en"")"),"Citizen 26E is very good, and I imagine, like children, direct mail and soon five days arrived, rapidly ah")</f>
        <v>Citizen 26E is very good, and I imagine, like children, direct mail and soon five days arrived, rapidly ah</v>
      </c>
    </row>
    <row r="2388">
      <c r="A2388" s="1">
        <v>5.0</v>
      </c>
      <c r="B2388" s="1" t="s">
        <v>2384</v>
      </c>
      <c r="C2388" t="str">
        <f>IFERROR(__xludf.DUMMYFUNCTION("GOOGLETRANSLATE(B2388, ""zh"", ""en"")"),"Jeans pants are very good, model appropriate!")</f>
        <v>Jeans pants are very good, model appropriate!</v>
      </c>
    </row>
    <row r="2389">
      <c r="A2389" s="1">
        <v>5.0</v>
      </c>
      <c r="B2389" s="1" t="s">
        <v>2385</v>
      </c>
      <c r="C2389" t="str">
        <f>IFERROR(__xludf.DUMMYFUNCTION("GOOGLETRANSLATE(B2389, ""zh"", ""en"")"),"And finally to the subway station 290 feet long, usually wear nike45 yards, this time bought 12 yards, just good, do not squeeze the foot, for reference only")</f>
        <v>And finally to the subway station 290 feet long, usually wear nike45 yards, this time bought 12 yards, just good, do not squeeze the foot, for reference only</v>
      </c>
    </row>
    <row r="2390">
      <c r="A2390" s="1">
        <v>5.0</v>
      </c>
      <c r="B2390" s="1" t="s">
        <v>2386</v>
      </c>
      <c r="C2390" t="str">
        <f>IFERROR(__xludf.DUMMYFUNCTION("GOOGLETRANSLATE(B2390, ""zh"", ""en"")"),"ECCO comfort, no one ECCO shoes to wear more comfortable, this is not often in the Amazon stock, to buy this pair Ma Ma, very comfortable to wear, the price is more cost-effective than the domestic counter.")</f>
        <v>ECCO comfort, no one ECCO shoes to wear more comfortable, this is not often in the Amazon stock, to buy this pair Ma Ma, very comfortable to wear, the price is more cost-effective than the domestic counter.</v>
      </c>
    </row>
    <row r="2391">
      <c r="A2391" s="1">
        <v>5.0</v>
      </c>
      <c r="B2391" s="1" t="s">
        <v>2387</v>
      </c>
      <c r="C2391" t="str">
        <f>IFERROR(__xludf.DUMMYFUNCTION("GOOGLETRANSLATE(B2391, ""zh"", ""en"")"),"Something good is very light, the price is right")</f>
        <v>Something good is very light, the price is right</v>
      </c>
    </row>
    <row r="2392">
      <c r="A2392" s="1">
        <v>5.0</v>
      </c>
      <c r="B2392" s="1" t="s">
        <v>2388</v>
      </c>
      <c r="C2392" t="str">
        <f>IFERROR(__xludf.DUMMYFUNCTION("GOOGLETRANSLATE(B2392, ""zh"", ""en"")"),"Fast, good soon, do not know how to effect. Before eating that vioprex GNC feeling the effect is not obvious, this time for this try, playing a total knee pain")</f>
        <v>Fast, good soon, do not know how to effect. Before eating that vioprex GNC feeling the effect is not obvious, this time for this try, playing a total knee pain</v>
      </c>
    </row>
    <row r="2393">
      <c r="A2393" s="1">
        <v>5.0</v>
      </c>
      <c r="B2393" s="1" t="s">
        <v>2389</v>
      </c>
      <c r="C2393" t="str">
        <f>IFERROR(__xludf.DUMMYFUNCTION("GOOGLETRANSLATE(B2393, ""zh"", ""en"")"),"Very Latin style is very satisfied, very spiritual, who also appears burly, very warm to wear, okay size, low waist. Arm seems too thick, not out his photo. I am 175cm, 70kg, M number for your reference. Prior number has been between S and M, undecided, i"&amp;"t seems M number is also very appropriate, if you want a little self might consider S number.")</f>
        <v>Very Latin style is very satisfied, very spiritual, who also appears burly, very warm to wear, okay size, low waist. Arm seems too thick, not out his photo. I am 175cm, 70kg, M number for your reference. Prior number has been between S and M, undecided, it seems M number is also very appropriate, if you want a little self might consider S number.</v>
      </c>
    </row>
    <row r="2394">
      <c r="A2394" s="1">
        <v>5.0</v>
      </c>
      <c r="B2394" s="1" t="s">
        <v>2390</v>
      </c>
      <c r="C2394" t="str">
        <f>IFERROR(__xludf.DUMMYFUNCTION("GOOGLETRANSLATE(B2394, ""zh"", ""en"")"),"In addition to a long time to boil a little, the other good addition to a long time to boil a little, the other good")</f>
        <v>In addition to a long time to boil a little, the other good addition to a long time to boil a little, the other good</v>
      </c>
    </row>
    <row r="2395">
      <c r="A2395" s="1">
        <v>2.0</v>
      </c>
      <c r="B2395" s="1" t="s">
        <v>2391</v>
      </c>
      <c r="C2395" t="str">
        <f>IFERROR(__xludf.DUMMYFUNCTION("GOOGLETRANSLATE(B2395, ""zh"", ""en"")"),"Not recommended Not recommended, is the kind of oxford cloth texture, body itch after wearing, thrown aside the")</f>
        <v>Not recommended Not recommended, is the kind of oxford cloth texture, body itch after wearing, thrown aside the</v>
      </c>
    </row>
    <row r="2396">
      <c r="A2396" s="1">
        <v>3.0</v>
      </c>
      <c r="B2396" s="1" t="s">
        <v>2392</v>
      </c>
      <c r="C2396" t="str">
        <f>IFERROR(__xludf.DUMMYFUNCTION("GOOGLETRANSLATE(B2396, ""zh"", ""en"")"),". . . Express really quite fast. Is something wrong with the shoes, the shoes there are a lot of thread, just getting a little dirty box (should fade). Europe's feet narrower than we do.")</f>
        <v>. . . Express really quite fast. Is something wrong with the shoes, the shoes there are a lot of thread, just getting a little dirty box (should fade). Europe's feet narrower than we do.</v>
      </c>
    </row>
    <row r="2397">
      <c r="A2397" s="1">
        <v>3.0</v>
      </c>
      <c r="B2397" s="1" t="s">
        <v>2393</v>
      </c>
      <c r="C2397" t="str">
        <f>IFERROR(__xludf.DUMMYFUNCTION("GOOGLETRANSLATE(B2397, ""zh"", ""en"")"),"Lunch box lid cover is actually a lid is not strong is not strong, it will bounce")</f>
        <v>Lunch box lid cover is actually a lid is not strong is not strong, it will bounce</v>
      </c>
    </row>
    <row r="2398">
      <c r="A2398" s="1">
        <v>3.0</v>
      </c>
      <c r="B2398" s="1" t="s">
        <v>998</v>
      </c>
      <c r="C2398" t="str">
        <f>IFERROR(__xludf.DUMMYFUNCTION("GOOGLETRANSLATE(B2398, ""zh"", ""en"")"),"q neckline a little big, obvious fat")</f>
        <v>q neckline a little big, obvious fat</v>
      </c>
    </row>
    <row r="2399">
      <c r="A2399" s="1">
        <v>1.0</v>
      </c>
      <c r="B2399" s="1" t="s">
        <v>2394</v>
      </c>
      <c r="C2399" t="str">
        <f>IFERROR(__xludf.DUMMYFUNCTION("GOOGLETRANSLATE(B2399, ""zh"", ""en"")"),"Pen too thick too thick")</f>
        <v>Pen too thick too thick</v>
      </c>
    </row>
    <row r="2400">
      <c r="A2400" s="1">
        <v>1.0</v>
      </c>
      <c r="B2400" s="1" t="s">
        <v>2395</v>
      </c>
      <c r="C2400" t="str">
        <f>IFERROR(__xludf.DUMMYFUNCTION("GOOGLETRANSLATE(B2400, ""zh"", ""en"")"),"A star simply do not want to! too big! Simply can not wear ah! Postage costs actually more expensive than the pants itself! What the hell ah! ! ! ! ! ! Which God can tell me how big Amazon complaints overseas purchase it?")</f>
        <v>A star simply do not want to! too big! Simply can not wear ah! Postage costs actually more expensive than the pants itself! What the hell ah! ! ! ! ! ! Which God can tell me how big Amazon complaints overseas purchase it?</v>
      </c>
    </row>
    <row r="2401">
      <c r="A2401" s="1">
        <v>4.0</v>
      </c>
      <c r="B2401" s="1" t="s">
        <v>2396</v>
      </c>
      <c r="C2401" t="str">
        <f>IFERROR(__xludf.DUMMYFUNCTION("GOOGLETRANSLATE(B2401, ""zh"", ""en"")"),"Good color off-white, kind of not very bright. Bust 88 yards just to buy l.")</f>
        <v>Good color off-white, kind of not very bright. Bust 88 yards just to buy l.</v>
      </c>
    </row>
    <row r="2402">
      <c r="A2402" s="1">
        <v>4.0</v>
      </c>
      <c r="B2402" s="1" t="s">
        <v>2397</v>
      </c>
      <c r="C2402" t="str">
        <f>IFERROR(__xludf.DUMMYFUNCTION("GOOGLETRANSLATE(B2402, ""zh"", ""en"")"),"well! History cheap, a good deal! Which lasted two weeks Deya hand, historical low. This should be a low version of the cleaning system, the process is without a display that version. The packaging is very simple, all fall to the box when deflated, but fo"&amp;"rtunately things inside should be no problem. The machine was filled with bags, and packaging is not the same as before, open for a long time to find a machine where ...... unprotected head cover, only to send a cleaner, domestic version seems to be sendi"&amp;"ng three cleaners? Update the look, carefully check the machine at night, and discovered that there is actually a liquid crystal panel fingerprints? ? ? ? ? ? ? ? ? EXCUSE ME? ? ? ? ? ? ? Dutch manufacturing such a slag? ? ? Call customer service, returns"&amp;" too much trouble, well so be it")</f>
        <v>well! History cheap, a good deal! Which lasted two weeks Deya hand, historical low. This should be a low version of the cleaning system, the process is without a display that version. The packaging is very simple, all fall to the box when deflated, but fortunately things inside should be no problem. The machine was filled with bags, and packaging is not the same as before, open for a long time to find a machine where ...... unprotected head cover, only to send a cleaner, domestic version seems to be sending three cleaners? Update the look, carefully check the machine at night, and discovered that there is actually a liquid crystal panel fingerprints? ? ? ? ? ? ? ? ? EXCUSE ME? ? ? ? ? ? ? Dutch manufacturing such a slag? ? ? Call customer service, returns too much trouble, well so be it</v>
      </c>
    </row>
    <row r="2403">
      <c r="A2403" s="1">
        <v>4.0</v>
      </c>
      <c r="B2403" s="1" t="s">
        <v>2398</v>
      </c>
      <c r="C2403" t="str">
        <f>IFERROR(__xludf.DUMMYFUNCTION("GOOGLETRANSLATE(B2403, ""zh"", ""en"")"),"I am a little wear 42 yards, this pair of shoes to wear foot a little forced, a little uncomfortable when walking, is a bit narrow shoes, originally intended to retire, but the trouble even, it should be comfortable to wear point, so wear, the price It is"&amp;" inexpensive, but transportation costs expensive. It not expected so nice not to tip toe is not flat. Nothing special. Very satisfied with the quality of the cortical good 👍")</f>
        <v>I am a little wear 42 yards, this pair of shoes to wear foot a little forced, a little uncomfortable when walking, is a bit narrow shoes, originally intended to retire, but the trouble even, it should be comfortable to wear point, so wear, the price It is inexpensive, but transportation costs expensive. It not expected so nice not to tip toe is not flat. Nothing special. Very satisfied with the quality of the cortical good 👍</v>
      </c>
    </row>
    <row r="2404">
      <c r="A2404" s="1">
        <v>4.0</v>
      </c>
      <c r="B2404" s="1" t="s">
        <v>345</v>
      </c>
      <c r="C2404" t="str">
        <f>IFERROR(__xludf.DUMMYFUNCTION("GOOGLETRANSLATE(B2404, ""zh"", ""en"")"),"Very comfortable very comfortable")</f>
        <v>Very comfortable very comfortable</v>
      </c>
    </row>
    <row r="2405">
      <c r="A2405" s="1">
        <v>4.0</v>
      </c>
      <c r="B2405" s="1" t="s">
        <v>2399</v>
      </c>
      <c r="C2405" t="str">
        <f>IFERROR(__xludf.DUMMYFUNCTION("GOOGLETRANSLATE(B2405, ""zh"", ""en"")"),"You can also right can also taste, should be genuine. How much or little spicy tongue")</f>
        <v>You can also right can also taste, should be genuine. How much or little spicy tongue</v>
      </c>
    </row>
    <row r="2406">
      <c r="A2406" s="1">
        <v>5.0</v>
      </c>
      <c r="B2406" s="1" t="s">
        <v>2400</v>
      </c>
      <c r="C2406" t="str">
        <f>IFERROR(__xludf.DUMMYFUNCTION("GOOGLETRANSLATE(B2406, ""zh"", ""en"")"),"Worth buying worth buying! Just the right size!")</f>
        <v>Worth buying worth buying! Just the right size!</v>
      </c>
    </row>
    <row r="2407">
      <c r="A2407" s="1">
        <v>5.0</v>
      </c>
      <c r="B2407" s="1" t="s">
        <v>2401</v>
      </c>
      <c r="C2407" t="str">
        <f>IFERROR(__xludf.DUMMYFUNCTION("GOOGLETRANSLATE(B2407, ""zh"", ""en"")"),"Good quality height 175cm, weight 73kg, buy 33 * 32, the US version of the dress is rather long and fat, smaller size will fit.")</f>
        <v>Good quality height 175cm, weight 73kg, buy 33 * 32, the US version of the dress is rather long and fat, smaller size will fit.</v>
      </c>
    </row>
    <row r="2408">
      <c r="A2408" s="1">
        <v>5.0</v>
      </c>
      <c r="B2408" s="1" t="s">
        <v>2402</v>
      </c>
      <c r="C2408" t="str">
        <f>IFERROR(__xludf.DUMMYFUNCTION("GOOGLETRANSLATE(B2408, ""zh"", ""en"")"),"Brush Affordable said he was very satisfied with the benefits of very clean brush")</f>
        <v>Brush Affordable said he was very satisfied with the benefits of very clean brush</v>
      </c>
    </row>
    <row r="2409">
      <c r="A2409" s="1">
        <v>5.0</v>
      </c>
      <c r="B2409" s="1" t="s">
        <v>2403</v>
      </c>
      <c r="C2409" t="str">
        <f>IFERROR(__xludf.DUMMYFUNCTION("GOOGLETRANSLATE(B2409, ""zh"", ""en"")"),"Receive satisfaction than expected delivery time of 8 days in advance, things are still, just feeling thin packaging point. Overall very satisfied, very reliable Amazon!")</f>
        <v>Receive satisfaction than expected delivery time of 8 days in advance, things are still, just feeling thin packaging point. Overall very satisfied, very reliable Amazon!</v>
      </c>
    </row>
    <row r="2410">
      <c r="A2410" s="1">
        <v>5.0</v>
      </c>
      <c r="B2410" s="1" t="s">
        <v>2404</v>
      </c>
      <c r="C2410" t="str">
        <f>IFERROR(__xludf.DUMMYFUNCTION("GOOGLETRANSLATE(B2410, ""zh"", ""en"")"),"Very easy to open the package feel very fine, indeed better than the other brands, very comfortable with them. Large no major OB, but usually with enough.")</f>
        <v>Very easy to open the package feel very fine, indeed better than the other brands, very comfortable with them. Large no major OB, but usually with enough.</v>
      </c>
    </row>
    <row r="2411">
      <c r="A2411" s="1">
        <v>5.0</v>
      </c>
      <c r="B2411" s="1" t="s">
        <v>2405</v>
      </c>
      <c r="C2411" t="str">
        <f>IFERROR(__xludf.DUMMYFUNCTION("GOOGLETRANSLATE(B2411, ""zh"", ""en"")"),"Almost hope outsole wear just very hard on the feet for the first time in the Amazon very pleasant shopping shoes and imagine")</f>
        <v>Almost hope outsole wear just very hard on the feet for the first time in the Amazon very pleasant shopping shoes and imagine</v>
      </c>
    </row>
    <row r="2412">
      <c r="A2412" s="1">
        <v>5.0</v>
      </c>
      <c r="B2412" s="1" t="s">
        <v>2406</v>
      </c>
      <c r="C2412" t="str">
        <f>IFERROR(__xludf.DUMMYFUNCTION("GOOGLETRANSLATE(B2412, ""zh"", ""en"")"),"Dr. Martin was okay, the shoes at this price quite good")</f>
        <v>Dr. Martin was okay, the shoes at this price quite good</v>
      </c>
    </row>
    <row r="2413">
      <c r="A2413" s="1">
        <v>5.0</v>
      </c>
      <c r="B2413" s="1" t="s">
        <v>2407</v>
      </c>
      <c r="C2413" t="str">
        <f>IFERROR(__xludf.DUMMYFUNCTION("GOOGLETRANSLATE(B2413, ""zh"", ""en"")"),"Second purchase easy to use, easy to use, not spend")</f>
        <v>Second purchase easy to use, easy to use, not spend</v>
      </c>
    </row>
    <row r="2414">
      <c r="A2414" s="1">
        <v>5.0</v>
      </c>
      <c r="B2414" s="1" t="s">
        <v>2408</v>
      </c>
      <c r="C2414" t="str">
        <f>IFERROR(__xludf.DUMMYFUNCTION("GOOGLETRANSLATE(B2414, ""zh"", ""en"")"),"After listening to a lot of very good value moving iron earplugs, earplugs moving coil, first heard of the brand, to have such quality at this price, it is a great value, better than earplugs thousand dollars difference.")</f>
        <v>After listening to a lot of very good value moving iron earplugs, earplugs moving coil, first heard of the brand, to have such quality at this price, it is a great value, better than earplugs thousand dollars difference.</v>
      </c>
    </row>
    <row r="2415">
      <c r="A2415" s="1">
        <v>5.0</v>
      </c>
      <c r="B2415" s="1" t="s">
        <v>2409</v>
      </c>
      <c r="C2415" t="str">
        <f>IFERROR(__xludf.DUMMYFUNCTION("GOOGLETRANSLATE(B2415, ""zh"", ""en"")"),"High price insulation pot, let me buy a child a good thermos, high cost is under orders to receipt is a long process. Well, not from the previous evaluation, I do not know how many wasted points, points can change money now know, they should look carefull"&amp;"y evaluated, then I put these words to copy to go, both to earn points, but also save trouble, where one copy where, most importantly, do not seriously review, do not think how much worse word, sent directly to it, recommend it to everyone! !")</f>
        <v>High price insulation pot, let me buy a child a good thermos, high cost is under orders to receipt is a long process. Well, not from the previous evaluation, I do not know how many wasted points, points can change money now know, they should look carefully evaluated, then I put these words to copy to go, both to earn points, but also save trouble, where one copy where, most importantly, do not seriously review, do not think how much worse word, sent directly to it, recommend it to everyone! !</v>
      </c>
    </row>
    <row r="2416">
      <c r="A2416" s="1">
        <v>5.0</v>
      </c>
      <c r="B2416" s="1" t="s">
        <v>2410</v>
      </c>
      <c r="C2416" t="str">
        <f>IFERROR(__xludf.DUMMYFUNCTION("GOOGLETRANSLATE(B2416, ""zh"", ""en"")"),"HUB a very good hard drive is still very convenient, power adapter than I imagined a lot of big, like me on the bed may be less convenient, the advantage is speed can be, good heat dissipation basic sequential writes nearly 1TB file no fever, noise is har"&amp;"d to read when there is a little, and then it did not, on the whole very quiet ( '· ω · `), the shortcomings of it is not good band, power is not available, there are shell material with improved feel plastic feeling too strong, also recommended adding a "&amp;"switch. A small light at work nice. Overall, the appearance can be improved shell material, the performance is very good value for money (. · Ω ·.) Techno")</f>
        <v>HUB a very good hard drive is still very convenient, power adapter than I imagined a lot of big, like me on the bed may be less convenient, the advantage is speed can be, good heat dissipation basic sequential writes nearly 1TB file no fever, noise is hard to read when there is a little, and then it did not, on the whole very quiet ( '· ω · `), the shortcomings of it is not good band, power is not available, there are shell material with improved feel plastic feeling too strong, also recommended adding a switch. A small light at work nice. Overall, the appearance can be improved shell material, the performance is very good value for money (. · Ω ·.) Techno</v>
      </c>
    </row>
    <row r="2417">
      <c r="A2417" s="1">
        <v>5.0</v>
      </c>
      <c r="B2417" s="1" t="s">
        <v>2411</v>
      </c>
      <c r="C2417" t="str">
        <f>IFERROR(__xludf.DUMMYFUNCTION("GOOGLETRANSLATE(B2417, ""zh"", ""en"")"),"Before kettle well used bought in a store, the children spent three years, throw beat fight is still very strong, this time in the hopes to use longer (o ^^ o)")</f>
        <v>Before kettle well used bought in a store, the children spent three years, throw beat fight is still very strong, this time in the hopes to use longer (o ^^ o)</v>
      </c>
    </row>
    <row r="2418">
      <c r="A2418" s="1">
        <v>5.0</v>
      </c>
      <c r="B2418" s="1" t="s">
        <v>2412</v>
      </c>
      <c r="C2418" t="str">
        <f>IFERROR(__xludf.DUMMYFUNCTION("GOOGLETRANSLATE(B2418, ""zh"", ""en"")"),"Sea Amoy Made in China can also be right, did not expect or made in China")</f>
        <v>Sea Amoy Made in China can also be right, did not expect or made in China</v>
      </c>
    </row>
    <row r="2419">
      <c r="A2419" s="1">
        <v>5.0</v>
      </c>
      <c r="B2419" s="1" t="s">
        <v>2413</v>
      </c>
      <c r="C2419" t="str">
        <f>IFERROR(__xludf.DUMMYFUNCTION("GOOGLETRANSLATE(B2419, ""zh"", ""en"")"),"I received a cost-effective, speed so fast, something genuine, nothing wrong")</f>
        <v>I received a cost-effective, speed so fast, something genuine, nothing wrong</v>
      </c>
    </row>
    <row r="2420">
      <c r="A2420" s="1">
        <v>5.0</v>
      </c>
      <c r="B2420" s="1" t="s">
        <v>2414</v>
      </c>
      <c r="C2420" t="str">
        <f>IFERROR(__xludf.DUMMYFUNCTION("GOOGLETRANSLATE(B2420, ""zh"", ""en"")"),"Cheaper than domestic prices around 30 thought it was purchased abroad can buy imported, did not expect to get the goods are made in china")</f>
        <v>Cheaper than domestic prices around 30 thought it was purchased abroad can buy imported, did not expect to get the goods are made in china</v>
      </c>
    </row>
    <row r="2421">
      <c r="A2421" s="1">
        <v>5.0</v>
      </c>
      <c r="B2421" s="1" t="s">
        <v>2415</v>
      </c>
      <c r="C2421" t="str">
        <f>IFERROR(__xludf.DUMMYFUNCTION("GOOGLETRANSLATE(B2421, ""zh"", ""en"")"),"Look at the reviews elected by all the perfect size I 184,68kg, no stomach. Look at the reviews selected by the medium M, the perfect size, just right shoulder, body relaxed. This partial bit thick material belonging to quick-drying material, good texture"&amp;". perfect")</f>
        <v>Look at the reviews elected by all the perfect size I 184,68kg, no stomach. Look at the reviews selected by the medium M, the perfect size, just right shoulder, body relaxed. This partial bit thick material belonging to quick-drying material, good texture. perfect</v>
      </c>
    </row>
    <row r="2422">
      <c r="A2422" s="1">
        <v>5.0</v>
      </c>
      <c r="B2422" s="1" t="s">
        <v>2416</v>
      </c>
      <c r="C2422" t="str">
        <f>IFERROR(__xludf.DUMMYFUNCTION("GOOGLETRANSLATE(B2422, ""zh"", ""en"")"),"Light breathable breathable light, comfortable to wear. Convenience washed.")</f>
        <v>Light breathable breathable light, comfortable to wear. Convenience washed.</v>
      </c>
    </row>
    <row r="2423">
      <c r="A2423" s="1">
        <v>5.0</v>
      </c>
      <c r="B2423" s="1" t="s">
        <v>2417</v>
      </c>
      <c r="C2423" t="str">
        <f>IFERROR(__xludf.DUMMYFUNCTION("GOOGLETRANSLATE(B2423, ""zh"", ""en"")"),"Very good compression garment great compression garment for the first time to buy, for the first time to wear, far more than expected. Especially good air permeability without feeling stuffy Khan.")</f>
        <v>Very good compression garment great compression garment for the first time to buy, for the first time to wear, far more than expected. Especially good air permeability without feeling stuffy Khan.</v>
      </c>
    </row>
    <row r="2424">
      <c r="A2424" s="1">
        <v>5.0</v>
      </c>
      <c r="B2424" s="1" t="s">
        <v>2418</v>
      </c>
      <c r="C2424" t="str">
        <f>IFERROR(__xludf.DUMMYFUNCTION("GOOGLETRANSLATE(B2424, ""zh"", ""en"")"),"Change the NTFS format! ! ! Very important! ! ! exFat will abnormal sound, and easy to roll! ! ! Prior to get our hands on to forget format, the file is written in keyboarding, and the temperature soared to 60 +, the Eph")</f>
        <v>Change the NTFS format! ! ! Very important! ! ! exFat will abnormal sound, and easy to roll! ! ! Prior to get our hands on to forget format, the file is written in keyboarding, and the temperature soared to 60 +, the Eph</v>
      </c>
    </row>
    <row r="2425">
      <c r="A2425" s="1">
        <v>5.0</v>
      </c>
      <c r="B2425" s="1" t="s">
        <v>2419</v>
      </c>
      <c r="C2425" t="str">
        <f>IFERROR(__xludf.DUMMYFUNCTION("GOOGLETRANSLATE(B2425, ""zh"", ""en"")"),"Cotton, feel very comfortable waist a little fat, the next buy buy lean 1st, long pants fit, I 173 cm, 72 kg, waist circumference 85 cm")</f>
        <v>Cotton, feel very comfortable waist a little fat, the next buy buy lean 1st, long pants fit, I 173 cm, 72 kg, waist circumference 85 cm</v>
      </c>
    </row>
    <row r="2426">
      <c r="A2426" s="1">
        <v>5.0</v>
      </c>
      <c r="B2426" s="1" t="s">
        <v>2420</v>
      </c>
      <c r="C2426" t="str">
        <f>IFERROR(__xludf.DUMMYFUNCTION("GOOGLETRANSLATE(B2426, ""zh"", ""en"")"),"Comfortable to wear very comfortable and very handsome ~ ~ ~ ~ ~ ~ ~ super cheap price")</f>
        <v>Comfortable to wear very comfortable and very handsome ~ ~ ~ ~ ~ ~ ~ super cheap price</v>
      </c>
    </row>
    <row r="2427">
      <c r="A2427" s="1">
        <v>5.0</v>
      </c>
      <c r="B2427" s="1" t="s">
        <v>2421</v>
      </c>
      <c r="C2427" t="str">
        <f>IFERROR(__xludf.DUMMYFUNCTION("GOOGLETRANSLATE(B2427, ""zh"", ""en"")"),"Good quality relatively thin, suitable for winter wear down jacket inside")</f>
        <v>Good quality relatively thin, suitable for winter wear down jacket inside</v>
      </c>
    </row>
    <row r="2428">
      <c r="A2428" s="1">
        <v>2.0</v>
      </c>
      <c r="B2428" s="1" t="s">
        <v>2422</v>
      </c>
      <c r="C2428" t="str">
        <f>IFERROR(__xludf.DUMMYFUNCTION("GOOGLETRANSLATE(B2428, ""zh"", ""en"")"),"Can not boot, bad received in return, can not boot (charged), returns in")</f>
        <v>Can not boot, bad received in return, can not boot (charged), returns in</v>
      </c>
    </row>
    <row r="2429">
      <c r="A2429" s="1">
        <v>3.0</v>
      </c>
      <c r="B2429" s="1" t="s">
        <v>2423</v>
      </c>
      <c r="C2429" t="str">
        <f>IFERROR(__xludf.DUMMYFUNCTION("GOOGLETRANSLATE(B2429, ""zh"", ""en"")"),"Fabrics can work slightly worse fabrics okay, very thick, but work really hard to describe, not as good as the level of ordinary domestic brands, trousers sewn twist, the other is not Slim models")</f>
        <v>Fabrics can work slightly worse fabrics okay, very thick, but work really hard to describe, not as good as the level of ordinary domestic brands, trousers sewn twist, the other is not Slim models</v>
      </c>
    </row>
    <row r="2430">
      <c r="A2430" s="1">
        <v>3.0</v>
      </c>
      <c r="B2430" s="1" t="s">
        <v>2424</v>
      </c>
      <c r="C2430" t="str">
        <f>IFERROR(__xludf.DUMMYFUNCTION("GOOGLETRANSLATE(B2430, ""zh"", ""en"")"),"Open upper suture lines wearing 3 days, toe, toe joint is bent, the upper suture lines open, scared.")</f>
        <v>Open upper suture lines wearing 3 days, toe, toe joint is bent, the upper suture lines open, scared.</v>
      </c>
    </row>
    <row r="2431">
      <c r="A2431" s="1">
        <v>1.0</v>
      </c>
      <c r="B2431" s="1" t="s">
        <v>2425</v>
      </c>
      <c r="C2431" t="str">
        <f>IFERROR(__xludf.DUMMYFUNCTION("GOOGLETRANSLATE(B2431, ""zh"", ""en"")"),"Amazon also has fake it just received the goods, which cover the top of the pot button serious wear and tear, is not new. Looks like a long time.")</f>
        <v>Amazon also has fake it just received the goods, which cover the top of the pot button serious wear and tear, is not new. Looks like a long time.</v>
      </c>
    </row>
    <row r="2432">
      <c r="A2432" s="1">
        <v>1.0</v>
      </c>
      <c r="B2432" s="1" t="s">
        <v>2426</v>
      </c>
      <c r="C2432" t="str">
        <f>IFERROR(__xludf.DUMMYFUNCTION("GOOGLETRANSLATE(B2432, ""zh"", ""en"")"),"This estimate is a little small children, my little man 103 pounds can not actually wear, fabrics and thick rough, but for returned shipping is too expensive, really powerless Tucao, Amazon to buy things really luck")</f>
        <v>This estimate is a little small children, my little man 103 pounds can not actually wear, fabrics and thick rough, but for returned shipping is too expensive, really powerless Tucao, Amazon to buy things really luck</v>
      </c>
    </row>
    <row r="2433">
      <c r="A2433" s="1">
        <v>4.0</v>
      </c>
      <c r="B2433" s="1" t="s">
        <v>2427</v>
      </c>
      <c r="C2433" t="str">
        <f>IFERROR(__xludf.DUMMYFUNCTION("GOOGLETRANSLATE(B2433, ""zh"", ""en"")"),"I will not buy back a little effect of it, but after all, not drugs. Buy two, buy-back will not be back.")</f>
        <v>I will not buy back a little effect of it, but after all, not drugs. Buy two, buy-back will not be back.</v>
      </c>
    </row>
    <row r="2434">
      <c r="A2434" s="1">
        <v>4.0</v>
      </c>
      <c r="B2434" s="1" t="s">
        <v>2428</v>
      </c>
      <c r="C2434" t="str">
        <f>IFERROR(__xludf.DUMMYFUNCTION("GOOGLETRANSLATE(B2434, ""zh"", ""en"")"),"Fit, can also be height 180,75 kg, m number of years scouring the sea. Clothes can be, it is a little James Gray, at home when the home service is also good, is not not wear out.")</f>
        <v>Fit, can also be height 180,75 kg, m number of years scouring the sea. Clothes can be, it is a little James Gray, at home when the home service is also good, is not not wear out.</v>
      </c>
    </row>
    <row r="2435">
      <c r="A2435" s="1">
        <v>4.0</v>
      </c>
      <c r="B2435" s="1" t="s">
        <v>2429</v>
      </c>
      <c r="C2435" t="str">
        <f>IFERROR(__xludf.DUMMYFUNCTION("GOOGLETRANSLATE(B2435, ""zh"", ""en"")"),"173/77 Select 33/30 To be honest, buy pants in the Amazon, can be difficult to meet the right! The counted once relatively satisfactory. Height 173, weight 77, 33/30 suitable base, fabrics and models are also in line with expectations, by reference.")</f>
        <v>173/77 Select 33/30 To be honest, buy pants in the Amazon, can be difficult to meet the right! The counted once relatively satisfactory. Height 173, weight 77, 33/30 suitable base, fabrics and models are also in line with expectations, by reference.</v>
      </c>
    </row>
    <row r="2436">
      <c r="A2436" s="1">
        <v>4.0</v>
      </c>
      <c r="B2436" s="1" t="s">
        <v>2430</v>
      </c>
      <c r="C2436" t="str">
        <f>IFERROR(__xludf.DUMMYFUNCTION("GOOGLETRANSLATE(B2436, ""zh"", ""en"")"),"Before bought for his wife purchased a black, often with my wife mug, had to buy one, ha ha. . .")</f>
        <v>Before bought for his wife purchased a black, often with my wife mug, had to buy one, ha ha. . .</v>
      </c>
    </row>
    <row r="2437">
      <c r="A2437" s="1">
        <v>4.0</v>
      </c>
      <c r="B2437" s="1" t="s">
        <v>2431</v>
      </c>
      <c r="C2437" t="str">
        <f>IFERROR(__xludf.DUMMYFUNCTION("GOOGLETRANSLATE(B2437, ""zh"", ""en"")"),"Ultra thick small pot lucky, pot arrived safely, the only imperfection is at hand enamel cracks. very satisfied!")</f>
        <v>Ultra thick small pot lucky, pot arrived safely, the only imperfection is at hand enamel cracks. very satisfied!</v>
      </c>
    </row>
    <row r="2438">
      <c r="A2438" s="1">
        <v>5.0</v>
      </c>
      <c r="B2438" s="1" t="s">
        <v>2432</v>
      </c>
      <c r="C2438" t="str">
        <f>IFERROR(__xludf.DUMMYFUNCTION("GOOGLETRANSLATE(B2438, ""zh"", ""en"")"),"Very very suitable material is thick, when winter wear, my height 187cm, weight 100 kg, wear 42/34's okay, waist a little fat points, pants too long, if it is 42/32, I fear that they will short. If it is 40/34, I am afraid will be thin legs, I like to wea"&amp;"r a little loose-fitting clothing.")</f>
        <v>Very very suitable material is thick, when winter wear, my height 187cm, weight 100 kg, wear 42/34's okay, waist a little fat points, pants too long, if it is 42/32, I fear that they will short. If it is 40/34, I am afraid will be thin legs, I like to wear a little loose-fitting clothing.</v>
      </c>
    </row>
    <row r="2439">
      <c r="A2439" s="1">
        <v>5.0</v>
      </c>
      <c r="B2439" s="1" t="s">
        <v>2433</v>
      </c>
      <c r="C2439" t="str">
        <f>IFERROR(__xludf.DUMMYFUNCTION("GOOGLETRANSLATE(B2439, ""zh"", ""en"")"),"Good things very fine, high cost, recommend ~")</f>
        <v>Good things very fine, high cost, recommend ~</v>
      </c>
    </row>
    <row r="2440">
      <c r="A2440" s="1">
        <v>5.0</v>
      </c>
      <c r="B2440" s="1" t="s">
        <v>2434</v>
      </c>
      <c r="C2440" t="str">
        <f>IFERROR(__xludf.DUMMYFUNCTION("GOOGLETRANSLATE(B2440, ""zh"", ""en"")"),"Shoes a little big shoes a little big, buy this number before the big")</f>
        <v>Shoes a little big shoes a little big, buy this number before the big</v>
      </c>
    </row>
    <row r="2441">
      <c r="A2441" s="1">
        <v>5.0</v>
      </c>
      <c r="B2441" s="1" t="s">
        <v>2435</v>
      </c>
      <c r="C2441" t="str">
        <f>IFERROR(__xludf.DUMMYFUNCTION("GOOGLETRANSLATE(B2441, ""zh"", ""en"")"),"Baton! Super appropriate version Awesome!")</f>
        <v>Baton! Super appropriate version Awesome!</v>
      </c>
    </row>
    <row r="2442">
      <c r="A2442" s="1">
        <v>5.0</v>
      </c>
      <c r="B2442" s="1" t="s">
        <v>2436</v>
      </c>
      <c r="C2442" t="str">
        <f>IFERROR(__xludf.DUMMYFUNCTION("GOOGLETRANSLATE(B2442, ""zh"", ""en"")"),"The so-called perfect perfect is already the lowest price to buy favorite products, and were not disappointed when in use, value for money")</f>
        <v>The so-called perfect perfect is already the lowest price to buy favorite products, and were not disappointed when in use, value for money</v>
      </c>
    </row>
    <row r="2443">
      <c r="A2443" s="1">
        <v>5.0</v>
      </c>
      <c r="B2443" s="1" t="s">
        <v>2437</v>
      </c>
      <c r="C2443" t="str">
        <f>IFERROR(__xludf.DUMMYFUNCTION("GOOGLETRANSLATE(B2443, ""zh"", ""en"")"),"Great great, and domestic stainless steel completely different, the price is value for money!")</f>
        <v>Great great, and domestic stainless steel completely different, the price is value for money!</v>
      </c>
    </row>
    <row r="2444">
      <c r="A2444" s="1">
        <v>5.0</v>
      </c>
      <c r="B2444" s="1" t="s">
        <v>2438</v>
      </c>
      <c r="C2444" t="str">
        <f>IFERROR(__xludf.DUMMYFUNCTION("GOOGLETRANSLATE(B2444, ""zh"", ""en"")"),"A satisfying shopping very fit, very comfortable, the price is very good!")</f>
        <v>A satisfying shopping very fit, very comfortable, the price is very good!</v>
      </c>
    </row>
    <row r="2445">
      <c r="A2445" s="1">
        <v>5.0</v>
      </c>
      <c r="B2445" s="1" t="s">
        <v>2439</v>
      </c>
      <c r="C2445" t="str">
        <f>IFERROR(__xludf.DUMMYFUNCTION("GOOGLETRANSLATE(B2445, ""zh"", ""en"")"),"Thick light, hope the snow does not slip soles. Suitable for winter wear, shoe size accurately.")</f>
        <v>Thick light, hope the snow does not slip soles. Suitable for winter wear, shoe size accurately.</v>
      </c>
    </row>
    <row r="2446">
      <c r="A2446" s="1">
        <v>5.0</v>
      </c>
      <c r="B2446" s="1" t="s">
        <v>2440</v>
      </c>
      <c r="C2446" t="str">
        <f>IFERROR(__xludf.DUMMYFUNCTION("GOOGLETRANSLATE(B2446, ""zh"", ""en"")"),"Baby loves to eat good food, good taste")</f>
        <v>Baby loves to eat good food, good taste</v>
      </c>
    </row>
    <row r="2447">
      <c r="A2447" s="1">
        <v>5.0</v>
      </c>
      <c r="B2447" s="1" t="s">
        <v>2441</v>
      </c>
      <c r="C2447" t="str">
        <f>IFERROR(__xludf.DUMMYFUNCTION("GOOGLETRANSLATE(B2447, ""zh"", ""en"")"),"Pot is good pot packaging is not good, the soup arrived on the deformation point, passing not affect the use of the Amazon to the compensation of 20%, much more convenient than return!")</f>
        <v>Pot is good pot packaging is not good, the soup arrived on the deformation point, passing not affect the use of the Amazon to the compensation of 20%, much more convenient than return!</v>
      </c>
    </row>
    <row r="2448">
      <c r="A2448" s="1">
        <v>5.0</v>
      </c>
      <c r="B2448" s="1" t="s">
        <v>2442</v>
      </c>
      <c r="C2448" t="str">
        <f>IFERROR(__xludf.DUMMYFUNCTION("GOOGLETRANSLATE(B2448, ""zh"", ""en"")"),"Practical good-looking, simple and elegant")</f>
        <v>Practical good-looking, simple and elegant</v>
      </c>
    </row>
    <row r="2449">
      <c r="A2449" s="1">
        <v>5.0</v>
      </c>
      <c r="B2449" s="1" t="s">
        <v>2443</v>
      </c>
      <c r="C2449" t="str">
        <f>IFERROR(__xludf.DUMMYFUNCTION("GOOGLETRANSLATE(B2449, ""zh"", ""en"")"),"Amazon already eat three bottles of useful, we will insist eat, urinary Fan aspects of time to change, thanks to this platform provided by Amazon")</f>
        <v>Amazon already eat three bottles of useful, we will insist eat, urinary Fan aspects of time to change, thanks to this platform provided by Amazon</v>
      </c>
    </row>
    <row r="2450">
      <c r="A2450" s="1">
        <v>5.0</v>
      </c>
      <c r="B2450" s="1" t="s">
        <v>2444</v>
      </c>
      <c r="C2450" t="str">
        <f>IFERROR(__xludf.DUMMYFUNCTION("GOOGLETRANSLATE(B2450, ""zh"", ""en"")"),"Good sound quality easily push the overall balance of texture strong bass response without procrastination-ear sound insulation very satisfied with good value for money")</f>
        <v>Good sound quality easily push the overall balance of texture strong bass response without procrastination-ear sound insulation very satisfied with good value for money</v>
      </c>
    </row>
    <row r="2451">
      <c r="A2451" s="1">
        <v>5.0</v>
      </c>
      <c r="B2451" s="1" t="s">
        <v>2445</v>
      </c>
      <c r="C2451" t="str">
        <f>IFERROR(__xludf.DUMMYFUNCTION("GOOGLETRANSLATE(B2451, ""zh"", ""en"")"),"Recommended to buy a few good baby like to eat")</f>
        <v>Recommended to buy a few good baby like to eat</v>
      </c>
    </row>
    <row r="2452">
      <c r="A2452" s="1">
        <v>5.0</v>
      </c>
      <c r="B2452" s="1" t="s">
        <v>2446</v>
      </c>
      <c r="C2452" t="str">
        <f>IFERROR(__xludf.DUMMYFUNCTION("GOOGLETRANSLATE(B2452, ""zh"", ""en"")"),"Comfortable underwear is very comfortable and the price is fair")</f>
        <v>Comfortable underwear is very comfortable and the price is fair</v>
      </c>
    </row>
    <row r="2453">
      <c r="A2453" s="1">
        <v>5.0</v>
      </c>
      <c r="B2453" s="1" t="s">
        <v>2447</v>
      </c>
      <c r="C2453" t="str">
        <f>IFERROR(__xludf.DUMMYFUNCTION("GOOGLETRANSLATE(B2453, ""zh"", ""en"")"),"The first big buy foreign shoe size. No. tried to go to the store to buy. Jiaogan feel no difference. Shoes, too. Amazon first good shopping")</f>
        <v>The first big buy foreign shoe size. No. tried to go to the store to buy. Jiaogan feel no difference. Shoes, too. Amazon first good shopping</v>
      </c>
    </row>
    <row r="2454">
      <c r="A2454" s="1">
        <v>5.0</v>
      </c>
      <c r="B2454" s="1" t="s">
        <v>2448</v>
      </c>
      <c r="C2454" t="str">
        <f>IFERROR(__xludf.DUMMYFUNCTION("GOOGLETRANSLATE(B2454, ""zh"", ""en"")"),"Okay okay, wearing a flat chest becomes a trained, trained, trained, I feel sports underwear difficult to take off, take off three times before noon today off, sooner or later feel torn loose underwear down around whining")</f>
        <v>Okay okay, wearing a flat chest becomes a trained, trained, trained, I feel sports underwear difficult to take off, take off three times before noon today off, sooner or later feel torn loose underwear down around whining</v>
      </c>
    </row>
    <row r="2455">
      <c r="A2455" s="1">
        <v>5.0</v>
      </c>
      <c r="B2455" s="1" t="s">
        <v>2449</v>
      </c>
      <c r="C2455" t="str">
        <f>IFERROR(__xludf.DUMMYFUNCTION("GOOGLETRANSLATE(B2455, ""zh"", ""en"")"),"Good everyday casual cap hat put the bag a little thin for the price a little expensive spare")</f>
        <v>Good everyday casual cap hat put the bag a little thin for the price a little expensive spare</v>
      </c>
    </row>
    <row r="2456">
      <c r="A2456" s="1">
        <v>5.0</v>
      </c>
      <c r="B2456" s="1" t="s">
        <v>2450</v>
      </c>
      <c r="C2456" t="str">
        <f>IFERROR(__xludf.DUMMYFUNCTION("GOOGLETRANSLATE(B2456, ""zh"", ""en"")"),"Like a time of nine days earlier than expected to get the goods, and very good, just try a little, what size is very appropriate. It should be genuine.")</f>
        <v>Like a time of nine days earlier than expected to get the goods, and very good, just try a little, what size is very appropriate. It should be genuine.</v>
      </c>
    </row>
    <row r="2457">
      <c r="A2457" s="1">
        <v>5.0</v>
      </c>
      <c r="B2457" s="1" t="s">
        <v>2451</v>
      </c>
      <c r="C2457" t="str">
        <f>IFERROR(__xludf.DUMMYFUNCTION("GOOGLETRANSLATE(B2457, ""zh"", ""en"")"),"Very nice pants style I prefer, on the whole it is also more comfortable to wear. Is feeling trousers and flexible, this like it or not depends on personal preference. And four years ago I bought pants US imperialism is essentially the same, the price is "&amp;"about the same. My wife said after I put on my looks thin, the overall look and feel better after a few days added: wear a little hot in the summer, before the end of October, Guangzhou wear feel the heat.")</f>
        <v>Very nice pants style I prefer, on the whole it is also more comfortable to wear. Is feeling trousers and flexible, this like it or not depends on personal preference. And four years ago I bought pants US imperialism is essentially the same, the price is about the same. My wife said after I put on my looks thin, the overall look and feel better after a few days added: wear a little hot in the summer, before the end of October, Guangzhou wear feel the heat.</v>
      </c>
    </row>
    <row r="2458">
      <c r="A2458" s="1">
        <v>5.0</v>
      </c>
      <c r="B2458" s="1" t="s">
        <v>2452</v>
      </c>
      <c r="C2458" t="str">
        <f>IFERROR(__xludf.DUMMYFUNCTION("GOOGLETRANSLATE(B2458, ""zh"", ""en"")"),"Definitely worth buying again good to wear good-looking, simple models, quality is super good")</f>
        <v>Definitely worth buying again good to wear good-looking, simple models, quality is super good</v>
      </c>
    </row>
    <row r="2459">
      <c r="A2459" s="1">
        <v>5.0</v>
      </c>
      <c r="B2459" s="1" t="s">
        <v>2453</v>
      </c>
      <c r="C2459" t="str">
        <f>IFERROR(__xludf.DUMMYFUNCTION("GOOGLETRANSLATE(B2459, ""zh"", ""en"")"),"This is a good thing I have been repurchased, basically buy in the United States and Asia, this super cheap, multi-Meyer + transport is cheaper than the")</f>
        <v>This is a good thing I have been repurchased, basically buy in the United States and Asia, this super cheap, multi-Meyer + transport is cheaper than the</v>
      </c>
    </row>
    <row r="2460">
      <c r="A2460" s="1">
        <v>2.0</v>
      </c>
      <c r="B2460" s="1" t="s">
        <v>2454</v>
      </c>
      <c r="C2460" t="str">
        <f>IFERROR(__xludf.DUMMYFUNCTION("GOOGLETRANSLATE(B2460, ""zh"", ""en"")"),"2018.05.30. 18,219,137,896 want to buy 1000 dollars can sell the package sent to the headphones, the headphones sound 32 in Europe are relatively small, other computer headphones are put loudest thorn ears, but this is not very loud, genuine should be gen"&amp;"uine, UK shipments, Foshan 8 days. I used to use the innovation live2, listen to contrast this move once played times as good as innovative headphones, the balance can also be right. Estimate small voice, the voice always felt distant, like moving times h"&amp;"it the times I was not very satisfied")</f>
        <v>2018.05.30. 18,219,137,896 want to buy 1000 dollars can sell the package sent to the headphones, the headphones sound 32 in Europe are relatively small, other computer headphones are put loudest thorn ears, but this is not very loud, genuine should be genuine, UK shipments, Foshan 8 days. I used to use the innovation live2, listen to contrast this move once played times as good as innovative headphones, the balance can also be right. Estimate small voice, the voice always felt distant, like moving times hit the times I was not very satisfied</v>
      </c>
    </row>
    <row r="2461">
      <c r="A2461" s="1">
        <v>3.0</v>
      </c>
      <c r="B2461" s="1" t="s">
        <v>2455</v>
      </c>
      <c r="C2461" t="str">
        <f>IFERROR(__xludf.DUMMYFUNCTION("GOOGLETRANSLATE(B2461, ""zh"", ""en"")"),"Wide Shoulder Sleeve suitable type, waist too large for pregnant people wear, fabrics too hard. I 174,78 Shoulder 47 Bust 110, the election of M")</f>
        <v>Wide Shoulder Sleeve suitable type, waist too large for pregnant people wear, fabrics too hard. I 174,78 Shoulder 47 Bust 110, the election of M</v>
      </c>
    </row>
    <row r="2462">
      <c r="A2462" s="1">
        <v>3.0</v>
      </c>
      <c r="B2462" s="1" t="s">
        <v>2456</v>
      </c>
      <c r="C2462" t="str">
        <f>IFERROR(__xludf.DUMMYFUNCTION("GOOGLETRANSLATE(B2462, ""zh"", ""en"")"),"This generally is not white was white, very general.")</f>
        <v>This generally is not white was white, very general.</v>
      </c>
    </row>
    <row r="2463">
      <c r="A2463" s="1">
        <v>1.0</v>
      </c>
      <c r="B2463" s="1" t="s">
        <v>2457</v>
      </c>
      <c r="C2463" t="str">
        <f>IFERROR(__xludf.DUMMYFUNCTION("GOOGLETRANSLATE(B2463, ""zh"", ""en"")"),"Check the label to be extremely short back no watermark is not genuine")</f>
        <v>Check the label to be extremely short back no watermark is not genuine</v>
      </c>
    </row>
    <row r="2464">
      <c r="A2464" s="1">
        <v>1.0</v>
      </c>
      <c r="B2464" s="1" t="s">
        <v>2458</v>
      </c>
      <c r="C2464" t="str">
        <f>IFERROR(__xludf.DUMMYFUNCTION("GOOGLETRANSLATE(B2464, ""zh"", ""en"")"),"Poor Poor Poor very friendly shopping experience, December 8 Kusakabe single, actually to January 25 delivered. Amazon stocking your ability bad. And the purchase of goods did not express no need to wait. too poor! But the quality of the goods itself is v"&amp;"ery good, the right size.")</f>
        <v>Poor Poor Poor very friendly shopping experience, December 8 Kusakabe single, actually to January 25 delivered. Amazon stocking your ability bad. And the purchase of goods did not express no need to wait. too poor! But the quality of the goods itself is very good, the right size.</v>
      </c>
    </row>
    <row r="2465">
      <c r="A2465" s="1">
        <v>1.0</v>
      </c>
      <c r="B2465" s="1" t="s">
        <v>2459</v>
      </c>
      <c r="C2465" t="str">
        <f>IFERROR(__xludf.DUMMYFUNCTION("GOOGLETRANSLATE(B2465, ""zh"", ""en"")"),"It is not recommended to buy the hospital opened, we began to eat half a month from birth, physical examination d-dimensional content is far below the standard 42 days, the doctor said that this part of health care products, content drops capsule itself i"&amp;"s not as accurate open, combined after opening, the gradual oxidation, the content will be more low")</f>
        <v>It is not recommended to buy the hospital opened, we began to eat half a month from birth, physical examination d-dimensional content is far below the standard 42 days, the doctor said that this part of health care products, content drops capsule itself is not as accurate open, combined after opening, the gradual oxidation, the content will be more low</v>
      </c>
    </row>
    <row r="2466">
      <c r="A2466" s="1">
        <v>4.0</v>
      </c>
      <c r="B2466" s="1" t="s">
        <v>2460</v>
      </c>
      <c r="C2466" t="str">
        <f>IFERROR(__xludf.DUMMYFUNCTION("GOOGLETRANSLATE(B2466, ""zh"", ""en"")"),"Pantyhose, leggings are not pantyhose, packaging very carefully; still play ball, stick hair,")</f>
        <v>Pantyhose, leggings are not pantyhose, packaging very carefully; still play ball, stick hair,</v>
      </c>
    </row>
    <row r="2467">
      <c r="A2467" s="1">
        <v>4.0</v>
      </c>
      <c r="B2467" s="1" t="s">
        <v>2461</v>
      </c>
      <c r="C2467" t="str">
        <f>IFERROR(__xludf.DUMMYFUNCTION("GOOGLETRANSLATE(B2467, ""zh"", ""en"")"),"I have obsessive-compulsive disorder it? And online standard Beijing time after time, almost a day for a second slower, but always feel the minute slow, come to the stage position. It feels good bad mood ==!")</f>
        <v>I have obsessive-compulsive disorder it? And online standard Beijing time after time, almost a day for a second slower, but always feel the minute slow, come to the stage position. It feels good bad mood ==!</v>
      </c>
    </row>
    <row r="2468">
      <c r="A2468" s="1">
        <v>4.0</v>
      </c>
      <c r="B2468" s="1" t="s">
        <v>2462</v>
      </c>
      <c r="C2468" t="str">
        <f>IFERROR(__xludf.DUMMYFUNCTION("GOOGLETRANSLATE(B2468, ""zh"", ""en"")"),"Shoes may be too small number, buy a freshman code")</f>
        <v>Shoes may be too small number, buy a freshman code</v>
      </c>
    </row>
    <row r="2469">
      <c r="A2469" s="1">
        <v>4.0</v>
      </c>
      <c r="B2469" s="1" t="s">
        <v>2463</v>
      </c>
      <c r="C2469" t="str">
        <f>IFERROR(__xludf.DUMMYFUNCTION("GOOGLETRANSLATE(B2469, ""zh"", ""en"")"),"This difference between the waist and too far away and poor guidance, this bad service")</f>
        <v>This difference between the waist and too far away and poor guidance, this bad service</v>
      </c>
    </row>
    <row r="2470">
      <c r="A2470" s="1">
        <v>4.0</v>
      </c>
      <c r="B2470" s="1" t="s">
        <v>2464</v>
      </c>
      <c r="C2470" t="str">
        <f>IFERROR(__xludf.DUMMYFUNCTION("GOOGLETRANSLATE(B2470, ""zh"", ""en"")"),"And thin pants worn personally feel a little bit more, should be the style of this series")</f>
        <v>And thin pants worn personally feel a little bit more, should be the style of this series</v>
      </c>
    </row>
    <row r="2471">
      <c r="A2471" s="1">
        <v>5.0</v>
      </c>
      <c r="B2471" s="1" t="s">
        <v>2465</v>
      </c>
      <c r="C2471" t="str">
        <f>IFERROR(__xludf.DUMMYFUNCTION("GOOGLETRANSLATE(B2471, ""zh"", ""en"")"),"Jackets very affordable price is very high. Color is also comfortable.")</f>
        <v>Jackets very affordable price is very high. Color is also comfortable.</v>
      </c>
    </row>
    <row r="2472">
      <c r="A2472" s="1">
        <v>5.0</v>
      </c>
      <c r="B2472" s="1" t="s">
        <v>1863</v>
      </c>
      <c r="C2472" t="str">
        <f>IFERROR(__xludf.DUMMYFUNCTION("GOOGLETRANSLATE(B2472, ""zh"", ""en"")"),"It feels good soft, lightweight and comfortable warm clothing")</f>
        <v>It feels good soft, lightweight and comfortable warm clothing</v>
      </c>
    </row>
    <row r="2473">
      <c r="A2473" s="1">
        <v>5.0</v>
      </c>
      <c r="B2473" s="1" t="s">
        <v>2466</v>
      </c>
      <c r="C2473" t="str">
        <f>IFERROR(__xludf.DUMMYFUNCTION("GOOGLETRANSLATE(B2473, ""zh"", ""en"")"),"D-dimensional early than expected, that is a big box filled with pieces of exquisite heart ^ _ ^")</f>
        <v>D-dimensional early than expected, that is a big box filled with pieces of exquisite heart ^ _ ^</v>
      </c>
    </row>
    <row r="2474">
      <c r="A2474" s="1">
        <v>5.0</v>
      </c>
      <c r="B2474" s="1" t="s">
        <v>2467</v>
      </c>
      <c r="C2474" t="str">
        <f>IFERROR(__xludf.DUMMYFUNCTION("GOOGLETRANSLATE(B2474, ""zh"", ""en"")"),"Great nostalgic, wings unfold, not suitable keychain.")</f>
        <v>Great nostalgic, wings unfold, not suitable keychain.</v>
      </c>
    </row>
    <row r="2475">
      <c r="A2475" s="1">
        <v>5.0</v>
      </c>
      <c r="B2475" s="1" t="s">
        <v>2468</v>
      </c>
      <c r="C2475" t="str">
        <f>IFERROR(__xludf.DUMMYFUNCTION("GOOGLETRANSLATE(B2475, ""zh"", ""en"")"),"Baby love! How can it solve the bottle does not love the history of exclusive breastfeeding for the baby feeding bottles, baby bottles with this aspiration can still practice, very good!")</f>
        <v>Baby love! How can it solve the bottle does not love the history of exclusive breastfeeding for the baby feeding bottles, baby bottles with this aspiration can still practice, very good!</v>
      </c>
    </row>
    <row r="2476">
      <c r="A2476" s="1">
        <v>5.0</v>
      </c>
      <c r="B2476" s="1" t="s">
        <v>2469</v>
      </c>
      <c r="C2476" t="str">
        <f>IFERROR(__xludf.DUMMYFUNCTION("GOOGLETRANSLATE(B2476, ""zh"", ""en"")"),"Lightweight, insulation is also good. Lightweight, insulation is also good.")</f>
        <v>Lightweight, insulation is also good. Lightweight, insulation is also good.</v>
      </c>
    </row>
    <row r="2477">
      <c r="A2477" s="1">
        <v>5.0</v>
      </c>
      <c r="B2477" s="1" t="s">
        <v>2470</v>
      </c>
      <c r="C2477" t="str">
        <f>IFERROR(__xludf.DUMMYFUNCTION("GOOGLETRANSLATE(B2477, ""zh"", ""en"")"),"Out of cups he used, very good, bought to send students to the")</f>
        <v>Out of cups he used, very good, bought to send students to the</v>
      </c>
    </row>
    <row r="2478">
      <c r="A2478" s="1">
        <v>5.0</v>
      </c>
      <c r="B2478" s="1" t="s">
        <v>2471</v>
      </c>
      <c r="C2478" t="str">
        <f>IFERROR(__xludf.DUMMYFUNCTION("GOOGLETRANSLATE(B2478, ""zh"", ""en"")"),"Like, comfortable fabrics, soft skin-friendly than those made in China bottoming tights big lot better, put personal care bags put the washing machine no problem, no deformation from the ball.")</f>
        <v>Like, comfortable fabrics, soft skin-friendly than those made in China bottoming tights big lot better, put personal care bags put the washing machine no problem, no deformation from the ball.</v>
      </c>
    </row>
    <row r="2479">
      <c r="A2479" s="1">
        <v>5.0</v>
      </c>
      <c r="B2479" s="1" t="s">
        <v>2472</v>
      </c>
      <c r="C2479" t="str">
        <f>IFERROR(__xludf.DUMMYFUNCTION("GOOGLETRANSLATE(B2479, ""zh"", ""en"")"),"Color is particularly noticeable old, washed effect Slim style, fabric is very thick, very appropriate size, color wash effect is remarkable.")</f>
        <v>Color is particularly noticeable old, washed effect Slim style, fabric is very thick, very appropriate size, color wash effect is remarkable.</v>
      </c>
    </row>
    <row r="2480">
      <c r="A2480" s="1">
        <v>5.0</v>
      </c>
      <c r="B2480" s="1" t="s">
        <v>2473</v>
      </c>
      <c r="C2480" t="str">
        <f>IFERROR(__xludf.DUMMYFUNCTION("GOOGLETRANSLATE(B2480, ""zh"", ""en"")"),"not bad, very good!")</f>
        <v>not bad, very good!</v>
      </c>
    </row>
    <row r="2481">
      <c r="A2481" s="1">
        <v>5.0</v>
      </c>
      <c r="B2481" s="1" t="s">
        <v>2474</v>
      </c>
      <c r="C2481" t="str">
        <f>IFERROR(__xludf.DUMMYFUNCTION("GOOGLETRANSLATE(B2481, ""zh"", ""en"")"),"Calcium has begun to look forward to eating effect.")</f>
        <v>Calcium has begun to look forward to eating effect.</v>
      </c>
    </row>
    <row r="2482">
      <c r="A2482" s="1">
        <v>5.0</v>
      </c>
      <c r="B2482" s="1" t="s">
        <v>2475</v>
      </c>
      <c r="C2482" t="str">
        <f>IFERROR(__xludf.DUMMYFUNCTION("GOOGLETRANSLATE(B2482, ""zh"", ""en"")"),"Very nice headphones sound very good Panasonic brand really not the same unlike some headphones sound leakage Yen value this fully meet the quality requirements and give you like to")</f>
        <v>Very nice headphones sound very good Panasonic brand really not the same unlike some headphones sound leakage Yen value this fully meet the quality requirements and give you like to</v>
      </c>
    </row>
    <row r="2483">
      <c r="A2483" s="1">
        <v>5.0</v>
      </c>
      <c r="B2483" s="1" t="s">
        <v>2476</v>
      </c>
      <c r="C2483" t="str">
        <f>IFERROR(__xludf.DUMMYFUNCTION("GOOGLETRANSLATE(B2483, ""zh"", ""en"")"),"Easy to use to buy his father's home, before with other results to hurt the mouth, changed this relatively easy to use.")</f>
        <v>Easy to use to buy his father's home, before with other results to hurt the mouth, changed this relatively easy to use.</v>
      </c>
    </row>
    <row r="2484">
      <c r="A2484" s="1">
        <v>5.0</v>
      </c>
      <c r="B2484" s="1" t="s">
        <v>2477</v>
      </c>
      <c r="C2484" t="str">
        <f>IFERROR(__xludf.DUMMYFUNCTION("GOOGLETRANSLATE(B2484, ""zh"", ""en"")"),"Not bad")</f>
        <v>Not bad</v>
      </c>
    </row>
    <row r="2485">
      <c r="A2485" s="1">
        <v>5.0</v>
      </c>
      <c r="B2485" s="1" t="s">
        <v>2478</v>
      </c>
      <c r="C2485" t="str">
        <f>IFERROR(__xludf.DUMMYFUNCTION("GOOGLETRANSLATE(B2485, ""zh"", ""en"")"),"Personally feel is worth buying cheap, worth recommending.")</f>
        <v>Personally feel is worth buying cheap, worth recommending.</v>
      </c>
    </row>
    <row r="2486">
      <c r="A2486" s="1">
        <v>5.0</v>
      </c>
      <c r="B2486" s="1" t="s">
        <v>2479</v>
      </c>
      <c r="C2486" t="str">
        <f>IFERROR(__xludf.DUMMYFUNCTION("GOOGLETRANSLATE(B2486, ""zh"", ""en"")"),"Yes toothbrush head toothbrush head very cost-effective, easy to use this")</f>
        <v>Yes toothbrush head toothbrush head very cost-effective, easy to use this</v>
      </c>
    </row>
    <row r="2487">
      <c r="A2487" s="1">
        <v>5.0</v>
      </c>
      <c r="B2487" s="1" t="s">
        <v>2480</v>
      </c>
      <c r="C2487" t="str">
        <f>IFERROR(__xludf.DUMMYFUNCTION("GOOGLETRANSLATE(B2487, ""zh"", ""en"")"),"Very practical to go out very easy to use, practical")</f>
        <v>Very practical to go out very easy to use, practical</v>
      </c>
    </row>
    <row r="2488">
      <c r="A2488" s="1">
        <v>5.0</v>
      </c>
      <c r="B2488" s="1" t="s">
        <v>2481</v>
      </c>
      <c r="C2488" t="str">
        <f>IFERROR(__xludf.DUMMYFUNCTION("GOOGLETRANSLATE(B2488, ""zh"", ""en"")"),"Both the appearance really recommended read and write speeds, are very like; belonging appearance is very mature, domineering side leakage. In the read and write speed is also good, really recommend")</f>
        <v>Both the appearance really recommended read and write speeds, are very like; belonging appearance is very mature, domineering side leakage. In the read and write speed is also good, really recommend</v>
      </c>
    </row>
    <row r="2489">
      <c r="A2489" s="1">
        <v>5.0</v>
      </c>
      <c r="B2489" s="1" t="s">
        <v>2482</v>
      </c>
      <c r="C2489" t="str">
        <f>IFERROR(__xludf.DUMMYFUNCTION("GOOGLETRANSLATE(B2489, ""zh"", ""en"")"),"Comfortable to wear lighter than the previous dt440 a lot, very comfortable, with no long chuck, 3 noodle, Germany.")</f>
        <v>Comfortable to wear lighter than the previous dt440 a lot, very comfortable, with no long chuck, 3 noodle, Germany.</v>
      </c>
    </row>
    <row r="2490">
      <c r="A2490" s="1">
        <v>5.0</v>
      </c>
      <c r="B2490" s="1" t="s">
        <v>2483</v>
      </c>
      <c r="C2490" t="str">
        <f>IFERROR(__xludf.DUMMYFUNCTION("GOOGLETRANSLATE(B2490, ""zh"", ""en"")"),"very light! Super comfortable! Super comfortable, my son loved!")</f>
        <v>very light! Super comfortable! Super comfortable, my son loved!</v>
      </c>
    </row>
    <row r="2491">
      <c r="A2491" s="1">
        <v>5.0</v>
      </c>
      <c r="B2491" s="1" t="s">
        <v>2484</v>
      </c>
      <c r="C2491" t="str">
        <f>IFERROR(__xludf.DUMMYFUNCTION("GOOGLETRANSLATE(B2491, ""zh"", ""en"")"),"Great value, has been the appearance of self-reliance Amazon is very good, still burn in")</f>
        <v>Great value, has been the appearance of self-reliance Amazon is very good, still burn in</v>
      </c>
    </row>
    <row r="2492">
      <c r="A2492" s="1">
        <v>5.0</v>
      </c>
      <c r="B2492" s="1" t="s">
        <v>2485</v>
      </c>
      <c r="C2492" t="str">
        <f>IFERROR(__xludf.DUMMYFUNCTION("GOOGLETRANSLATE(B2492, ""zh"", ""en"")"),"Large capacity not know the reason is because 8T, but this series are like this, which is much slower than backup plus 5T, but wins in the cheap, used for data disk is very good.")</f>
        <v>Large capacity not know the reason is because 8T, but this series are like this, which is much slower than backup plus 5T, but wins in the cheap, used for data disk is very good.</v>
      </c>
    </row>
    <row r="2493">
      <c r="A2493" s="1">
        <v>2.0</v>
      </c>
      <c r="B2493" s="1" t="s">
        <v>2486</v>
      </c>
      <c r="C2493" t="str">
        <f>IFERROR(__xludf.DUMMYFUNCTION("GOOGLETRANSLATE(B2493, ""zh"", ""en"")"),"Not ideal difficult to use, it does not take less than a month")</f>
        <v>Not ideal difficult to use, it does not take less than a month</v>
      </c>
    </row>
    <row r="2494">
      <c r="A2494" s="1">
        <v>3.0</v>
      </c>
      <c r="B2494" s="1" t="s">
        <v>2487</v>
      </c>
      <c r="C2494" t="str">
        <f>IFERROR(__xludf.DUMMYFUNCTION("GOOGLETRANSLATE(B2494, ""zh"", ""en"")"),"Origin said that the Japanese original? Think that Japanese production is made in China ..")</f>
        <v>Origin said that the Japanese original? Think that Japanese production is made in China ..</v>
      </c>
    </row>
    <row r="2495">
      <c r="A2495" s="1">
        <v>3.0</v>
      </c>
      <c r="B2495" s="1" t="s">
        <v>2488</v>
      </c>
      <c r="C2495" t="str">
        <f>IFERROR(__xludf.DUMMYFUNCTION("GOOGLETRANSLATE(B2495, ""zh"", ""en"")"),"Size Size Chart bad bad. Due to the size marked incorrect cause received shoes go very hard, foot pain was packed, and finally had to give to others. However, the quality of shoes is not bad.")</f>
        <v>Size Size Chart bad bad. Due to the size marked incorrect cause received shoes go very hard, foot pain was packed, and finally had to give to others. However, the quality of shoes is not bad.</v>
      </c>
    </row>
    <row r="2496">
      <c r="A2496" s="1">
        <v>1.0</v>
      </c>
      <c r="B2496" s="1" t="s">
        <v>2489</v>
      </c>
      <c r="C2496" t="str">
        <f>IFERROR(__xludf.DUMMYFUNCTION("GOOGLETRANSLATE(B2496, ""zh"", ""en"")"),"Return shipping is too expensive too big, especially fat. 200 pounds wearing a good fertilizer. 125 return shipping is too expensive, pants on freight 137 125 which is too expensive, can not accept.")</f>
        <v>Return shipping is too expensive too big, especially fat. 200 pounds wearing a good fertilizer. 125 return shipping is too expensive, pants on freight 137 125 which is too expensive, can not accept.</v>
      </c>
    </row>
    <row r="2497">
      <c r="A2497" s="1">
        <v>1.0</v>
      </c>
      <c r="B2497" s="1" t="s">
        <v>2490</v>
      </c>
      <c r="C2497" t="str">
        <f>IFERROR(__xludf.DUMMYFUNCTION("GOOGLETRANSLATE(B2497, ""zh"", ""en"")"),"Melting into a large do not know what to say! 190 said yes, when the results received is a piece that I like a long time did not understand how it was. Considering the return too much trouble, direct throw away")</f>
        <v>Melting into a large do not know what to say! 190 said yes, when the results received is a piece that I like a long time did not understand how it was. Considering the return too much trouble, direct throw away</v>
      </c>
    </row>
    <row r="2498">
      <c r="A2498" s="1">
        <v>1.0</v>
      </c>
      <c r="B2498" s="1" t="s">
        <v>2491</v>
      </c>
      <c r="C2498" t="str">
        <f>IFERROR(__xludf.DUMMYFUNCTION("GOOGLETRANSLATE(B2498, ""zh"", ""en"")"),"Oh the kind with pictures of goods not as good? English words are black")</f>
        <v>Oh the kind with pictures of goods not as good? English words are black</v>
      </c>
    </row>
    <row r="2499">
      <c r="A2499" s="1">
        <v>4.0</v>
      </c>
      <c r="B2499" s="1" t="s">
        <v>2492</v>
      </c>
      <c r="C2499" t="str">
        <f>IFERROR(__xludf.DUMMYFUNCTION("GOOGLETRANSLATE(B2499, ""zh"", ""en"")"),"Very good feel good, the right size, 171cm, 72kg")</f>
        <v>Very good feel good, the right size, 171cm, 72kg</v>
      </c>
    </row>
    <row r="2500">
      <c r="A2500" s="1">
        <v>4.0</v>
      </c>
      <c r="B2500" s="1" t="s">
        <v>2493</v>
      </c>
      <c r="C2500" t="str">
        <f>IFERROR(__xludf.DUMMYFUNCTION("GOOGLETRANSLATE(B2500, ""zh"", ""en"")"),"After running smoothly, easily, hope to long-term use. In addition to the identification and obviously the others are good, just started a little awkward, a little light ink, then after a period of running more smoothly; F sharp easier than you think care"&amp;"fully, very satisfied. The main purpose of it is to buy quality and reliable classmate recommended, would like to spend a long time some of it. Thirty-four days without water can sum, but comes with the bag feel lighter in color ink, the ink still buy the"&amp;"ir own use.")</f>
        <v>After running smoothly, easily, hope to long-term use. In addition to the identification and obviously the others are good, just started a little awkward, a little light ink, then after a period of running more smoothly; F sharp easier than you think carefully, very satisfied. The main purpose of it is to buy quality and reliable classmate recommended, would like to spend a long time some of it. Thirty-four days without water can sum, but comes with the bag feel lighter in color ink, the ink still buy their own use.</v>
      </c>
    </row>
    <row r="2501">
      <c r="A2501" s="1">
        <v>4.0</v>
      </c>
      <c r="B2501" s="1" t="s">
        <v>2494</v>
      </c>
      <c r="C2501" t="str">
        <f>IFERROR(__xludf.DUMMYFUNCTION("GOOGLETRANSLATE(B2501, ""zh"", ""en"")"),"No six trial installation ah received the goods, the box did not seal, I do not know whom six are taken away, this is definitely a problem ah")</f>
        <v>No six trial installation ah received the goods, the box did not seal, I do not know whom six are taken away, this is definitely a problem ah</v>
      </c>
    </row>
    <row r="2502">
      <c r="A2502" s="1">
        <v>4.0</v>
      </c>
      <c r="B2502" s="1" t="s">
        <v>2495</v>
      </c>
      <c r="C2502" t="str">
        <f>IFERROR(__xludf.DUMMYFUNCTION("GOOGLETRANSLATE(B2502, ""zh"", ""en"")"),"Quality can be quality can be, I wonder why you want to install two, in fact, it is enough to use a")</f>
        <v>Quality can be quality can be, I wonder why you want to install two, in fact, it is enough to use a</v>
      </c>
    </row>
    <row r="2503">
      <c r="A2503" s="1">
        <v>4.0</v>
      </c>
      <c r="B2503" s="1" t="s">
        <v>2496</v>
      </c>
      <c r="C2503" t="str">
        <f>IFERROR(__xludf.DUMMYFUNCTION("GOOGLETRANSLATE(B2503, ""zh"", ""en"")"),"Like love, comfortable and breathable. After continuing to patronize.")</f>
        <v>Like love, comfortable and breathable. After continuing to patronize.</v>
      </c>
    </row>
    <row r="2504">
      <c r="A2504" s="1">
        <v>5.0</v>
      </c>
      <c r="B2504" s="1" t="s">
        <v>2497</v>
      </c>
      <c r="C2504" t="str">
        <f>IFERROR(__xludf.DUMMYFUNCTION("GOOGLETRANSLATE(B2504, ""zh"", ""en"")"),"Consider how to use the quality of the heart and then to pursue evaluation of good quality, very much.")</f>
        <v>Consider how to use the quality of the heart and then to pursue evaluation of good quality, very much.</v>
      </c>
    </row>
    <row r="2505">
      <c r="A2505" s="1">
        <v>5.0</v>
      </c>
      <c r="B2505" s="1" t="s">
        <v>2498</v>
      </c>
      <c r="C2505" t="str">
        <f>IFERROR(__xludf.DUMMYFUNCTION("GOOGLETRANSLATE(B2505, ""zh"", ""en"")"),"Easy to use, cost-effective very good, fast, cost-effective")</f>
        <v>Easy to use, cost-effective very good, fast, cost-effective</v>
      </c>
    </row>
    <row r="2506">
      <c r="A2506" s="1">
        <v>5.0</v>
      </c>
      <c r="B2506" s="1" t="s">
        <v>2499</v>
      </c>
      <c r="C2506" t="str">
        <f>IFERROR(__xludf.DUMMYFUNCTION("GOOGLETRANSLATE(B2506, ""zh"", ""en"")"),"Dial larger nice, it is a little big.")</f>
        <v>Dial larger nice, it is a little big.</v>
      </c>
    </row>
    <row r="2507">
      <c r="A2507" s="1">
        <v>5.0</v>
      </c>
      <c r="B2507" s="1" t="s">
        <v>2500</v>
      </c>
      <c r="C2507" t="str">
        <f>IFERROR(__xludf.DUMMYFUNCTION("GOOGLETRANSLATE(B2507, ""zh"", ""en"")"),"Pretty good system in a given time frame is received, and eat the")</f>
        <v>Pretty good system in a given time frame is received, and eat the</v>
      </c>
    </row>
    <row r="2508">
      <c r="A2508" s="1">
        <v>5.0</v>
      </c>
      <c r="B2508" s="1" t="s">
        <v>2501</v>
      </c>
      <c r="C2508" t="str">
        <f>IFERROR(__xludf.DUMMYFUNCTION("GOOGLETRANSLATE(B2508, ""zh"", ""en"")"),"Cost-effective prefer, just SHORT length.")</f>
        <v>Cost-effective prefer, just SHORT length.</v>
      </c>
    </row>
    <row r="2509">
      <c r="A2509" s="1">
        <v>5.0</v>
      </c>
      <c r="B2509" s="1" t="s">
        <v>2502</v>
      </c>
      <c r="C2509" t="str">
        <f>IFERROR(__xludf.DUMMYFUNCTION("GOOGLETRANSLATE(B2509, ""zh"", ""en"")"),"Code is very positive, very, very suitable for 39, usually 39 yards, before the tangle for a long time, watching the various comments, and finally bought the rhubarb is very fit, not cold Beijing winter wear.")</f>
        <v>Code is very positive, very, very suitable for 39, usually 39 yards, before the tangle for a long time, watching the various comments, and finally bought the rhubarb is very fit, not cold Beijing winter wear.</v>
      </c>
    </row>
    <row r="2510">
      <c r="A2510" s="1">
        <v>5.0</v>
      </c>
      <c r="B2510" s="1" t="s">
        <v>2503</v>
      </c>
      <c r="C2510" t="str">
        <f>IFERROR(__xludf.DUMMYFUNCTION("GOOGLETRANSLATE(B2510, ""zh"", ""en"")"),"Wonderful laces can also be very good, lace is not easy to use! The master of giving birth to the age, ZHANG, LIU Wen, Huang Kan, Fu, Zhou Zuoren, Liang Shih-chiu Hu, Qian Xuan Tong ... though not Zhixin yearning!")</f>
        <v>Wonderful laces can also be very good, lace is not easy to use! The master of giving birth to the age, ZHANG, LIU Wen, Huang Kan, Fu, Zhou Zuoren, Liang Shih-chiu Hu, Qian Xuan Tong ... though not Zhixin yearning!</v>
      </c>
    </row>
    <row r="2511">
      <c r="A2511" s="1">
        <v>5.0</v>
      </c>
      <c r="B2511" s="1" t="s">
        <v>2504</v>
      </c>
      <c r="C2511" t="str">
        <f>IFERROR(__xludf.DUMMYFUNCTION("GOOGLETRANSLATE(B2511, ""zh"", ""en"")"),"Amazon Price beautiful multi-angle brush the price of the most beautiful places, buy a tube for two years, electric toothbrush body is estimated to be barely holding on.")</f>
        <v>Amazon Price beautiful multi-angle brush the price of the most beautiful places, buy a tube for two years, electric toothbrush body is estimated to be barely holding on.</v>
      </c>
    </row>
    <row r="2512">
      <c r="A2512" s="1">
        <v>5.0</v>
      </c>
      <c r="B2512" s="1" t="s">
        <v>2505</v>
      </c>
      <c r="C2512" t="str">
        <f>IFERROR(__xludf.DUMMYFUNCTION("GOOGLETRANSLATE(B2512, ""zh"", ""en"")"),"Cute cute deer tableware tableware, fork it is suitable for your baby to eat fruit")</f>
        <v>Cute cute deer tableware tableware, fork it is suitable for your baby to eat fruit</v>
      </c>
    </row>
    <row r="2513">
      <c r="A2513" s="1">
        <v>5.0</v>
      </c>
      <c r="B2513" s="1" t="s">
        <v>2506</v>
      </c>
      <c r="C2513" t="str">
        <f>IFERROR(__xludf.DUMMYFUNCTION("GOOGLETRANSLATE(B2513, ""zh"", ""en"")"),"Good quality, worth buying! Good quality, worth buying! Wearing two years without deformation")</f>
        <v>Good quality, worth buying! Good quality, worth buying! Wearing two years without deformation</v>
      </c>
    </row>
    <row r="2514">
      <c r="A2514" s="1">
        <v>5.0</v>
      </c>
      <c r="B2514" s="1" t="s">
        <v>2507</v>
      </c>
      <c r="C2514" t="str">
        <f>IFERROR(__xludf.DUMMYFUNCTION("GOOGLETRANSLATE(B2514, ""zh"", ""en"")"),"Quality 👌 Express ultra-fast, and the bowl was the color and texture are very good, the children liked, you can use it to practice after dinner.")</f>
        <v>Quality 👌 Express ultra-fast, and the bowl was the color and texture are very good, the children liked, you can use it to practice after dinner.</v>
      </c>
    </row>
    <row r="2515">
      <c r="A2515" s="1">
        <v>5.0</v>
      </c>
      <c r="B2515" s="1" t="s">
        <v>2508</v>
      </c>
      <c r="C2515" t="str">
        <f>IFERROR(__xludf.DUMMYFUNCTION("GOOGLETRANSLATE(B2515, ""zh"", ""en"")"),"Very good movement, cup too large, bought a small one yard")</f>
        <v>Very good movement, cup too large, bought a small one yard</v>
      </c>
    </row>
    <row r="2516">
      <c r="A2516" s="1">
        <v>5.0</v>
      </c>
      <c r="B2516" s="1" t="s">
        <v>2509</v>
      </c>
      <c r="C2516" t="str">
        <f>IFERROR(__xludf.DUMMYFUNCTION("GOOGLETRANSLATE(B2516, ""zh"", ""en"")"),"Can also, pants 30, just this 80CM")</f>
        <v>Can also, pants 30, just this 80CM</v>
      </c>
    </row>
    <row r="2517">
      <c r="A2517" s="1">
        <v>5.0</v>
      </c>
      <c r="B2517" s="1" t="s">
        <v>2510</v>
      </c>
      <c r="C2517" t="str">
        <f>IFERROR(__xludf.DUMMYFUNCTION("GOOGLETRANSLATE(B2517, ""zh"", ""en"")"),"Comfortable and soft, and the comforts expected")</f>
        <v>Comfortable and soft, and the comforts expected</v>
      </c>
    </row>
    <row r="2518">
      <c r="A2518" s="1">
        <v>5.0</v>
      </c>
      <c r="B2518" s="1" t="s">
        <v>2511</v>
      </c>
      <c r="C2518" t="str">
        <f>IFERROR(__xludf.DUMMYFUNCTION("GOOGLETRANSLATE(B2518, ""zh"", ""en"")"),"Very good to protect the heart, concentrating convenience")</f>
        <v>Very good to protect the heart, concentrating convenience</v>
      </c>
    </row>
    <row r="2519">
      <c r="A2519" s="1">
        <v>5.0</v>
      </c>
      <c r="B2519" s="1" t="s">
        <v>2512</v>
      </c>
      <c r="C2519" t="str">
        <f>IFERROR(__xludf.DUMMYFUNCTION("GOOGLETRANSLATE(B2519, ""zh"", ""en"")"),"Japan has not licensed use, store goods in. Maternal and child domestic store Pigeon bottle, the bottom of the display is also made in Japan")</f>
        <v>Japan has not licensed use, store goods in. Maternal and child domestic store Pigeon bottle, the bottom of the display is also made in Japan</v>
      </c>
    </row>
    <row r="2520">
      <c r="A2520" s="1">
        <v>5.0</v>
      </c>
      <c r="B2520" s="1" t="s">
        <v>2513</v>
      </c>
      <c r="C2520" t="str">
        <f>IFERROR(__xludf.DUMMYFUNCTION("GOOGLETRANSLATE(B2520, ""zh"", ""en"")"),"SGW100 very nice, fancy compass function, color is also very nice.")</f>
        <v>SGW100 very nice, fancy compass function, color is also very nice.</v>
      </c>
    </row>
    <row r="2521">
      <c r="A2521" s="1">
        <v>5.0</v>
      </c>
      <c r="B2521" s="1" t="s">
        <v>2514</v>
      </c>
      <c r="C2521" t="str">
        <f>IFERROR(__xludf.DUMMYFUNCTION("GOOGLETRANSLATE(B2521, ""zh"", ""en"")"),"Pubic pain began to ease in the third trimester, well, a little ease pubic pain, or else walking is difficult, and persist in using should be good, given birth to continue to use, good quality ...............")</f>
        <v>Pubic pain began to ease in the third trimester, well, a little ease pubic pain, or else walking is difficult, and persist in using should be good, given birth to continue to use, good quality ...............</v>
      </c>
    </row>
    <row r="2522">
      <c r="A2522" s="1">
        <v>5.0</v>
      </c>
      <c r="B2522" s="1" t="s">
        <v>2515</v>
      </c>
      <c r="C2522" t="str">
        <f>IFERROR(__xludf.DUMMYFUNCTION("GOOGLETRANSLATE(B2522, ""zh"", ""en"")"),"Favorite brand very comfortable to wear ......")</f>
        <v>Favorite brand very comfortable to wear ......</v>
      </c>
    </row>
    <row r="2523">
      <c r="A2523" s="1">
        <v>5.0</v>
      </c>
      <c r="B2523" s="1" t="s">
        <v>2516</v>
      </c>
      <c r="C2523" t="str">
        <f>IFERROR(__xludf.DUMMYFUNCTION("GOOGLETRANSLATE(B2523, ""zh"", ""en"")"),"Cheap though a little big, but cheap ah")</f>
        <v>Cheap though a little big, but cheap ah</v>
      </c>
    </row>
    <row r="2524">
      <c r="A2524" s="1">
        <v>5.0</v>
      </c>
      <c r="B2524" s="1" t="s">
        <v>2517</v>
      </c>
      <c r="C2524" t="str">
        <f>IFERROR(__xludf.DUMMYFUNCTION("GOOGLETRANSLATE(B2524, ""zh"", ""en"")"),"Easy to Gorgon barley red bean stew to warm water for a few hours ~ ~ ~ ~ ~ ~ good ~ ~ first")</f>
        <v>Easy to Gorgon barley red bean stew to warm water for a few hours ~ ~ ~ ~ ~ ~ good ~ ~ first</v>
      </c>
    </row>
    <row r="2525">
      <c r="A2525" s="1">
        <v>2.0</v>
      </c>
      <c r="B2525" s="1" t="s">
        <v>2518</v>
      </c>
      <c r="C2525" t="str">
        <f>IFERROR(__xludf.DUMMYFUNCTION("GOOGLETRANSLATE(B2525, ""zh"", ""en"")"),"Pants pants bad is not good, not good upper body")</f>
        <v>Pants pants bad is not good, not good upper body</v>
      </c>
    </row>
    <row r="2526">
      <c r="A2526" s="1">
        <v>3.0</v>
      </c>
      <c r="B2526" s="1" t="s">
        <v>2519</v>
      </c>
      <c r="C2526" t="str">
        <f>IFERROR(__xludf.DUMMYFUNCTION("GOOGLETRANSLATE(B2526, ""zh"", ""en"")"),"No bright spots, there is no special law-abiding trough point, there is no bright spots, mainly due to the time to buy big bread is a front end is iphone, Direct Push headphones can not several, once hesitant to burn IE800, but he will not feel and spend "&amp;"more money on the front end of the amp, buy cheap chose to listen to the big bread 2")</f>
        <v>No bright spots, there is no special law-abiding trough point, there is no bright spots, mainly due to the time to buy big bread is a front end is iphone, Direct Push headphones can not several, once hesitant to burn IE800, but he will not feel and spend more money on the front end of the amp, buy cheap chose to listen to the big bread 2</v>
      </c>
    </row>
    <row r="2527">
      <c r="A2527" s="1">
        <v>3.0</v>
      </c>
      <c r="B2527" s="1" t="s">
        <v>2520</v>
      </c>
      <c r="C2527" t="str">
        <f>IFERROR(__xludf.DUMMYFUNCTION("GOOGLETRANSLATE(B2527, ""zh"", ""en"")"),"Size small size too small, can not wear, give as gifts")</f>
        <v>Size small size too small, can not wear, give as gifts</v>
      </c>
    </row>
    <row r="2528">
      <c r="A2528" s="1">
        <v>3.0</v>
      </c>
      <c r="B2528" s="1" t="s">
        <v>2521</v>
      </c>
      <c r="C2528" t="str">
        <f>IFERROR(__xludf.DUMMYFUNCTION("GOOGLETRANSLATE(B2528, ""zh"", ""en"")"),"This should be a waterproof cloth so hard to do and not feel like cotton canvas tarps do this should be so hard to feel like a canvas rather than cotton")</f>
        <v>This should be a waterproof cloth so hard to do and not feel like cotton canvas tarps do this should be so hard to feel like a canvas rather than cotton</v>
      </c>
    </row>
    <row r="2529">
      <c r="A2529" s="1">
        <v>1.0</v>
      </c>
      <c r="B2529" s="1" t="s">
        <v>2522</v>
      </c>
      <c r="C2529" t="str">
        <f>IFERROR(__xludf.DUMMYFUNCTION("GOOGLETRANSLATE(B2529, ""zh"", ""en"")"),"Six months on the bad use of less than six months to file damage was also told to call customers overseas shopping can not repair poor user experience since I will not use the purchased overseas do not have any guarantee.")</f>
        <v>Six months on the bad use of less than six months to file damage was also told to call customers overseas shopping can not repair poor user experience since I will not use the purchased overseas do not have any guarantee.</v>
      </c>
    </row>
    <row r="2530">
      <c r="A2530" s="1">
        <v>1.0</v>
      </c>
      <c r="B2530" s="1" t="s">
        <v>2523</v>
      </c>
      <c r="C2530" t="str">
        <f>IFERROR(__xludf.DUMMYFUNCTION("GOOGLETRANSLATE(B2530, ""zh"", ""en"")"),"Roadside goods, poor texture quality is poor, do not buy")</f>
        <v>Roadside goods, poor texture quality is poor, do not buy</v>
      </c>
    </row>
    <row r="2531">
      <c r="A2531" s="1">
        <v>4.0</v>
      </c>
      <c r="B2531" s="1" t="s">
        <v>2524</v>
      </c>
      <c r="C2531" t="str">
        <f>IFERROR(__xludf.DUMMYFUNCTION("GOOGLETRANSLATE(B2531, ""zh"", ""en"")"),"Bad clothes a little longer, to cover almost the middle of the thigh, general comfort, a sense of color a little old")</f>
        <v>Bad clothes a little longer, to cover almost the middle of the thigh, general comfort, a sense of color a little old</v>
      </c>
    </row>
    <row r="2532">
      <c r="A2532" s="1">
        <v>4.0</v>
      </c>
      <c r="B2532" s="1" t="s">
        <v>2525</v>
      </c>
      <c r="C2532" t="str">
        <f>IFERROR(__xludf.DUMMYFUNCTION("GOOGLETRANSLATE(B2532, ""zh"", ""en"")"),"BEEWAX color, larger than even ORIGINALS sent a box are not, ask customer service also dropped. . ORIGINALS larger than the bottom harder, not insoles. . Relatively affordable.")</f>
        <v>BEEWAX color, larger than even ORIGINALS sent a box are not, ask customer service also dropped. . ORIGINALS larger than the bottom harder, not insoles. . Relatively affordable.</v>
      </c>
    </row>
    <row r="2533">
      <c r="A2533" s="1">
        <v>4.0</v>
      </c>
      <c r="B2533" s="1" t="s">
        <v>2526</v>
      </c>
      <c r="C2533" t="str">
        <f>IFERROR(__xludf.DUMMYFUNCTION("GOOGLETRANSLATE(B2533, ""zh"", ""en"")"),"The sound quality can be, but not with the quality of a speaker playing an abnormal year and a half, people sound very small amount, now do not know where to repair, on Amazon's Web site could not find the customer service link, strange")</f>
        <v>The sound quality can be, but not with the quality of a speaker playing an abnormal year and a half, people sound very small amount, now do not know where to repair, on Amazon's Web site could not find the customer service link, strange</v>
      </c>
    </row>
    <row r="2534">
      <c r="A2534" s="1">
        <v>4.0</v>
      </c>
      <c r="B2534" s="1" t="s">
        <v>2527</v>
      </c>
      <c r="C2534" t="str">
        <f>IFERROR(__xludf.DUMMYFUNCTION("GOOGLETRANSLATE(B2534, ""zh"", ""en"")"),"Also did not buy before good Lai Sikang independent power supply switch switch will change the sonic boom would like this a lot better but like castration 4pre some features Amazon did not release the price is not bad mouth lightning")</f>
        <v>Also did not buy before good Lai Sikang independent power supply switch switch will change the sonic boom would like this a lot better but like castration 4pre some features Amazon did not release the price is not bad mouth lightning</v>
      </c>
    </row>
    <row r="2535">
      <c r="A2535" s="1">
        <v>5.0</v>
      </c>
      <c r="B2535" s="1" t="s">
        <v>2528</v>
      </c>
      <c r="C2535" t="str">
        <f>IFERROR(__xludf.DUMMYFUNCTION("GOOGLETRANSLATE(B2535, ""zh"", ""en"")"),"Shoes appropriate, color is color is very positive, usually buy domestic shoe size 40, this time to buy 8.5 yards, very appropriate, parcels received well, continue to buy shoes in the Amazon, it is suitable for us this Bigfoot.")</f>
        <v>Shoes appropriate, color is color is very positive, usually buy domestic shoe size 40, this time to buy 8.5 yards, very appropriate, parcels received well, continue to buy shoes in the Amazon, it is suitable for us this Bigfoot.</v>
      </c>
    </row>
    <row r="2536">
      <c r="A2536" s="1">
        <v>5.0</v>
      </c>
      <c r="B2536" s="1" t="s">
        <v>2529</v>
      </c>
      <c r="C2536" t="str">
        <f>IFERROR(__xludf.DUMMYFUNCTION("GOOGLETRANSLATE(B2536, ""zh"", ""en"")"),"Really good quality have been wearing CK underwear no sense of restraint")</f>
        <v>Really good quality have been wearing CK underwear no sense of restraint</v>
      </c>
    </row>
    <row r="2537">
      <c r="A2537" s="1">
        <v>5.0</v>
      </c>
      <c r="B2537" s="1" t="s">
        <v>2530</v>
      </c>
      <c r="C2537" t="str">
        <f>IFERROR(__xludf.DUMMYFUNCTION("GOOGLETRANSLATE(B2537, ""zh"", ""en"")"),"Sound quality than expected after some time spent is a qualitative change, high school bass and everything was balanced. Far more than I expected.")</f>
        <v>Sound quality than expected after some time spent is a qualitative change, high school bass and everything was balanced. Far more than I expected.</v>
      </c>
    </row>
    <row r="2538">
      <c r="A2538" s="1">
        <v>5.0</v>
      </c>
      <c r="B2538" s="1" t="s">
        <v>2531</v>
      </c>
      <c r="C2538" t="str">
        <f>IFERROR(__xludf.DUMMYFUNCTION("GOOGLETRANSLATE(B2538, ""zh"", ""en"")"),"Needless to say nice warm waterproof. Super-praise, at least inside waterproof shoes best shoes relatively heavy, leather is very hard, internal sutures have done waterproofing measures soles soft, there will come a stone on the ground concavity, however,"&amp;" precisely because of this practice, this sports shoes very convenient and comfortable foot hard, run off a variety of squatting is not a problem. Packaging is also very atmospheric. The last 5 minutes.")</f>
        <v>Needless to say nice warm waterproof. Super-praise, at least inside waterproof shoes best shoes relatively heavy, leather is very hard, internal sutures have done waterproofing measures soles soft, there will come a stone on the ground concavity, however, precisely because of this practice, this sports shoes very convenient and comfortable foot hard, run off a variety of squatting is not a problem. Packaging is also very atmospheric. The last 5 minutes.</v>
      </c>
    </row>
    <row r="2539">
      <c r="A2539" s="1">
        <v>5.0</v>
      </c>
      <c r="B2539" s="1" t="s">
        <v>2532</v>
      </c>
      <c r="C2539" t="str">
        <f>IFERROR(__xludf.DUMMYFUNCTION("GOOGLETRANSLATE(B2539, ""zh"", ""en"")"),"The same size, not thin shoes, very good! Ecco shoes and the same size, do not buy a bigger size. Very satisfied")</f>
        <v>The same size, not thin shoes, very good! Ecco shoes and the same size, do not buy a bigger size. Very satisfied</v>
      </c>
    </row>
    <row r="2540">
      <c r="A2540" s="1">
        <v>5.0</v>
      </c>
      <c r="B2540" s="1" t="s">
        <v>2533</v>
      </c>
      <c r="C2540" t="str">
        <f>IFERROR(__xludf.DUMMYFUNCTION("GOOGLETRANSLATE(B2540, ""zh"", ""en"")"),"Good merchant shipping soon, under a single afternoon to the next morning, good packaging, the product is genuine.")</f>
        <v>Good merchant shipping soon, under a single afternoon to the next morning, good packaging, the product is genuine.</v>
      </c>
    </row>
    <row r="2541">
      <c r="A2541" s="1">
        <v>5.0</v>
      </c>
      <c r="B2541" s="1" t="s">
        <v>2534</v>
      </c>
      <c r="C2541" t="str">
        <f>IFERROR(__xludf.DUMMYFUNCTION("GOOGLETRANSLATE(B2541, ""zh"", ""en"")"),"The full range of various colors for various types of pens.")</f>
        <v>The full range of various colors for various types of pens.</v>
      </c>
    </row>
    <row r="2542">
      <c r="A2542" s="1">
        <v>5.0</v>
      </c>
      <c r="B2542" s="1" t="s">
        <v>2535</v>
      </c>
      <c r="C2542" t="str">
        <f>IFERROR(__xludf.DUMMYFUNCTION("GOOGLETRANSLATE(B2542, ""zh"", ""en"")"),"Pretty good watch good, that is a bit small, my wrist thick.")</f>
        <v>Pretty good watch good, that is a bit small, my wrist thick.</v>
      </c>
    </row>
    <row r="2543">
      <c r="A2543" s="1">
        <v>5.0</v>
      </c>
      <c r="B2543" s="1" t="s">
        <v>2536</v>
      </c>
      <c r="C2543" t="str">
        <f>IFERROR(__xludf.DUMMYFUNCTION("GOOGLETRANSLATE(B2543, ""zh"", ""en"")"),"Comfortable, good thermal performance, size fit. Comfortable, good thermal performance, size fit.")</f>
        <v>Comfortable, good thermal performance, size fit. Comfortable, good thermal performance, size fit.</v>
      </c>
    </row>
    <row r="2544">
      <c r="A2544" s="1">
        <v>5.0</v>
      </c>
      <c r="B2544" s="1" t="s">
        <v>2537</v>
      </c>
      <c r="C2544" t="str">
        <f>IFERROR(__xludf.DUMMYFUNCTION("GOOGLETRANSLATE(B2544, ""zh"", ""en"")"),"Goods worth having received it, I liked it, very comfortable with them, scraping clean, worth buying!")</f>
        <v>Goods worth having received it, I liked it, very comfortable with them, scraping clean, worth buying!</v>
      </c>
    </row>
    <row r="2545">
      <c r="A2545" s="1">
        <v>5.0</v>
      </c>
      <c r="B2545" s="1" t="s">
        <v>2538</v>
      </c>
      <c r="C2545" t="str">
        <f>IFERROR(__xludf.DUMMYFUNCTION("GOOGLETRANSLATE(B2545, ""zh"", ""en"")"),"Bang Bang g of the very good, good quality.")</f>
        <v>Bang Bang g of the very good, good quality.</v>
      </c>
    </row>
    <row r="2546">
      <c r="A2546" s="1">
        <v>5.0</v>
      </c>
      <c r="B2546" s="1" t="s">
        <v>2539</v>
      </c>
      <c r="C2546" t="str">
        <f>IFERROR(__xludf.DUMMYFUNCTION("GOOGLETRANSLATE(B2546, ""zh"", ""en"")"),"Great !! excellent very good! ! Little noise! acceptable!")</f>
        <v>Great !! excellent very good! ! Little noise! acceptable!</v>
      </c>
    </row>
    <row r="2547">
      <c r="A2547" s="1">
        <v>5.0</v>
      </c>
      <c r="B2547" s="1" t="s">
        <v>2540</v>
      </c>
      <c r="C2547" t="str">
        <f>IFERROR(__xludf.DUMMYFUNCTION("GOOGLETRANSLATE(B2547, ""zh"", ""en"")"),"Affordable prices perfect start in the mall optimistic about it is over 1400, going to look at, then black five in the Amazon had been looking after a total of only spend one-under 800. Very good quality, now I feel pretty good, worth recommending.")</f>
        <v>Affordable prices perfect start in the mall optimistic about it is over 1400, going to look at, then black five in the Amazon had been looking after a total of only spend one-under 800. Very good quality, now I feel pretty good, worth recommending.</v>
      </c>
    </row>
    <row r="2548">
      <c r="A2548" s="1">
        <v>5.0</v>
      </c>
      <c r="B2548" s="1" t="s">
        <v>2541</v>
      </c>
      <c r="C2548" t="str">
        <f>IFERROR(__xludf.DUMMYFUNCTION("GOOGLETRANSLATE(B2548, ""zh"", ""en"")"),"Thick jeans awesome, Mexico production, thick, winter coat Bibei, cotton is not very good, fabrics hard! Worth the price!")</f>
        <v>Thick jeans awesome, Mexico production, thick, winter coat Bibei, cotton is not very good, fabrics hard! Worth the price!</v>
      </c>
    </row>
    <row r="2549">
      <c r="A2549" s="1">
        <v>5.0</v>
      </c>
      <c r="B2549" s="1" t="s">
        <v>2542</v>
      </c>
      <c r="C2549" t="str">
        <f>IFERROR(__xludf.DUMMYFUNCTION("GOOGLETRANSLATE(B2549, ""zh"", ""en"")"),"Happy for the first time to buy things on Amazon, not sure, I did not expect pretty good, beautiful prices")</f>
        <v>Happy for the first time to buy things on Amazon, not sure, I did not expect pretty good, beautiful prices</v>
      </c>
    </row>
    <row r="2550">
      <c r="A2550" s="1">
        <v>5.0</v>
      </c>
      <c r="B2550" s="1" t="s">
        <v>2543</v>
      </c>
      <c r="C2550" t="str">
        <f>IFERROR(__xludf.DUMMYFUNCTION("GOOGLETRANSLATE(B2550, ""zh"", ""en"")"),"Cole haan just about this brand, clothes very well.")</f>
        <v>Cole haan just about this brand, clothes very well.</v>
      </c>
    </row>
    <row r="2551">
      <c r="A2551" s="1">
        <v>5.0</v>
      </c>
      <c r="B2551" s="1" t="s">
        <v>2544</v>
      </c>
      <c r="C2551" t="str">
        <f>IFERROR(__xludf.DUMMYFUNCTION("GOOGLETRANSLATE(B2551, ""zh"", ""en"")"),"Good merchandise to buy to the mother to eat, very good day, a bargain price")</f>
        <v>Good merchandise to buy to the mother to eat, very good day, a bargain price</v>
      </c>
    </row>
    <row r="2552">
      <c r="A2552" s="1">
        <v>5.0</v>
      </c>
      <c r="B2552" s="1" t="s">
        <v>2545</v>
      </c>
      <c r="C2552" t="str">
        <f>IFERROR(__xludf.DUMMYFUNCTION("GOOGLETRANSLATE(B2552, ""zh"", ""en"")"),"Good quality very appropriate, work is rough, there are personality")</f>
        <v>Good quality very appropriate, work is rough, there are personality</v>
      </c>
    </row>
    <row r="2553">
      <c r="A2553" s="1">
        <v>5.0</v>
      </c>
      <c r="B2553" s="1" t="s">
        <v>2546</v>
      </c>
      <c r="C2553" t="str">
        <f>IFERROR(__xludf.DUMMYFUNCTION("GOOGLETRANSLATE(B2553, ""zh"", ""en"")"),"Can quasi numbers, but the pressure foot, the best shot freshman code")</f>
        <v>Can quasi numbers, but the pressure foot, the best shot freshman code</v>
      </c>
    </row>
    <row r="2554">
      <c r="A2554" s="1">
        <v>5.0</v>
      </c>
      <c r="B2554" s="1" t="s">
        <v>2547</v>
      </c>
      <c r="C2554" t="str">
        <f>IFERROR(__xludf.DUMMYFUNCTION("GOOGLETRANSLATE(B2554, ""zh"", ""en"")"),"Packaging intact packaging method is very clever, intact, given away, pregnant mother liked 😍")</f>
        <v>Packaging intact packaging method is very clever, intact, given away, pregnant mother liked 😍</v>
      </c>
    </row>
    <row r="2555">
      <c r="A2555" s="1">
        <v>5.0</v>
      </c>
      <c r="B2555" s="1" t="s">
        <v>2548</v>
      </c>
      <c r="C2555" t="str">
        <f>IFERROR(__xludf.DUMMYFUNCTION("GOOGLETRANSLATE(B2555, ""zh"", ""en"")"),"Good merchandise goods without any problems. Amazon machine translation of text presentation is open to question. ""Domestic manufacturers 2 year warranty"" refers to Japan ......")</f>
        <v>Good merchandise goods without any problems. Amazon machine translation of text presentation is open to question. "Domestic manufacturers 2 year warranty" refers to Japan ......</v>
      </c>
    </row>
    <row r="2556">
      <c r="A2556" s="1">
        <v>5.0</v>
      </c>
      <c r="B2556" s="1" t="s">
        <v>2549</v>
      </c>
      <c r="C2556" t="str">
        <f>IFERROR(__xludf.DUMMYFUNCTION("GOOGLETRANSLATE(B2556, ""zh"", ""en"")"),"No good super good super good to wear color well")</f>
        <v>No good super good super good to wear color well</v>
      </c>
    </row>
    <row r="2557">
      <c r="A2557" s="1">
        <v>2.0</v>
      </c>
      <c r="B2557" s="1" t="s">
        <v>2550</v>
      </c>
      <c r="C2557" t="str">
        <f>IFERROR(__xludf.DUMMYFUNCTION("GOOGLETRANSLATE(B2557, ""zh"", ""en"")"),"Shoe size is a little smaller! Really served this great God is inside you comment, usually 42 to wear Nike, see there commented that the shoe is too large, bought No. 8, on sale now simply can not wear, the top foot!")</f>
        <v>Shoe size is a little smaller! Really served this great God is inside you comment, usually 42 to wear Nike, see there commented that the shoe is too large, bought No. 8, on sale now simply can not wear, the top foot!</v>
      </c>
    </row>
    <row r="2558">
      <c r="A2558" s="1">
        <v>3.0</v>
      </c>
      <c r="B2558" s="1" t="s">
        <v>2551</v>
      </c>
      <c r="C2558" t="str">
        <f>IFERROR(__xludf.DUMMYFUNCTION("GOOGLETRANSLATE(B2558, ""zh"", ""en"")"),"Number small number is too small")</f>
        <v>Number small number is too small</v>
      </c>
    </row>
    <row r="2559">
      <c r="A2559" s="1">
        <v>3.0</v>
      </c>
      <c r="B2559" s="1" t="s">
        <v>2552</v>
      </c>
      <c r="C2559" t="str">
        <f>IFERROR(__xludf.DUMMYFUNCTION("GOOGLETRANSLATE(B2559, ""zh"", ""en"")"),"Feeling airtight general, look pretty, but do not know why I feel very airtight.")</f>
        <v>Feeling airtight general, look pretty, but do not know why I feel very airtight.</v>
      </c>
    </row>
    <row r="2560">
      <c r="A2560" s="1">
        <v>1.0</v>
      </c>
      <c r="B2560" s="1" t="s">
        <v>2553</v>
      </c>
      <c r="C2560" t="str">
        <f>IFERROR(__xludf.DUMMYFUNCTION("GOOGLETRANSLATE(B2560, ""zh"", ""en"")"),"Super hard not wear pants to buy back open and found, pants too hard, certainly not comfortable to wear. To request a return, then a bunch of English, very inconvenient not humane, the failure of shopping experience")</f>
        <v>Super hard not wear pants to buy back open and found, pants too hard, certainly not comfortable to wear. To request a return, then a bunch of English, very inconvenient not humane, the failure of shopping experience</v>
      </c>
    </row>
    <row r="2561">
      <c r="A2561" s="1">
        <v>1.0</v>
      </c>
      <c r="B2561" s="1" t="s">
        <v>2554</v>
      </c>
      <c r="C2561" t="str">
        <f>IFERROR(__xludf.DUMMYFUNCTION("GOOGLETRANSLATE(B2561, ""zh"", ""en"")"),"Poor quality with less than three months, the pointer will take off.")</f>
        <v>Poor quality with less than three months, the pointer will take off.</v>
      </c>
    </row>
    <row r="2562">
      <c r="A2562" s="1">
        <v>1.0</v>
      </c>
      <c r="B2562" s="1" t="s">
        <v>2555</v>
      </c>
      <c r="C2562" t="str">
        <f>IFERROR(__xludf.DUMMYFUNCTION("GOOGLETRANSLATE(B2562, ""zh"", ""en"")"),"Buy new shoes old shoes as you receive a new pair of shoes was obviously worn, dirty, badly worn, no new shoes production nameplate, very poor experience")</f>
        <v>Buy new shoes old shoes as you receive a new pair of shoes was obviously worn, dirty, badly worn, no new shoes production nameplate, very poor experience</v>
      </c>
    </row>
    <row r="2563">
      <c r="A2563" s="1">
        <v>4.0</v>
      </c>
      <c r="B2563" s="1" t="s">
        <v>2556</v>
      </c>
      <c r="C2563" t="str">
        <f>IFERROR(__xludf.DUMMYFUNCTION("GOOGLETRANSLATE(B2563, ""zh"", ""en"")"),"Okay for everyday wear domestic section of 36 × 32 Lee just, proper lumbar section of the United States, but slightly wider legs, to be a reference. In addition Tucao Amazon introduced sucks, it should indicate what the series, such as 724,743")</f>
        <v>Okay for everyday wear domestic section of 36 × 32 Lee just, proper lumbar section of the United States, but slightly wider legs, to be a reference. In addition Tucao Amazon introduced sucks, it should indicate what the series, such as 724,743</v>
      </c>
    </row>
    <row r="2564">
      <c r="A2564" s="1">
        <v>4.0</v>
      </c>
      <c r="B2564" s="1" t="s">
        <v>2557</v>
      </c>
      <c r="C2564" t="str">
        <f>IFERROR(__xludf.DUMMYFUNCTION("GOOGLETRANSLATE(B2564, ""zh"", ""en"")"),"Good good shoes, Indonesia production, a little too large Code 39")</f>
        <v>Good good shoes, Indonesia production, a little too large Code 39</v>
      </c>
    </row>
    <row r="2565">
      <c r="A2565" s="1">
        <v>4.0</v>
      </c>
      <c r="B2565" s="1" t="s">
        <v>2558</v>
      </c>
      <c r="C2565" t="str">
        <f>IFERROR(__xludf.DUMMYFUNCTION("GOOGLETRANSLATE(B2565, ""zh"", ""en"")"),"Strap bad. Whole can, strap too bad. A little sad 😭")</f>
        <v>Strap bad. Whole can, strap too bad. A little sad 😭</v>
      </c>
    </row>
    <row r="2566">
      <c r="A2566" s="1">
        <v>4.0</v>
      </c>
      <c r="B2566" s="1" t="s">
        <v>2559</v>
      </c>
      <c r="C2566" t="str">
        <f>IFERROR(__xludf.DUMMYFUNCTION("GOOGLETRANSLATE(B2566, ""zh"", ""en"")"),"In the country to buy cost-effective than the cheaper, high 160, nearly 120, the sleeves a little longer suitable base")</f>
        <v>In the country to buy cost-effective than the cheaper, high 160, nearly 120, the sleeves a little longer suitable base</v>
      </c>
    </row>
    <row r="2567">
      <c r="A2567" s="1">
        <v>4.0</v>
      </c>
      <c r="B2567" s="1" t="s">
        <v>2560</v>
      </c>
      <c r="C2567" t="str">
        <f>IFERROR(__xludf.DUMMYFUNCTION("GOOGLETRANSLATE(B2567, ""zh"", ""en"")"),"Recommended by the sports shoe size, buy a widened version. 25cm foot length. 40 shoes, sports shoes 41, 7.5W buy very appropriate, as recommended by sports shoe size, buy widened Edition. real. . . Well, Tucao quality, get our hands on look at the shoe t"&amp;"ongue, from the Philippines, my heart pull pull cool cool. Immediately check the circle, two shoes at a total of 3 small unglued. I had wanted to retire, leaving his last deal. Two months later added: This is in addition to shoes unglued, the other are pr"&amp;"etty good. January climb a total of more than 100 km on foot. In the snow and ice wearing crampons on more than 50 kilometers down the mountain, without any leaks and damage, keep warm. Feet more comfortable. This winter outdoors or full leather wear some"&amp;" good.")</f>
        <v>Recommended by the sports shoe size, buy a widened version. 25cm foot length. 40 shoes, sports shoes 41, 7.5W buy very appropriate, as recommended by sports shoe size, buy widened Edition. real. . . Well, Tucao quality, get our hands on look at the shoe tongue, from the Philippines, my heart pull pull cool cool. Immediately check the circle, two shoes at a total of 3 small unglued. I had wanted to retire, leaving his last deal. Two months later added: This is in addition to shoes unglued, the other are pretty good. January climb a total of more than 100 km on foot. In the snow and ice wearing crampons on more than 50 kilometers down the mountain, without any leaks and damage, keep warm. Feet more comfortable. This winter outdoors or full leather wear some good.</v>
      </c>
    </row>
    <row r="2568">
      <c r="A2568" s="1">
        <v>5.0</v>
      </c>
      <c r="B2568" s="1" t="s">
        <v>2561</v>
      </c>
      <c r="C2568" t="str">
        <f>IFERROR(__xludf.DUMMYFUNCTION("GOOGLETRANSLATE(B2568, ""zh"", ""en"")"),"First, very good pants long pants legs just to pay attention. Short changed since tearing knee with anti-squat feature substandard. Anti-pull water capacity, but rain still flooding. Elastic big, suitable for outdoor hiking mountaineering. Sunscreen sunsc"&amp;"reen does not clear. A little more than two hundred, a lot cheaper than domestic! value!")</f>
        <v>First, very good pants long pants legs just to pay attention. Short changed since tearing knee with anti-squat feature substandard. Anti-pull water capacity, but rain still flooding. Elastic big, suitable for outdoor hiking mountaineering. Sunscreen sunscreen does not clear. A little more than two hundred, a lot cheaper than domestic! value!</v>
      </c>
    </row>
    <row r="2569">
      <c r="A2569" s="1">
        <v>5.0</v>
      </c>
      <c r="B2569" s="1" t="s">
        <v>2562</v>
      </c>
      <c r="C2569" t="str">
        <f>IFERROR(__xludf.DUMMYFUNCTION("GOOGLETRANSLATE(B2569, ""zh"", ""en"")"),"Others are okay, and went, the faster will be used more than 10 days, 3 seconds faster now")</f>
        <v>Others are okay, and went, the faster will be used more than 10 days, 3 seconds faster now</v>
      </c>
    </row>
    <row r="2570">
      <c r="A2570" s="1">
        <v>5.0</v>
      </c>
      <c r="B2570" s="1" t="s">
        <v>2563</v>
      </c>
      <c r="C2570" t="str">
        <f>IFERROR(__xludf.DUMMYFUNCTION("GOOGLETRANSLATE(B2570, ""zh"", ""en"")"),"Comfortable material is very comfortable, very warm, ready to help his mother buy a.")</f>
        <v>Comfortable material is very comfortable, very warm, ready to help his mother buy a.</v>
      </c>
    </row>
    <row r="2571">
      <c r="A2571" s="1">
        <v>5.0</v>
      </c>
      <c r="B2571" s="1" t="s">
        <v>2564</v>
      </c>
      <c r="C2571" t="str">
        <f>IFERROR(__xludf.DUMMYFUNCTION("GOOGLETRANSLATE(B2571, ""zh"", ""en"")"),"Freshen breath for a long time been using this mouthwash, very good, but packaged with me on a treasure purchasing slightly different packaging, but the effect looks as good as")</f>
        <v>Freshen breath for a long time been using this mouthwash, very good, but packaged with me on a treasure purchasing slightly different packaging, but the effect looks as good as</v>
      </c>
    </row>
    <row r="2572">
      <c r="A2572" s="1">
        <v>5.0</v>
      </c>
      <c r="B2572" s="1" t="s">
        <v>2565</v>
      </c>
      <c r="C2572" t="str">
        <f>IFERROR(__xludf.DUMMYFUNCTION("GOOGLETRANSLATE(B2572, ""zh"", ""en"")"),"Stainless steel cutlery set of cutlery can be good, bought several sets, the casing can be removed for easy cleaning.")</f>
        <v>Stainless steel cutlery set of cutlery can be good, bought several sets, the casing can be removed for easy cleaning.</v>
      </c>
    </row>
    <row r="2573">
      <c r="A2573" s="1">
        <v>5.0</v>
      </c>
      <c r="B2573" s="1" t="s">
        <v>2566</v>
      </c>
      <c r="C2573" t="str">
        <f>IFERROR(__xludf.DUMMYFUNCTION("GOOGLETRANSLATE(B2573, ""zh"", ""en"")"),"Fit height 172, weight 146, M number, longer sleeves. Something very good!")</f>
        <v>Fit height 172, weight 146, M number, longer sleeves. Something very good!</v>
      </c>
    </row>
    <row r="2574">
      <c r="A2574" s="1">
        <v>5.0</v>
      </c>
      <c r="B2574" s="1" t="s">
        <v>2567</v>
      </c>
      <c r="C2574" t="str">
        <f>IFERROR(__xludf.DUMMYFUNCTION("GOOGLETRANSLATE(B2574, ""zh"", ""en"")"),"Instructions Manual is no Chinese version")</f>
        <v>Instructions Manual is no Chinese version</v>
      </c>
    </row>
    <row r="2575">
      <c r="A2575" s="1">
        <v>5.0</v>
      </c>
      <c r="B2575" s="1" t="s">
        <v>2568</v>
      </c>
      <c r="C2575" t="str">
        <f>IFERROR(__xludf.DUMMYFUNCTION("GOOGLETRANSLATE(B2575, ""zh"", ""en"")"),"Good quality of good quality but a big yard to buy ha ha ha")</f>
        <v>Good quality of good quality but a big yard to buy ha ha ha</v>
      </c>
    </row>
    <row r="2576">
      <c r="A2576" s="1">
        <v>5.0</v>
      </c>
      <c r="B2576" s="1" t="s">
        <v>2569</v>
      </c>
      <c r="C2576" t="str">
        <f>IFERROR(__xludf.DUMMYFUNCTION("GOOGLETRANSLATE(B2576, ""zh"", ""en"")"),"Baby like a beautiful, high color value. Get new cutlery, baby to play for a long time, small spoon fork put it down!")</f>
        <v>Baby like a beautiful, high color value. Get new cutlery, baby to play for a long time, small spoon fork put it down!</v>
      </c>
    </row>
    <row r="2577">
      <c r="A2577" s="1">
        <v>5.0</v>
      </c>
      <c r="B2577" s="1" t="s">
        <v>2570</v>
      </c>
      <c r="C2577" t="str">
        <f>IFERROR(__xludf.DUMMYFUNCTION("GOOGLETRANSLATE(B2577, ""zh"", ""en"")"),"Affordable good to wear with the shoes as good imagination")</f>
        <v>Affordable good to wear with the shoes as good imagination</v>
      </c>
    </row>
    <row r="2578">
      <c r="A2578" s="1">
        <v>5.0</v>
      </c>
      <c r="B2578" s="1" t="s">
        <v>2571</v>
      </c>
      <c r="C2578" t="str">
        <f>IFERROR(__xludf.DUMMYFUNCTION("GOOGLETRANSLATE(B2578, ""zh"", ""en"")"),"Hornet, Shuai usually wear 37 yards 5 or slightly larger code M a little, but is bought winter wear, perfectly acceptable.")</f>
        <v>Hornet, Shuai usually wear 37 yards 5 or slightly larger code M a little, but is bought winter wear, perfectly acceptable.</v>
      </c>
    </row>
    <row r="2579">
      <c r="A2579" s="1">
        <v>5.0</v>
      </c>
      <c r="B2579" s="1" t="s">
        <v>2572</v>
      </c>
      <c r="C2579" t="str">
        <f>IFERROR(__xludf.DUMMYFUNCTION("GOOGLETRANSLATE(B2579, ""zh"", ""en"")"),"Clothes to buy small, turn received clothes, clothes no problem in itself, but I bought a small, in need can find me, I'm not through.")</f>
        <v>Clothes to buy small, turn received clothes, clothes no problem in itself, but I bought a small, in need can find me, I'm not through.</v>
      </c>
    </row>
    <row r="2580">
      <c r="A2580" s="1">
        <v>5.0</v>
      </c>
      <c r="B2580" s="1" t="s">
        <v>2573</v>
      </c>
      <c r="C2580" t="str">
        <f>IFERROR(__xludf.DUMMYFUNCTION("GOOGLETRANSLATE(B2580, ""zh"", ""en"")"),"Very comfortable, but not tight body sculpting abdomen effect is very good, is not tight")</f>
        <v>Very comfortable, but not tight body sculpting abdomen effect is very good, is not tight</v>
      </c>
    </row>
    <row r="2581">
      <c r="A2581" s="1">
        <v>5.0</v>
      </c>
      <c r="B2581" s="1" t="s">
        <v>2574</v>
      </c>
      <c r="C2581" t="str">
        <f>IFERROR(__xludf.DUMMYFUNCTION("GOOGLETRANSLATE(B2581, ""zh"", ""en"")"),"The right size, comfortable fabrics girlfriend really like, say very comfortable")</f>
        <v>The right size, comfortable fabrics girlfriend really like, say very comfortable</v>
      </c>
    </row>
    <row r="2582">
      <c r="A2582" s="1">
        <v>5.0</v>
      </c>
      <c r="B2582" s="1" t="s">
        <v>2575</v>
      </c>
      <c r="C2582" t="str">
        <f>IFERROR(__xludf.DUMMYFUNCTION("GOOGLETRANSLATE(B2582, ""zh"", ""en"")"),"Good things have been using, trust Pitt Zander.")</f>
        <v>Good things have been using, trust Pitt Zander.</v>
      </c>
    </row>
    <row r="2583">
      <c r="A2583" s="1">
        <v>5.0</v>
      </c>
      <c r="B2583" s="1" t="s">
        <v>2576</v>
      </c>
      <c r="C2583" t="str">
        <f>IFERROR(__xludf.DUMMYFUNCTION("GOOGLETRANSLATE(B2583, ""zh"", ""en"")"),"It should be pretty good pretty good")</f>
        <v>It should be pretty good pretty good</v>
      </c>
    </row>
    <row r="2584">
      <c r="A2584" s="1">
        <v>5.0</v>
      </c>
      <c r="B2584" s="1" t="s">
        <v>2577</v>
      </c>
      <c r="C2584" t="str">
        <f>IFERROR(__xludf.DUMMYFUNCTION("GOOGLETRANSLATE(B2584, ""zh"", ""en"")"),"Accounting about 19 one, two box store, but it is not the lowest, now is not much good price. Figure is not the sun, on the map Amazon is really all that we've used shopping sites in the most stupid, not one.")</f>
        <v>Accounting about 19 one, two box store, but it is not the lowest, now is not much good price. Figure is not the sun, on the map Amazon is really all that we've used shopping sites in the most stupid, not one.</v>
      </c>
    </row>
    <row r="2585">
      <c r="A2585" s="1">
        <v>5.0</v>
      </c>
      <c r="B2585" s="1" t="s">
        <v>2578</v>
      </c>
      <c r="C2585" t="str">
        <f>IFERROR(__xludf.DUMMYFUNCTION("GOOGLETRANSLATE(B2585, ""zh"", ""en"")"),"Cute super cute ah, good insulation effect")</f>
        <v>Cute super cute ah, good insulation effect</v>
      </c>
    </row>
    <row r="2586">
      <c r="A2586" s="1">
        <v>5.0</v>
      </c>
      <c r="B2586" s="1" t="s">
        <v>2579</v>
      </c>
      <c r="C2586" t="str">
        <f>IFERROR(__xludf.DUMMYFUNCTION("GOOGLETRANSLATE(B2586, ""zh"", ""en"")"),"Large overseas purchase cheap price advantage, hand packaging intact, built emaz helium disk, test no bad sectors.")</f>
        <v>Large overseas purchase cheap price advantage, hand packaging intact, built emaz helium disk, test no bad sectors.</v>
      </c>
    </row>
    <row r="2587">
      <c r="A2587" s="1">
        <v>5.0</v>
      </c>
      <c r="B2587" s="1" t="s">
        <v>2580</v>
      </c>
      <c r="C2587" t="str">
        <f>IFERROR(__xludf.DUMMYFUNCTION("GOOGLETRANSLATE(B2587, ""zh"", ""en"")"),"Recommended very good, very like, code number is right.")</f>
        <v>Recommended very good, very like, code number is right.</v>
      </c>
    </row>
    <row r="2588">
      <c r="A2588" s="1">
        <v>5.0</v>
      </c>
      <c r="B2588" s="1" t="s">
        <v>2581</v>
      </c>
      <c r="C2588" t="str">
        <f>IFERROR(__xludf.DUMMYFUNCTION("GOOGLETRANSLATE(B2588, ""zh"", ""en"")"),"Very good right size, color is also very positive")</f>
        <v>Very good right size, color is also very positive</v>
      </c>
    </row>
    <row r="2589">
      <c r="A2589" s="1">
        <v>5.0</v>
      </c>
      <c r="B2589" s="1" t="s">
        <v>2582</v>
      </c>
      <c r="C2589" t="str">
        <f>IFERROR(__xludf.DUMMYFUNCTION("GOOGLETRANSLATE(B2589, ""zh"", ""en"")"),"Clean clear water floss very good a product, a good shopping experience. More user-friendly products, both to clean the mouth, and massage the gums ...... wife is in love with this product")</f>
        <v>Clean clear water floss very good a product, a good shopping experience. More user-friendly products, both to clean the mouth, and massage the gums ...... wife is in love with this product</v>
      </c>
    </row>
    <row r="2590">
      <c r="A2590" s="1">
        <v>2.0</v>
      </c>
      <c r="B2590" s="1" t="s">
        <v>2583</v>
      </c>
      <c r="C2590" t="str">
        <f>IFERROR(__xludf.DUMMYFUNCTION("GOOGLETRANSLATE(B2590, ""zh"", ""en"")"),"Pictures with the kind of difference is too big picture shows a partial khaki, but the shoes are dark brown. . . And shoes ,,, heavy heavy heavy ,,,, ,,,, important things to say three times. . . Wear very easily tired. I finally know why the shoe so much"&amp;" a bad review. . I am one of the victims.")</f>
        <v>Pictures with the kind of difference is too big picture shows a partial khaki, but the shoes are dark brown. . . And shoes ,,, heavy heavy heavy ,,,, ,,,, important things to say three times. . . Wear very easily tired. I finally know why the shoe so much a bad review. . I am one of the victims.</v>
      </c>
    </row>
    <row r="2591">
      <c r="A2591" s="1">
        <v>3.0</v>
      </c>
      <c r="B2591" s="1" t="s">
        <v>2584</v>
      </c>
      <c r="C2591" t="str">
        <f>IFERROR(__xludf.DUMMYFUNCTION("GOOGLETRANSLATE(B2591, ""zh"", ""en"")"),"Material nice clothes too large Height 183 74KG L number turned out to be too hip, What the hell? I was short and not good enough for your little L No. Why?")</f>
        <v>Material nice clothes too large Height 183 74KG L number turned out to be too hip, What the hell? I was short and not good enough for your little L No. Why?</v>
      </c>
    </row>
    <row r="2592">
      <c r="A2592" s="1">
        <v>3.0</v>
      </c>
      <c r="B2592" s="1" t="s">
        <v>2585</v>
      </c>
      <c r="C2592" t="str">
        <f>IFERROR(__xludf.DUMMYFUNCTION("GOOGLETRANSLATE(B2592, ""zh"", ""en"")"),"Han soft ground such as bananas can also wear soft can be. A little hard to die.")</f>
        <v>Han soft ground such as bananas can also wear soft can be. A little hard to die.</v>
      </c>
    </row>
    <row r="2593">
      <c r="A2593" s="1">
        <v>3.0</v>
      </c>
      <c r="B2593" s="1" t="s">
        <v>2586</v>
      </c>
      <c r="C2593" t="str">
        <f>IFERROR(__xludf.DUMMYFUNCTION("GOOGLETRANSLATE(B2593, ""zh"", ""en"")"),"Spoons to spoon out this fall Phi Phi Yeah, actually I faint expensive dish out to Phi Phi, can not account for what's hot, can not give the baby with, are afraid to dish with hot water, and do not know will not be out")</f>
        <v>Spoons to spoon out this fall Phi Phi Yeah, actually I faint expensive dish out to Phi Phi, can not account for what's hot, can not give the baby with, are afraid to dish with hot water, and do not know will not be out</v>
      </c>
    </row>
    <row r="2594">
      <c r="A2594" s="1">
        <v>1.0</v>
      </c>
      <c r="B2594" s="1" t="s">
        <v>2587</v>
      </c>
      <c r="C2594" t="str">
        <f>IFERROR(__xludf.DUMMYFUNCTION("GOOGLETRANSLATE(B2594, ""zh"", ""en"")"),"Be careful to buy, I bought two have had a problem. Discounts and customer service that's inconsistent with the actual refund. Bought two, thinking this might buy a Japanese version of a little better, the results beat his face, and the dust cup place coc"&amp;"ked to cover uneven. Communicate with customer service, said two ways to solve, it is to buy back what information or even fill a discount. Thinking watertight, easy to map, I chose a discount, but not Bluff Oh, discounts and inconsistent to say the final"&amp;" refund. This is not a question of a little money, I also had to give this credibility. I may still not be suitable for Amazon.")</f>
        <v>Be careful to buy, I bought two have had a problem. Discounts and customer service that's inconsistent with the actual refund. Bought two, thinking this might buy a Japanese version of a little better, the results beat his face, and the dust cup place cocked to cover uneven. Communicate with customer service, said two ways to solve, it is to buy back what information or even fill a discount. Thinking watertight, easy to map, I chose a discount, but not Bluff Oh, discounts and inconsistent to say the final refund. This is not a question of a little money, I also had to give this credibility. I may still not be suitable for Amazon.</v>
      </c>
    </row>
    <row r="2595">
      <c r="A2595" s="1">
        <v>1.0</v>
      </c>
      <c r="B2595" s="1" t="s">
        <v>2588</v>
      </c>
      <c r="C2595" t="str">
        <f>IFERROR(__xludf.DUMMYFUNCTION("GOOGLETRANSLATE(B2595, ""zh"", ""en"")"),"Why eat pulled and stomach pain but I like 17 years old, an eat for two days, every day I say give her a laxative? 4 times more than one day pull a stomach still hurt, we do have such symptoms")</f>
        <v>Why eat pulled and stomach pain but I like 17 years old, an eat for two days, every day I say give her a laxative? 4 times more than one day pull a stomach still hurt, we do have such symptoms</v>
      </c>
    </row>
    <row r="2596">
      <c r="A2596" s="1">
        <v>4.0</v>
      </c>
      <c r="B2596" s="1" t="s">
        <v>2589</v>
      </c>
      <c r="C2596" t="str">
        <f>IFERROR(__xludf.DUMMYFUNCTION("GOOGLETRANSLATE(B2596, ""zh"", ""en"")"),"Basically satisfied with a high degree of color saturation, the version is very good, elastic big enough. The only drawback is the next hot water (sterilization) would fade, and stained my white underpants CK was blue. . . Than the domestic price to buy c"&amp;"ost-effective.")</f>
        <v>Basically satisfied with a high degree of color saturation, the version is very good, elastic big enough. The only drawback is the next hot water (sterilization) would fade, and stained my white underpants CK was blue. . . Than the domestic price to buy cost-effective.</v>
      </c>
    </row>
    <row r="2597">
      <c r="A2597" s="1">
        <v>4.0</v>
      </c>
      <c r="B2597" s="1" t="s">
        <v>2590</v>
      </c>
      <c r="C2597" t="str">
        <f>IFERROR(__xludf.DUMMYFUNCTION("GOOGLETRANSLATE(B2597, ""zh"", ""en"")"),"Some like long sleeves loose points, not thick, suitable for spring wear")</f>
        <v>Some like long sleeves loose points, not thick, suitable for spring wear</v>
      </c>
    </row>
    <row r="2598">
      <c r="A2598" s="1">
        <v>4.0</v>
      </c>
      <c r="B2598" s="1" t="s">
        <v>2591</v>
      </c>
      <c r="C2598" t="str">
        <f>IFERROR(__xludf.DUMMYFUNCTION("GOOGLETRANSLATE(B2598, ""zh"", ""en"")"),"Good fit just set foot on the small white-collar professional positions")</f>
        <v>Good fit just set foot on the small white-collar professional positions</v>
      </c>
    </row>
    <row r="2599">
      <c r="A2599" s="1">
        <v>4.0</v>
      </c>
      <c r="B2599" s="1" t="s">
        <v>2592</v>
      </c>
      <c r="C2599" t="str">
        <f>IFERROR(__xludf.DUMMYFUNCTION("GOOGLETRANSLATE(B2599, ""zh"", ""en"")"),"Long sleeves good material, some long sleeves, need to change")</f>
        <v>Long sleeves good material, some long sleeves, need to change</v>
      </c>
    </row>
    <row r="2600">
      <c r="A2600" s="1">
        <v>4.0</v>
      </c>
      <c r="B2600" s="1" t="s">
        <v>2593</v>
      </c>
      <c r="C2600" t="str">
        <f>IFERROR(__xludf.DUMMYFUNCTION("GOOGLETRANSLATE(B2600, ""zh"", ""en"")"),"High cost small size one yard, usually wear 33. This waist-one yards")</f>
        <v>High cost small size one yard, usually wear 33. This waist-one yards</v>
      </c>
    </row>
    <row r="2601">
      <c r="A2601" s="1">
        <v>5.0</v>
      </c>
      <c r="B2601" s="1" t="s">
        <v>2594</v>
      </c>
      <c r="C2601" t="str">
        <f>IFERROR(__xludf.DUMMYFUNCTION("GOOGLETRANSLATE(B2601, ""zh"", ""en"")"),"Good to buy things on Amazon overseas, shoes must try to store a good number dare to buy, relatively cheap and very comfortable.")</f>
        <v>Good to buy things on Amazon overseas, shoes must try to store a good number dare to buy, relatively cheap and very comfortable.</v>
      </c>
    </row>
    <row r="2602">
      <c r="A2602" s="1">
        <v>5.0</v>
      </c>
      <c r="B2602" s="1" t="s">
        <v>2595</v>
      </c>
      <c r="C2602" t="str">
        <f>IFERROR(__xludf.DUMMYFUNCTION("GOOGLETRANSLATE(B2602, ""zh"", ""en"")"),"More than the domestic prices of conscience as shown in color, is what I want")</f>
        <v>More than the domestic prices of conscience as shown in color, is what I want</v>
      </c>
    </row>
    <row r="2603">
      <c r="A2603" s="1">
        <v>5.0</v>
      </c>
      <c r="B2603" s="1" t="s">
        <v>2596</v>
      </c>
      <c r="C2603" t="str">
        <f>IFERROR(__xludf.DUMMYFUNCTION("GOOGLETRANSLATE(B2603, ""zh"", ""en"")"),"Cotton size, size appropriate, 165,65 kg, M code appropriate, packaging is also very good, good! ! ! And about the same size Japanese version")</f>
        <v>Cotton size, size appropriate, 165,65 kg, M code appropriate, packaging is also very good, good! ! ! And about the same size Japanese version</v>
      </c>
    </row>
    <row r="2604">
      <c r="A2604" s="1">
        <v>5.0</v>
      </c>
      <c r="B2604" s="1" t="s">
        <v>2597</v>
      </c>
      <c r="C2604" t="str">
        <f>IFERROR(__xludf.DUMMYFUNCTION("GOOGLETRANSLATE(B2604, ""zh"", ""en"")"),"It's lightweight and compact like most simple, if there is a filter to perfect")</f>
        <v>It's lightweight and compact like most simple, if there is a filter to perfect</v>
      </c>
    </row>
    <row r="2605">
      <c r="A2605" s="1">
        <v>5.0</v>
      </c>
      <c r="B2605" s="1" t="s">
        <v>2598</v>
      </c>
      <c r="C2605" t="str">
        <f>IFERROR(__xludf.DUMMYFUNCTION("GOOGLETRANSLATE(B2605, ""zh"", ""en"")"),"Good taste very good, very fond of children")</f>
        <v>Good taste very good, very fond of children</v>
      </c>
    </row>
    <row r="2606">
      <c r="A2606" s="1">
        <v>5.0</v>
      </c>
      <c r="B2606" s="1" t="s">
        <v>2599</v>
      </c>
      <c r="C2606" t="str">
        <f>IFERROR(__xludf.DUMMYFUNCTION("GOOGLETRANSLATE(B2606, ""zh"", ""en"")"),"Good good, very good! Yes Yes Yes Yes")</f>
        <v>Good good, very good! Yes Yes Yes Yes</v>
      </c>
    </row>
    <row r="2607">
      <c r="A2607" s="1">
        <v>5.0</v>
      </c>
      <c r="B2607" s="1" t="s">
        <v>2600</v>
      </c>
      <c r="C2607" t="str">
        <f>IFERROR(__xludf.DUMMYFUNCTION("GOOGLETRANSLATE(B2607, ""zh"", ""en"")"),"Very good length sweater is appropriate. If the chest is relatively large, it is estimated will be a little tight.")</f>
        <v>Very good length sweater is appropriate. If the chest is relatively large, it is estimated will be a little tight.</v>
      </c>
    </row>
    <row r="2608">
      <c r="A2608" s="1">
        <v>5.0</v>
      </c>
      <c r="B2608" s="1" t="s">
        <v>2601</v>
      </c>
      <c r="C2608" t="str">
        <f>IFERROR(__xludf.DUMMYFUNCTION("GOOGLETRANSLATE(B2608, ""zh"", ""en"")"),"This shoe is great buying experience is very good, good quality shoes. Next time will continue to buy.")</f>
        <v>This shoe is great buying experience is very good, good quality shoes. Next time will continue to buy.</v>
      </c>
    </row>
    <row r="2609">
      <c r="A2609" s="1">
        <v>5.0</v>
      </c>
      <c r="B2609" s="1" t="s">
        <v>2602</v>
      </c>
      <c r="C2609" t="str">
        <f>IFERROR(__xludf.DUMMYFUNCTION("GOOGLETRANSLATE(B2609, ""zh"", ""en"")"),"Wearing very comfortable to enjoy a good movie music, subwoofer. Suitable for spring and autumn and winter wear, summer wear will be hot, wearing a time not too long. Sound insulation OK")</f>
        <v>Wearing very comfortable to enjoy a good movie music, subwoofer. Suitable for spring and autumn and winter wear, summer wear will be hot, wearing a time not too long. Sound insulation OK</v>
      </c>
    </row>
    <row r="2610">
      <c r="A2610" s="1">
        <v>5.0</v>
      </c>
      <c r="B2610" s="1" t="s">
        <v>2603</v>
      </c>
      <c r="C2610" t="str">
        <f>IFERROR(__xludf.DUMMYFUNCTION("GOOGLETRANSLATE(B2610, ""zh"", ""en"")"),"A nice white shoes and work shoes are a nice white shoes, insoles is too high, the shoes look more crowded feet, there is a little more rigid.")</f>
        <v>A nice white shoes and work shoes are a nice white shoes, insoles is too high, the shoes look more crowded feet, there is a little more rigid.</v>
      </c>
    </row>
    <row r="2611">
      <c r="A2611" s="1">
        <v>5.0</v>
      </c>
      <c r="B2611" s="1" t="s">
        <v>2604</v>
      </c>
      <c r="C2611" t="str">
        <f>IFERROR(__xludf.DUMMYFUNCTION("GOOGLETRANSLATE(B2611, ""zh"", ""en"")"),"Suitable did not feel particularly fade, 88 kg, 178 height, bought 36/32, slightly larger, autumn and winter wear just.")</f>
        <v>Suitable did not feel particularly fade, 88 kg, 178 height, bought 36/32, slightly larger, autumn and winter wear just.</v>
      </c>
    </row>
    <row r="2612">
      <c r="A2612" s="1">
        <v>5.0</v>
      </c>
      <c r="B2612" s="1" t="s">
        <v>2605</v>
      </c>
      <c r="C2612" t="str">
        <f>IFERROR(__xludf.DUMMYFUNCTION("GOOGLETRANSLATE(B2612, ""zh"", ""en"")"),"Good effect on dry hair effect, negative ion is really useful, after blowing the hair docile, not matted. It sounds a bit big, weight is not light, suitable for home use. Original British plugs big and heavy, with a converter, then use them is not easy. I"&amp;"n the practical, convenient principle, direct their own hands cut off, and replaced with two-pin plug, perfect. Cut plug, I noticed a problem, although the original three-core plug, but did not find the ground wire.")</f>
        <v>Good effect on dry hair effect, negative ion is really useful, after blowing the hair docile, not matted. It sounds a bit big, weight is not light, suitable for home use. Original British plugs big and heavy, with a converter, then use them is not easy. In the practical, convenient principle, direct their own hands cut off, and replaced with two-pin plug, perfect. Cut plug, I noticed a problem, although the original three-core plug, but did not find the ground wire.</v>
      </c>
    </row>
    <row r="2613">
      <c r="A2613" s="1">
        <v>5.0</v>
      </c>
      <c r="B2613" s="1" t="s">
        <v>2606</v>
      </c>
      <c r="C2613" t="str">
        <f>IFERROR(__xludf.DUMMYFUNCTION("GOOGLETRANSLATE(B2613, ""zh"", ""en"")"),"Genuine there is no appropriate code number can only buy female models. But good very comfortable.")</f>
        <v>Genuine there is no appropriate code number can only buy female models. But good very comfortable.</v>
      </c>
    </row>
    <row r="2614">
      <c r="A2614" s="1">
        <v>5.0</v>
      </c>
      <c r="B2614" s="1" t="s">
        <v>2607</v>
      </c>
      <c r="C2614" t="str">
        <f>IFERROR(__xludf.DUMMYFUNCTION("GOOGLETRANSLATE(B2614, ""zh"", ""en"")"),"Satisfied with everything. That is, read the instructions. We need to Baidu.")</f>
        <v>Satisfied with everything. That is, read the instructions. We need to Baidu.</v>
      </c>
    </row>
    <row r="2615">
      <c r="A2615" s="1">
        <v>5.0</v>
      </c>
      <c r="B2615" s="1" t="s">
        <v>2608</v>
      </c>
      <c r="C2615" t="str">
        <f>IFERROR(__xludf.DUMMYFUNCTION("GOOGLETRANSLATE(B2615, ""zh"", ""en"")"),"Nice gift simple, generous, very good looking, give it away pretty good")</f>
        <v>Nice gift simple, generous, very good looking, give it away pretty good</v>
      </c>
    </row>
    <row r="2616">
      <c r="A2616" s="1">
        <v>5.0</v>
      </c>
      <c r="B2616" s="1" t="s">
        <v>2609</v>
      </c>
      <c r="C2616" t="str">
        <f>IFERROR(__xludf.DUMMYFUNCTION("GOOGLETRANSLATE(B2616, ""zh"", ""en"")"),"Very comfortable fit, cuff where there is some small, should be so designed, like roll up its sleeves a bit awkward when the fabric is very comfortable")</f>
        <v>Very comfortable fit, cuff where there is some small, should be so designed, like roll up its sleeves a bit awkward when the fabric is very comfortable</v>
      </c>
    </row>
    <row r="2617">
      <c r="A2617" s="1">
        <v>5.0</v>
      </c>
      <c r="B2617" s="1" t="s">
        <v>2610</v>
      </c>
      <c r="C2617" t="str">
        <f>IFERROR(__xludf.DUMMYFUNCTION("GOOGLETRANSLATE(B2617, ""zh"", ""en"")"),"Like a good choice, the insulation effect is particularly good, very light, bright colors. It has been noticed, but there are still Canoeing cup body traces of hope that together can be made better.")</f>
        <v>Like a good choice, the insulation effect is particularly good, very light, bright colors. It has been noticed, but there are still Canoeing cup body traces of hope that together can be made better.</v>
      </c>
    </row>
    <row r="2618">
      <c r="A2618" s="1">
        <v>5.0</v>
      </c>
      <c r="B2618" s="1" t="s">
        <v>2611</v>
      </c>
      <c r="C2618" t="str">
        <f>IFERROR(__xludf.DUMMYFUNCTION("GOOGLETRANSLATE(B2618, ""zh"", ""en"")"),"Fit, logistics slow points right size, size standard, 170cm, 68 kg, 30 * 30 just, and domestic basically the same size.")</f>
        <v>Fit, logistics slow points right size, size standard, 170cm, 68 kg, 30 * 30 just, and domestic basically the same size.</v>
      </c>
    </row>
    <row r="2619">
      <c r="A2619" s="1">
        <v>5.0</v>
      </c>
      <c r="B2619" s="1" t="s">
        <v>2612</v>
      </c>
      <c r="C2619" t="str">
        <f>IFERROR(__xludf.DUMMYFUNCTION("GOOGLETRANSLATE(B2619, ""zh"", ""en"")"),"Clothes fit, like")</f>
        <v>Clothes fit, like</v>
      </c>
    </row>
    <row r="2620">
      <c r="A2620" s="1">
        <v>5.0</v>
      </c>
      <c r="B2620" s="1" t="s">
        <v>2613</v>
      </c>
      <c r="C2620" t="str">
        <f>IFERROR(__xludf.DUMMYFUNCTION("GOOGLETRANSLATE(B2620, ""zh"", ""en"")"),"Very very warm and some thin, but very warm. Which has a special coating designed to cold, around zero I wore a Qiuyi Columbia Fleece plus one this is very comfortable.")</f>
        <v>Very very warm and some thin, but very warm. Which has a special coating designed to cold, around zero I wore a Qiuyi Columbia Fleece plus one this is very comfortable.</v>
      </c>
    </row>
    <row r="2621">
      <c r="A2621" s="1">
        <v>5.0</v>
      </c>
      <c r="B2621" s="1" t="s">
        <v>2614</v>
      </c>
      <c r="C2621" t="str">
        <f>IFERROR(__xludf.DUMMYFUNCTION("GOOGLETRANSLATE(B2621, ""zh"", ""en"")"),"Warm and good. Height 171, weight 65kg, S code big afraid to tell the truth, the results really big, sleeves and length are slightly longer, but more self-cultivation, I used to tighten the sleeve, it is not ugly. Clothes thin, but windproof, warm and wel"&amp;"l, more suitable for the fall of the southern area.")</f>
        <v>Warm and good. Height 171, weight 65kg, S code big afraid to tell the truth, the results really big, sleeves and length are slightly longer, but more self-cultivation, I used to tighten the sleeve, it is not ugly. Clothes thin, but windproof, warm and well, more suitable for the fall of the southern area.</v>
      </c>
    </row>
    <row r="2622">
      <c r="A2622" s="1">
        <v>5.0</v>
      </c>
      <c r="B2622" s="1" t="s">
        <v>2615</v>
      </c>
      <c r="C2622" t="str">
        <f>IFERROR(__xludf.DUMMYFUNCTION("GOOGLETRANSLATE(B2622, ""zh"", ""en"")"),"Satisfied with the relatively thick, suitable also very good, style liberal bias")</f>
        <v>Satisfied with the relatively thick, suitable also very good, style liberal bias</v>
      </c>
    </row>
    <row r="2623">
      <c r="A2623" s="1">
        <v>2.0</v>
      </c>
      <c r="B2623" s="1" t="s">
        <v>2616</v>
      </c>
      <c r="C2623" t="str">
        <f>IFERROR(__xludf.DUMMYFUNCTION("GOOGLETRANSLATE(B2623, ""zh"", ""en"")"),"Too large not a little bit")</f>
        <v>Too large not a little bit</v>
      </c>
    </row>
    <row r="2624">
      <c r="A2624" s="1">
        <v>3.0</v>
      </c>
      <c r="B2624" s="1" t="s">
        <v>2617</v>
      </c>
      <c r="C2624" t="str">
        <f>IFERROR(__xludf.DUMMYFUNCTION("GOOGLETRANSLATE(B2624, ""zh"", ""en"")"),"Just start to feel good just start to feel good, but then I was wearing like a child, I put the table to give his brother a ~")</f>
        <v>Just start to feel good just start to feel good, but then I was wearing like a child, I put the table to give his brother a ~</v>
      </c>
    </row>
    <row r="2625">
      <c r="A2625" s="1">
        <v>3.0</v>
      </c>
      <c r="B2625" s="1" t="s">
        <v>2618</v>
      </c>
      <c r="C2625" t="str">
        <f>IFERROR(__xludf.DUMMYFUNCTION("GOOGLETRANSLATE(B2625, ""zh"", ""en"")"),"Hard shoes, hard impermeable instep, slightly walking feet, 38 yards to buy 5uk suitable.")</f>
        <v>Hard shoes, hard impermeable instep, slightly walking feet, 38 yards to buy 5uk suitable.</v>
      </c>
    </row>
    <row r="2626">
      <c r="A2626" s="1">
        <v>1.0</v>
      </c>
      <c r="B2626" s="1" t="s">
        <v>2619</v>
      </c>
      <c r="C2626" t="str">
        <f>IFERROR(__xludf.DUMMYFUNCTION("GOOGLETRANSLATE(B2626, ""zh"", ""en"")"),"2019 can not be charged 1.7 Ri bought this water floss, 5. 28 found can not be charged, can not be used")</f>
        <v>2019 can not be charged 1.7 Ri bought this water floss, 5. 28 found can not be charged, can not be used</v>
      </c>
    </row>
    <row r="2627">
      <c r="A2627" s="1">
        <v>1.0</v>
      </c>
      <c r="B2627" s="1" t="s">
        <v>2620</v>
      </c>
      <c r="C2627" t="str">
        <f>IFERROR(__xludf.DUMMYFUNCTION("GOOGLETRANSLATE(B2627, ""zh"", ""en"")"),"No I just received the goods, the price on more than one hundred, the shoes look really ugly. The pictures fool. Small flaws too much. There is a place has a very serious scratches, really luck shopping. On foot comfort okay.")</f>
        <v>No I just received the goods, the price on more than one hundred, the shoes look really ugly. The pictures fool. Small flaws too much. There is a place has a very serious scratches, really luck shopping. On foot comfort okay.</v>
      </c>
    </row>
    <row r="2628">
      <c r="A2628" s="1">
        <v>1.0</v>
      </c>
      <c r="B2628" s="1" t="s">
        <v>2621</v>
      </c>
      <c r="C2628" t="str">
        <f>IFERROR(__xludf.DUMMYFUNCTION("GOOGLETRANSLATE(B2628, ""zh"", ""en"")"),"When fully charged songs heard ten hours of no electricity when fully charged songs heard ten hours no electricity which is scouring the sea are defective products it arrived scratches on hand ear I do not care What on earth is this not listen to calculat"&amp;"e how long")</f>
        <v>When fully charged songs heard ten hours of no electricity when fully charged songs heard ten hours no electricity which is scouring the sea are defective products it arrived scratches on hand ear I do not care What on earth is this not listen to calculate how long</v>
      </c>
    </row>
    <row r="2629">
      <c r="A2629" s="1">
        <v>4.0</v>
      </c>
      <c r="B2629" s="1" t="s">
        <v>2622</v>
      </c>
      <c r="C2629" t="str">
        <f>IFERROR(__xludf.DUMMYFUNCTION("GOOGLETRANSLATE(B2629, ""zh"", ""en"")"),"Shoes usually wear long United States Code 8.5, because before buy clarks shoes feel is narrow, that it bought 6.5 yards 9 code corresponding to the United States, particularly long shoes, a little bit big, winter wear thick socks")</f>
        <v>Shoes usually wear long United States Code 8.5, because before buy clarks shoes feel is narrow, that it bought 6.5 yards 9 code corresponding to the United States, particularly long shoes, a little bit big, winter wear thick socks</v>
      </c>
    </row>
    <row r="2630">
      <c r="A2630" s="1">
        <v>4.0</v>
      </c>
      <c r="B2630" s="1" t="s">
        <v>2623</v>
      </c>
      <c r="C2630" t="str">
        <f>IFERROR(__xludf.DUMMYFUNCTION("GOOGLETRANSLATE(B2630, ""zh"", ""en"")"),"Line 176 is also high, weight 170, L number similar. Material comfort is also good, that is a little thin point.")</f>
        <v>Line 176 is also high, weight 170, L number similar. Material comfort is also good, that is a little thin point.</v>
      </c>
    </row>
    <row r="2631">
      <c r="A2631" s="1">
        <v>4.0</v>
      </c>
      <c r="B2631" s="1" t="s">
        <v>2624</v>
      </c>
      <c r="C2631" t="str">
        <f>IFERROR(__xludf.DUMMYFUNCTION("GOOGLETRANSLATE(B2631, ""zh"", ""en"")"),"Feel heavy in his hand is heavy not used to start writing was quite smooth, her husband is actually very appreciated, said the hand felt good to write, perhaps the big man strength")</f>
        <v>Feel heavy in his hand is heavy not used to start writing was quite smooth, her husband is actually very appreciated, said the hand felt good to write, perhaps the big man strength</v>
      </c>
    </row>
    <row r="2632">
      <c r="A2632" s="1">
        <v>4.0</v>
      </c>
      <c r="B2632" s="1" t="s">
        <v>2625</v>
      </c>
      <c r="C2632" t="str">
        <f>IFERROR(__xludf.DUMMYFUNCTION("GOOGLETRANSLATE(B2632, ""zh"", ""en"")"),"There are three baby bug's watering artifact learned through a straw! This cup is great! It is always leaking biggest drawback is there is not tight but look at the cover three times sake let the baby learn to call or watering artifact it ~")</f>
        <v>There are three baby bug's watering artifact learned through a straw! This cup is great! It is always leaking biggest drawback is there is not tight but look at the cover three times sake let the baby learn to call or watering artifact it ~</v>
      </c>
    </row>
    <row r="2633">
      <c r="A2633" s="1">
        <v>4.0</v>
      </c>
      <c r="B2633" s="1" t="s">
        <v>2626</v>
      </c>
      <c r="C2633" t="str">
        <f>IFERROR(__xludf.DUMMYFUNCTION("GOOGLETRANSLATE(B2633, ""zh"", ""en"")"),"Thin, decent degree of warmth. You can base, as thin as shown in FIG some degree of warmth in general. You can base, as in FIG.")</f>
        <v>Thin, decent degree of warmth. You can base, as thin as shown in FIG some degree of warmth in general. You can base, as in FIG.</v>
      </c>
    </row>
    <row r="2634">
      <c r="A2634" s="1">
        <v>5.0</v>
      </c>
      <c r="B2634" s="1" t="s">
        <v>2627</v>
      </c>
      <c r="C2634" t="str">
        <f>IFERROR(__xludf.DUMMYFUNCTION("GOOGLETRANSLATE(B2634, ""zh"", ""en"")"),"Large capacity, read fast, cost-effective. Grate used to store image data of the document, just in time for activities, cost-effective, and quickly into one. First stood aside. The actual results to be experience, I believe that Amazon and Western Digital"&amp;". UK direct mail over, satisfaction.")</f>
        <v>Large capacity, read fast, cost-effective. Grate used to store image data of the document, just in time for activities, cost-effective, and quickly into one. First stood aside. The actual results to be experience, I believe that Amazon and Western Digital. UK direct mail over, satisfaction.</v>
      </c>
    </row>
    <row r="2635">
      <c r="A2635" s="1">
        <v>5.0</v>
      </c>
      <c r="B2635" s="1" t="s">
        <v>2628</v>
      </c>
      <c r="C2635" t="str">
        <f>IFERROR(__xludf.DUMMYFUNCTION("GOOGLETRANSLATE(B2635, ""zh"", ""en"")"),"Good quality headphone afraid the price is only in the Amazon to buy, plus a state line, mobile phone push, good")</f>
        <v>Good quality headphone afraid the price is only in the Amazon to buy, plus a state line, mobile phone push, good</v>
      </c>
    </row>
    <row r="2636">
      <c r="A2636" s="1">
        <v>5.0</v>
      </c>
      <c r="B2636" s="1" t="s">
        <v>2629</v>
      </c>
      <c r="C2636" t="str">
        <f>IFERROR(__xludf.DUMMYFUNCTION("GOOGLETRANSLATE(B2636, ""zh"", ""en"")"),"Oh, I like")</f>
        <v>Oh, I like</v>
      </c>
    </row>
    <row r="2637">
      <c r="A2637" s="1">
        <v>5.0</v>
      </c>
      <c r="B2637" s="1" t="s">
        <v>2630</v>
      </c>
      <c r="C2637" t="str">
        <f>IFERROR(__xludf.DUMMYFUNCTION("GOOGLETRANSLATE(B2637, ""zh"", ""en"")"),"Feeling good shoes are very good, just start to feel right front foot wear some shoes at the seams, loose laces look like. Feel good, recommended purchase.")</f>
        <v>Feeling good shoes are very good, just start to feel right front foot wear some shoes at the seams, loose laces look like. Feel good, recommended purchase.</v>
      </c>
    </row>
    <row r="2638">
      <c r="A2638" s="1">
        <v>5.0</v>
      </c>
      <c r="B2638" s="1" t="s">
        <v>2631</v>
      </c>
      <c r="C2638" t="str">
        <f>IFERROR(__xludf.DUMMYFUNCTION("GOOGLETRANSLATE(B2638, ""zh"", ""en"")"),"Read pants pants than the domestic fashion, quality can be, not so thin. Look cleanings in order to determine whether durable.")</f>
        <v>Read pants pants than the domestic fashion, quality can be, not so thin. Look cleanings in order to determine whether durable.</v>
      </c>
    </row>
    <row r="2639">
      <c r="A2639" s="1">
        <v>5.0</v>
      </c>
      <c r="B2639" s="1" t="s">
        <v>2632</v>
      </c>
      <c r="C2639" t="str">
        <f>IFERROR(__xludf.DUMMYFUNCTION("GOOGLETRANSLATE(B2639, ""zh"", ""en"")"),"not bad. Things received, ah well!")</f>
        <v>not bad. Things received, ah well!</v>
      </c>
    </row>
    <row r="2640">
      <c r="A2640" s="1">
        <v>5.0</v>
      </c>
      <c r="B2640" s="1" t="s">
        <v>2633</v>
      </c>
      <c r="C2640" t="str">
        <f>IFERROR(__xludf.DUMMYFUNCTION("GOOGLETRANSLATE(B2640, ""zh"", ""en"")"),"Ergonomic classic style. N times wearing shoes. so comfy!")</f>
        <v>Ergonomic classic style. N times wearing shoes. so comfy!</v>
      </c>
    </row>
    <row r="2641">
      <c r="A2641" s="1">
        <v>5.0</v>
      </c>
      <c r="B2641" s="1" t="s">
        <v>2634</v>
      </c>
      <c r="C2641" t="str">
        <f>IFERROR(__xludf.DUMMYFUNCTION("GOOGLETRANSLATE(B2641, ""zh"", ""en"")"),"The practical import of machine to buy a 6700 yuan, break out of the milk is very delicate, at least 20 days a month will do morning nutrition gooey. This is for my mother to buy, purchasing, just from the bottom to the receipt probably less than a month,"&amp;" the other with a transformer, the price is cheaper than 2,000. It is the same two machines with the same, so do not hurry, a lot of benefits to purchasing. The only flaw is the need for purchasing with a large transformer.")</f>
        <v>The practical import of machine to buy a 6700 yuan, break out of the milk is very delicate, at least 20 days a month will do morning nutrition gooey. This is for my mother to buy, purchasing, just from the bottom to the receipt probably less than a month, the other with a transformer, the price is cheaper than 2,000. It is the same two machines with the same, so do not hurry, a lot of benefits to purchasing. The only flaw is the need for purchasing with a large transformer.</v>
      </c>
    </row>
    <row r="2642">
      <c r="A2642" s="1">
        <v>5.0</v>
      </c>
      <c r="B2642" s="1" t="s">
        <v>2635</v>
      </c>
      <c r="C2642" t="str">
        <f>IFERROR(__xludf.DUMMYFUNCTION("GOOGLETRANSLATE(B2642, ""zh"", ""en"")"),"172,70 worth having to buy the S code, just right, simply custom-made, good quality clothes, worthy of the price")</f>
        <v>172,70 worth having to buy the S code, just right, simply custom-made, good quality clothes, worthy of the price</v>
      </c>
    </row>
    <row r="2643">
      <c r="A2643" s="1">
        <v>5.0</v>
      </c>
      <c r="B2643" s="1" t="s">
        <v>2636</v>
      </c>
      <c r="C2643" t="str">
        <f>IFERROR(__xludf.DUMMYFUNCTION("GOOGLETRANSLATE(B2643, ""zh"", ""en"")"),"Very good product a product that I am very satisfied.")</f>
        <v>Very good product a product that I am very satisfied.</v>
      </c>
    </row>
    <row r="2644">
      <c r="A2644" s="1">
        <v>5.0</v>
      </c>
      <c r="B2644" s="1" t="s">
        <v>2637</v>
      </c>
      <c r="C2644" t="str">
        <f>IFERROR(__xludf.DUMMYFUNCTION("GOOGLETRANSLATE(B2644, ""zh"", ""en"")"),"Did a good buy used once, dough pretty fast, easily the glove film, like bread is very suitable!")</f>
        <v>Did a good buy used once, dough pretty fast, easily the glove film, like bread is very suitable!</v>
      </c>
    </row>
    <row r="2645">
      <c r="A2645" s="1">
        <v>5.0</v>
      </c>
      <c r="B2645" s="1" t="s">
        <v>2638</v>
      </c>
      <c r="C2645" t="str">
        <f>IFERROR(__xludf.DUMMYFUNCTION("GOOGLETRANSLATE(B2645, ""zh"", ""en"")"),"Much better good. 172/72 / S suitable")</f>
        <v>Much better good. 172/72 / S suitable</v>
      </c>
    </row>
    <row r="2646">
      <c r="A2646" s="1">
        <v>5.0</v>
      </c>
      <c r="B2646" s="1" t="s">
        <v>2639</v>
      </c>
      <c r="C2646" t="str">
        <f>IFERROR(__xludf.DUMMYFUNCTION("GOOGLETRANSLATE(B2646, ""zh"", ""en"")"),"Good very good")</f>
        <v>Good very good</v>
      </c>
    </row>
    <row r="2647">
      <c r="A2647" s="1">
        <v>5.0</v>
      </c>
      <c r="B2647" s="1" t="s">
        <v>2640</v>
      </c>
      <c r="C2647" t="str">
        <f>IFERROR(__xludf.DUMMYFUNCTION("GOOGLETRANSLATE(B2647, ""zh"", ""en"")"),"Easy to use! Very easy to use, the capacity is also large enough, cooked white fungus soup stew one night will be very thick or very hot, just eat in the morning. very satisfied.")</f>
        <v>Easy to use! Very easy to use, the capacity is also large enough, cooked white fungus soup stew one night will be very thick or very hot, just eat in the morning. very satisfied.</v>
      </c>
    </row>
    <row r="2648">
      <c r="A2648" s="1">
        <v>5.0</v>
      </c>
      <c r="B2648" s="1" t="s">
        <v>2641</v>
      </c>
      <c r="C2648" t="str">
        <f>IFERROR(__xludf.DUMMYFUNCTION("GOOGLETRANSLATE(B2648, ""zh"", ""en"")"),"Like Ecco shoes like Ecco shoes, the soles are comfortable, how to wear feet are not tired, do not wear high heels, I can")</f>
        <v>Like Ecco shoes like Ecco shoes, the soles are comfortable, how to wear feet are not tired, do not wear high heels, I can</v>
      </c>
    </row>
    <row r="2649">
      <c r="A2649" s="1">
        <v>5.0</v>
      </c>
      <c r="B2649" s="1" t="s">
        <v>2642</v>
      </c>
      <c r="C2649" t="str">
        <f>IFERROR(__xludf.DUMMYFUNCTION("GOOGLETRANSLATE(B2649, ""zh"", ""en"")"),"Superfine pressure water hole very comfortable. Sometimes the old house water pressure does not work, you can always take a bath supercharging great effect.")</f>
        <v>Superfine pressure water hole very comfortable. Sometimes the old house water pressure does not work, you can always take a bath supercharging great effect.</v>
      </c>
    </row>
    <row r="2650">
      <c r="A2650" s="1">
        <v>5.0</v>
      </c>
      <c r="B2650" s="1" t="s">
        <v>2643</v>
      </c>
      <c r="C2650" t="str">
        <f>IFERROR(__xludf.DUMMYFUNCTION("GOOGLETRANSLATE(B2650, ""zh"", ""en"")"),"Really good good good good good good good won the championship won the championship really good")</f>
        <v>Really good good good good good good good won the championship won the championship really good</v>
      </c>
    </row>
    <row r="2651">
      <c r="A2651" s="1">
        <v>5.0</v>
      </c>
      <c r="B2651" s="1" t="s">
        <v>2644</v>
      </c>
      <c r="C2651" t="str">
        <f>IFERROR(__xludf.DUMMYFUNCTION("GOOGLETRANSLATE(B2651, ""zh"", ""en"")"),"The right size, good quality, read a lot of reviews before buying handsome, most worried about size issues, has done so much homework, finally received the goods very satisfied, it seems useful to do homework or sports shoes 42 yards, I shot 7.5 feet feel"&amp;" so relatively wide shot of 7.5 w, a week to Chongqing, the foot is really handsome, the first overseas purchase very pleased to see some minor problems some buyers received, this may or look luck!")</f>
        <v>The right size, good quality, read a lot of reviews before buying handsome, most worried about size issues, has done so much homework, finally received the goods very satisfied, it seems useful to do homework or sports shoes 42 yards, I shot 7.5 feet feel so relatively wide shot of 7.5 w, a week to Chongqing, the foot is really handsome, the first overseas purchase very pleased to see some minor problems some buyers received, this may or look luck!</v>
      </c>
    </row>
    <row r="2652">
      <c r="A2652" s="1">
        <v>5.0</v>
      </c>
      <c r="B2652" s="1" t="s">
        <v>2645</v>
      </c>
      <c r="C2652" t="str">
        <f>IFERROR(__xludf.DUMMYFUNCTION("GOOGLETRANSLATE(B2652, ""zh"", ""en"")"),"Good health care, good products, has been patronizing the brand. Good health care, good products, has been patronizing the brand.")</f>
        <v>Good health care, good products, has been patronizing the brand. Good health care, good products, has been patronizing the brand.</v>
      </c>
    </row>
    <row r="2653">
      <c r="A2653" s="1">
        <v>5.0</v>
      </c>
      <c r="B2653" s="1" t="s">
        <v>2646</v>
      </c>
      <c r="C2653" t="str">
        <f>IFERROR(__xludf.DUMMYFUNCTION("GOOGLETRANSLATE(B2653, ""zh"", ""en"")"),"Very good, high cost, capsule coffee at home")</f>
        <v>Very good, high cost, capsule coffee at home</v>
      </c>
    </row>
    <row r="2654">
      <c r="A2654" s="1">
        <v>5.0</v>
      </c>
      <c r="B2654" s="1" t="s">
        <v>2647</v>
      </c>
      <c r="C2654" t="str">
        <f>IFERROR(__xludf.DUMMYFUNCTION("GOOGLETRANSLATE(B2654, ""zh"", ""en"")"),"Note Note that the shape is elliptical, not round.")</f>
        <v>Note Note that the shape is elliptical, not round.</v>
      </c>
    </row>
    <row r="2655">
      <c r="A2655" s="1">
        <v>5.0</v>
      </c>
      <c r="B2655" s="1" t="s">
        <v>2648</v>
      </c>
      <c r="C2655" t="str">
        <f>IFERROR(__xludf.DUMMYFUNCTION("GOOGLETRANSLATE(B2655, ""zh"", ""en"")"),"Something good, very affordable, I 170CM, 80KG, belongs to fat people, large belly, size fit. Quality is no problem, these three color is also very good.")</f>
        <v>Something good, very affordable, I 170CM, 80KG, belongs to fat people, large belly, size fit. Quality is no problem, these three color is also very good.</v>
      </c>
    </row>
    <row r="2656">
      <c r="A2656" s="1">
        <v>2.0</v>
      </c>
      <c r="B2656" s="1" t="s">
        <v>2649</v>
      </c>
      <c r="C2656" t="str">
        <f>IFERROR(__xludf.DUMMYFUNCTION("GOOGLETRANSLATE(B2656, ""zh"", ""en"")"),"How to write the title. After receiving the kind, I am a little disappointed. This package again slightly larger fine.")</f>
        <v>How to write the title. After receiving the kind, I am a little disappointed. This package again slightly larger fine.</v>
      </c>
    </row>
    <row r="2657">
      <c r="A2657" s="1">
        <v>3.0</v>
      </c>
      <c r="B2657" s="1" t="s">
        <v>2650</v>
      </c>
      <c r="C2657" t="str">
        <f>IFERROR(__xludf.DUMMYFUNCTION("GOOGLETRANSLATE(B2657, ""zh"", ""en"")"),"Pilling easy to buy her daughter, wearing a not long ass from the ball, do not wear, saying it was not good.")</f>
        <v>Pilling easy to buy her daughter, wearing a not long ass from the ball, do not wear, saying it was not good.</v>
      </c>
    </row>
    <row r="2658">
      <c r="A2658" s="1">
        <v>3.0</v>
      </c>
      <c r="B2658" s="1" t="s">
        <v>2651</v>
      </c>
      <c r="C2658" t="str">
        <f>IFERROR(__xludf.DUMMYFUNCTION("GOOGLETRANSLATE(B2658, ""zh"", ""en"")"),"Return to have little toe suede are uniform cross-")</f>
        <v>Return to have little toe suede are uniform cross-</v>
      </c>
    </row>
    <row r="2659">
      <c r="A2659" s="1">
        <v>3.0</v>
      </c>
      <c r="B2659" s="1" t="s">
        <v>2652</v>
      </c>
      <c r="C2659" t="str">
        <f>IFERROR(__xludf.DUMMYFUNCTION("GOOGLETRANSLATE(B2659, ""zh"", ""en"")"),"Large size table inaccurate, misleading consumers")</f>
        <v>Large size table inaccurate, misleading consumers</v>
      </c>
    </row>
    <row r="2660">
      <c r="A2660" s="1">
        <v>1.0</v>
      </c>
      <c r="B2660" s="1" t="s">
        <v>2653</v>
      </c>
      <c r="C2660" t="str">
        <f>IFERROR(__xludf.DUMMYFUNCTION("GOOGLETRANSLATE(B2660, ""zh"", ""en"")"),"Poor cloth fabric is very hard, I feel like sandpaper")</f>
        <v>Poor cloth fabric is very hard, I feel like sandpaper</v>
      </c>
    </row>
    <row r="2661">
      <c r="A2661" s="1">
        <v>1.0</v>
      </c>
      <c r="B2661" s="1" t="s">
        <v>2654</v>
      </c>
      <c r="C2661" t="str">
        <f>IFERROR(__xludf.DUMMYFUNCTION("GOOGLETRANSLATE(B2661, ""zh"", ""en"")"),"ck men's underwear, thread a lot Yeah, Kenya manufacture feels good quality in general, looks very thin translucent fabric also feels a long time will not wear the same piercing, to be honest a little disappointed! No domestic underwear dozens of pieces o"&amp;"f good!")</f>
        <v>ck men's underwear, thread a lot Yeah, Kenya manufacture feels good quality in general, looks very thin translucent fabric also feels a long time will not wear the same piercing, to be honest a little disappointed! No domestic underwear dozens of pieces of good!</v>
      </c>
    </row>
    <row r="2662">
      <c r="A2662" s="1">
        <v>1.0</v>
      </c>
      <c r="B2662" s="1" t="s">
        <v>2655</v>
      </c>
      <c r="C2662" t="str">
        <f>IFERROR(__xludf.DUMMYFUNCTION("GOOGLETRANSLATE(B2662, ""zh"", ""en"")"),"Bad, very bad! Taste great, like defective! Anta's much better than it is, conscience! Amazon after insulation with me, decisive unload!")</f>
        <v>Bad, very bad! Taste great, like defective! Anta's much better than it is, conscience! Amazon after insulation with me, decisive unload!</v>
      </c>
    </row>
    <row r="2663">
      <c r="A2663" s="1">
        <v>4.0</v>
      </c>
      <c r="B2663" s="1" t="s">
        <v>2656</v>
      </c>
      <c r="C2663" t="str">
        <f>IFERROR(__xludf.DUMMYFUNCTION("GOOGLETRANSLATE(B2663, ""zh"", ""en"")"),"It can also 300mb / sec, low-speed disk, the price is cheap.")</f>
        <v>It can also 300mb / sec, low-speed disk, the price is cheap.</v>
      </c>
    </row>
    <row r="2664">
      <c r="A2664" s="1">
        <v>4.0</v>
      </c>
      <c r="B2664" s="1" t="s">
        <v>2657</v>
      </c>
      <c r="C2664" t="str">
        <f>IFERROR(__xludf.DUMMYFUNCTION("GOOGLETRANSLATE(B2664, ""zh"", ""en"")"),"Also can listen to the last customer to buy a pair of 41 back top 7.5 feet do not bother to back, just the number 8. Overall good, is feeling good thin canvas, do not know there is no Danner durable. Delivery is fast")</f>
        <v>Also can listen to the last customer to buy a pair of 41 back top 7.5 feet do not bother to back, just the number 8. Overall good, is feeling good thin canvas, do not know there is no Danner durable. Delivery is fast</v>
      </c>
    </row>
    <row r="2665">
      <c r="A2665" s="1">
        <v>4.0</v>
      </c>
      <c r="B2665" s="1" t="s">
        <v>2658</v>
      </c>
      <c r="C2665" t="str">
        <f>IFERROR(__xludf.DUMMYFUNCTION("GOOGLETRANSLATE(B2665, ""zh"", ""en"")"),"Belfast City time quartz watch is accurate, is easy to scratch the surface, I bought less than a month to use scratched!")</f>
        <v>Belfast City time quartz watch is accurate, is easy to scratch the surface, I bought less than a month to use scratched!</v>
      </c>
    </row>
    <row r="2666">
      <c r="A2666" s="1">
        <v>4.0</v>
      </c>
      <c r="B2666" s="1" t="s">
        <v>2659</v>
      </c>
      <c r="C2666" t="str">
        <f>IFERROR(__xludf.DUMMYFUNCTION("GOOGLETRANSLATE(B2666, ""zh"", ""en"")"),"Good quality material workmanship are good, medium thickness, suitable for spring and autumn wear.")</f>
        <v>Good quality material workmanship are good, medium thickness, suitable for spring and autumn wear.</v>
      </c>
    </row>
    <row r="2667">
      <c r="A2667" s="1">
        <v>4.0</v>
      </c>
      <c r="B2667" s="1" t="s">
        <v>2660</v>
      </c>
      <c r="C2667" t="str">
        <f>IFERROR(__xludf.DUMMYFUNCTION("GOOGLETRANSLATE(B2667, ""zh"", ""en"")"),"Dark colors fade gall fade, the rest are okay, thread ran the line")</f>
        <v>Dark colors fade gall fade, the rest are okay, thread ran the line</v>
      </c>
    </row>
    <row r="2668">
      <c r="A2668" s="1">
        <v>5.0</v>
      </c>
      <c r="B2668" s="1" t="s">
        <v>2661</v>
      </c>
      <c r="C2668" t="str">
        <f>IFERROR(__xludf.DUMMYFUNCTION("GOOGLETRANSLATE(B2668, ""zh"", ""en"")"),"Praise acridine. Ultra-fast. feel good.")</f>
        <v>Praise acridine. Ultra-fast. feel good.</v>
      </c>
    </row>
    <row r="2669">
      <c r="A2669" s="1">
        <v>5.0</v>
      </c>
      <c r="B2669" s="1" t="s">
        <v>2662</v>
      </c>
      <c r="C2669" t="str">
        <f>IFERROR(__xludf.DUMMYFUNCTION("GOOGLETRANSLATE(B2669, ""zh"", ""en"")"),"Satisfied with his meniscus hurt, previously eaten this brand of red bottle, this time for the green bottle, eat for two days feeling good, affordable, convenient Amazon China's overseas purchase also fast ~")</f>
        <v>Satisfied with his meniscus hurt, previously eaten this brand of red bottle, this time for the green bottle, eat for two days feeling good, affordable, convenient Amazon China's overseas purchase also fast ~</v>
      </c>
    </row>
    <row r="2670">
      <c r="A2670" s="1">
        <v>5.0</v>
      </c>
      <c r="B2670" s="1" t="s">
        <v>2663</v>
      </c>
      <c r="C2670" t="str">
        <f>IFERROR(__xludf.DUMMYFUNCTION("GOOGLETRANSLATE(B2670, ""zh"", ""en"")"),"Something good logistics super power, hard drive speed is okay, do not know tolerance is not easily broken, after all, new technologies")</f>
        <v>Something good logistics super power, hard drive speed is okay, do not know tolerance is not easily broken, after all, new technologies</v>
      </c>
    </row>
    <row r="2671">
      <c r="A2671" s="1">
        <v>5.0</v>
      </c>
      <c r="B2671" s="1" t="s">
        <v>2664</v>
      </c>
      <c r="C2671" t="str">
        <f>IFERROR(__xludf.DUMMYFUNCTION("GOOGLETRANSLATE(B2671, ""zh"", ""en"")"),"Enamel pot well, a few times, very good, the pot is also no blemishes, try not to use gas, preferably with cooker.")</f>
        <v>Enamel pot well, a few times, very good, the pot is also no blemishes, try not to use gas, preferably with cooker.</v>
      </c>
    </row>
    <row r="2672">
      <c r="A2672" s="1">
        <v>5.0</v>
      </c>
      <c r="B2672" s="1" t="s">
        <v>2665</v>
      </c>
      <c r="C2672" t="str">
        <f>IFERROR(__xludf.DUMMYFUNCTION("GOOGLETRANSLATE(B2672, ""zh"", ""en"")"),"Yes, very comfortable. Worth buying ..... 160 feet long, to buy 8.5, compare and feet. Good quality shoes, very comfortable to wear for the first time to buy expensive shoes, or online shopping, scouring the sea. Actually the first in line to buy shoes, d"&amp;"ress pants, after all, not even a little discomfort will be, shoes, will not this thing ah! Prior to the arrival or some small worry, though, feel very comfortable to wear, shoes quality is also good.")</f>
        <v>Yes, very comfortable. Worth buying ..... 160 feet long, to buy 8.5, compare and feet. Good quality shoes, very comfortable to wear for the first time to buy expensive shoes, or online shopping, scouring the sea. Actually the first in line to buy shoes, dress pants, after all, not even a little discomfort will be, shoes, will not this thing ah! Prior to the arrival or some small worry, though, feel very comfortable to wear, shoes quality is also good.</v>
      </c>
    </row>
    <row r="2673">
      <c r="A2673" s="1">
        <v>5.0</v>
      </c>
      <c r="B2673" s="1" t="s">
        <v>2666</v>
      </c>
      <c r="C2673" t="str">
        <f>IFERROR(__xludf.DUMMYFUNCTION("GOOGLETRANSLATE(B2673, ""zh"", ""en"")"),"This really is very good, with the quality of workmanship is very good, looks great, is the manual is in English, can not see")</f>
        <v>This really is very good, with the quality of workmanship is very good, looks great, is the manual is in English, can not see</v>
      </c>
    </row>
    <row r="2674">
      <c r="A2674" s="1">
        <v>5.0</v>
      </c>
      <c r="B2674" s="1" t="s">
        <v>2667</v>
      </c>
      <c r="C2674" t="str">
        <f>IFERROR(__xludf.DUMMYFUNCTION("GOOGLETRANSLATE(B2674, ""zh"", ""en"")"),"More appropriate, cost-effective, a little big, not very serious than expected little freshman, Portugal production, work can be, the lack of some details. Wearing a very comfortable, rugged than the picture to appear. The key is cost-effective, domestic "&amp;"2300")</f>
        <v>More appropriate, cost-effective, a little big, not very serious than expected little freshman, Portugal production, work can be, the lack of some details. Wearing a very comfortable, rugged than the picture to appear. The key is cost-effective, domestic 2300</v>
      </c>
    </row>
    <row r="2675">
      <c r="A2675" s="1">
        <v>5.0</v>
      </c>
      <c r="B2675" s="1" t="s">
        <v>2668</v>
      </c>
      <c r="C2675" t="str">
        <f>IFERROR(__xludf.DUMMYFUNCTION("GOOGLETRANSLATE(B2675, ""zh"", ""en"")"),"Praise pants type version is very good, good quality 👍. Seasons, soft and comfortable.")</f>
        <v>Praise pants type version is very good, good quality 👍. Seasons, soft and comfortable.</v>
      </c>
    </row>
    <row r="2676">
      <c r="A2676" s="1">
        <v>5.0</v>
      </c>
      <c r="B2676" s="1" t="s">
        <v>2669</v>
      </c>
      <c r="C2676" t="str">
        <f>IFERROR(__xludf.DUMMYFUNCTION("GOOGLETRANSLATE(B2676, ""zh"", ""en"")"),"Bang Bang bought years ago, about ten days to go. Shoes is none, perfect in all aspects.")</f>
        <v>Bang Bang bought years ago, about ten days to go. Shoes is none, perfect in all aspects.</v>
      </c>
    </row>
    <row r="2677">
      <c r="A2677" s="1">
        <v>5.0</v>
      </c>
      <c r="B2677" s="1" t="s">
        <v>2670</v>
      </c>
      <c r="C2677" t="str">
        <f>IFERROR(__xludf.DUMMYFUNCTION("GOOGLETRANSLATE(B2677, ""zh"", ""en"")"),"The most important is not fake good, inexpensive.")</f>
        <v>The most important is not fake good, inexpensive.</v>
      </c>
    </row>
    <row r="2678">
      <c r="A2678" s="1">
        <v>5.0</v>
      </c>
      <c r="B2678" s="1" t="s">
        <v>2671</v>
      </c>
      <c r="C2678" t="str">
        <f>IFERROR(__xludf.DUMMYFUNCTION("GOOGLETRANSLATE(B2678, ""zh"", ""en"")"),"Yes! High 165, 140 pounds, wearing a small yard just!")</f>
        <v>Yes! High 165, 140 pounds, wearing a small yard just!</v>
      </c>
    </row>
    <row r="2679">
      <c r="A2679" s="1">
        <v>5.0</v>
      </c>
      <c r="B2679" s="1" t="s">
        <v>2672</v>
      </c>
      <c r="C2679" t="str">
        <f>IFERROR(__xludf.DUMMYFUNCTION("GOOGLETRANSLATE(B2679, ""zh"", ""en"")"),"Something good, you can continue to buy something good, we will continue to buy")</f>
        <v>Something good, you can continue to buy something good, we will continue to buy</v>
      </c>
    </row>
    <row r="2680">
      <c r="A2680" s="1">
        <v>5.0</v>
      </c>
      <c r="B2680" s="1" t="s">
        <v>2673</v>
      </c>
      <c r="C2680" t="str">
        <f>IFERROR(__xludf.DUMMYFUNCTION("GOOGLETRANSLATE(B2680, ""zh"", ""en"")"),"Satisfied satisfied very suitable for the whole five minutes, very good store service, timely delivery, quality is really super good.")</f>
        <v>Satisfied satisfied very suitable for the whole five minutes, very good store service, timely delivery, quality is really super good.</v>
      </c>
    </row>
    <row r="2681">
      <c r="A2681" s="1">
        <v>5.0</v>
      </c>
      <c r="B2681" s="1" t="s">
        <v>2674</v>
      </c>
      <c r="C2681" t="str">
        <f>IFERROR(__xludf.DUMMYFUNCTION("GOOGLETRANSLATE(B2681, ""zh"", ""en"")"),"Sound good microphone microphone 🎙️")</f>
        <v>Sound good microphone microphone 🎙️</v>
      </c>
    </row>
    <row r="2682">
      <c r="A2682" s="1">
        <v>5.0</v>
      </c>
      <c r="B2682" s="1" t="s">
        <v>2675</v>
      </c>
      <c r="C2682" t="str">
        <f>IFERROR(__xludf.DUMMYFUNCTION("GOOGLETRANSLATE(B2682, ""zh"", ""en"")"),"Shower so small! Something great weight, small shower, manual clearly see, it is really neon nation, very powerful comic skills.")</f>
        <v>Shower so small! Something great weight, small shower, manual clearly see, it is really neon nation, very powerful comic skills.</v>
      </c>
    </row>
    <row r="2683">
      <c r="A2683" s="1">
        <v>5.0</v>
      </c>
      <c r="B2683" s="1" t="s">
        <v>2676</v>
      </c>
      <c r="C2683" t="str">
        <f>IFERROR(__xludf.DUMMYFUNCTION("GOOGLETRANSLATE(B2683, ""zh"", ""en"")"),"First time to buy, buy the wrong version bought the wrong, should buy the B version, bought the W version, very wide, very good quality boots.")</f>
        <v>First time to buy, buy the wrong version bought the wrong, should buy the B version, bought the W version, very wide, very good quality boots.</v>
      </c>
    </row>
    <row r="2684">
      <c r="A2684" s="1">
        <v>5.0</v>
      </c>
      <c r="B2684" s="1" t="s">
        <v>2677</v>
      </c>
      <c r="C2684" t="str">
        <f>IFERROR(__xludf.DUMMYFUNCTION("GOOGLETRANSLATE(B2684, ""zh"", ""en"")"),"Lee Men's Performance Series Slim trousers quality can be extremely comfortable, a little long, a little big size, I just pre-small one yard. Fight tax and shipping a bit expensive.")</f>
        <v>Lee Men's Performance Series Slim trousers quality can be extremely comfortable, a little long, a little big size, I just pre-small one yard. Fight tax and shipping a bit expensive.</v>
      </c>
    </row>
    <row r="2685">
      <c r="A2685" s="1">
        <v>5.0</v>
      </c>
      <c r="B2685" s="1" t="s">
        <v>2678</v>
      </c>
      <c r="C2685" t="str">
        <f>IFERROR(__xludf.DUMMYFUNCTION("GOOGLETRANSLATE(B2685, ""zh"", ""en"")"),"Yes affordable, good quality pants")</f>
        <v>Yes affordable, good quality pants</v>
      </c>
    </row>
    <row r="2686">
      <c r="A2686" s="1">
        <v>5.0</v>
      </c>
      <c r="B2686" s="1" t="s">
        <v>2679</v>
      </c>
      <c r="C2686" t="str">
        <f>IFERROR(__xludf.DUMMYFUNCTION("GOOGLETRANSLATE(B2686, ""zh"", ""en"")"),"Even newborns are particularly good, we recommended to buy large, the baby every day, wearing sleep particularly well. Expensive, can be worn all year round, high usage rate")</f>
        <v>Even newborns are particularly good, we recommended to buy large, the baby every day, wearing sleep particularly well. Expensive, can be worn all year round, high usage rate</v>
      </c>
    </row>
    <row r="2687">
      <c r="A2687" s="1">
        <v>5.0</v>
      </c>
      <c r="B2687" s="1" t="s">
        <v>2680</v>
      </c>
      <c r="C2687" t="str">
        <f>IFERROR(__xludf.DUMMYFUNCTION("GOOGLETRANSLATE(B2687, ""zh"", ""en"")"),"Very good shopping just the right size, good quality")</f>
        <v>Very good shopping just the right size, good quality</v>
      </c>
    </row>
    <row r="2688">
      <c r="A2688" s="1">
        <v>5.0</v>
      </c>
      <c r="B2688" s="1" t="s">
        <v>2681</v>
      </c>
      <c r="C2688" t="str">
        <f>IFERROR(__xludf.DUMMYFUNCTION("GOOGLETRANSLATE(B2688, ""zh"", ""en"")"),"Amazon should really buy a second time, not to open bottles. Are bought on a previous East, Amazon feels more real, you know; look at packaging bottles are almost flat against the stick was not standard, alas ...... self Amazon should not have fake it!")</f>
        <v>Amazon should really buy a second time, not to open bottles. Are bought on a previous East, Amazon feels more real, you know; look at packaging bottles are almost flat against the stick was not standard, alas ...... self Amazon should not have fake it!</v>
      </c>
    </row>
    <row r="2689">
      <c r="A2689" s="1">
        <v>2.0</v>
      </c>
      <c r="B2689" s="1" t="s">
        <v>2682</v>
      </c>
      <c r="C2689" t="str">
        <f>IFERROR(__xludf.DUMMYFUNCTION("GOOGLETRANSLATE(B2689, ""zh"", ""en"")"),"Why not the same with the packaging I used to buy the packaging is not the same")</f>
        <v>Why not the same with the packaging I used to buy the packaging is not the same</v>
      </c>
    </row>
    <row r="2690">
      <c r="A2690" s="1">
        <v>3.0</v>
      </c>
      <c r="B2690" s="1" t="s">
        <v>2683</v>
      </c>
      <c r="C2690" t="str">
        <f>IFERROR(__xludf.DUMMYFUNCTION("GOOGLETRANSLATE(B2690, ""zh"", ""en"")"),"Color is good, code number is too large, leather shoes and general workmanship is good, a little hard leather, soles very comfortable even thin insoles, shoe size is too large number recommended by the foot usually buy a small one yard, but a month is not"&amp;" enough to wear a tongue skin surface to come forward burst, which is the main reason for three stars, not overseas purchase I thought I Maidaojiahuo")</f>
        <v>Color is good, code number is too large, leather shoes and general workmanship is good, a little hard leather, soles very comfortable even thin insoles, shoe size is too large number recommended by the foot usually buy a small one yard, but a month is not enough to wear a tongue skin surface to come forward burst, which is the main reason for three stars, not overseas purchase I thought I Maidaojiahuo</v>
      </c>
    </row>
    <row r="2691">
      <c r="A2691" s="1">
        <v>3.0</v>
      </c>
      <c r="B2691" s="1" t="s">
        <v>2684</v>
      </c>
      <c r="C2691" t="str">
        <f>IFERROR(__xludf.DUMMYFUNCTION("GOOGLETRANSLATE(B2691, ""zh"", ""en"")"),"With this cup, baby drink pretty easy to fall in love, the children take the cup light enough, you could be opening the lid to drink")</f>
        <v>With this cup, baby drink pretty easy to fall in love, the children take the cup light enough, you could be opening the lid to drink</v>
      </c>
    </row>
    <row r="2692">
      <c r="A2692" s="1">
        <v>3.0</v>
      </c>
      <c r="B2692" s="1" t="s">
        <v>2685</v>
      </c>
      <c r="C2692" t="str">
        <f>IFERROR(__xludf.DUMMYFUNCTION("GOOGLETRANSLATE(B2692, ""zh"", ""en"")"),"Suitable dimensions 32 × 30, but the bottom end of the legs some fat. Not Slim models pants waist size is appropriate. However, partial fat legs, if it is not thin wear.")</f>
        <v>Suitable dimensions 32 × 30, but the bottom end of the legs some fat. Not Slim models pants waist size is appropriate. However, partial fat legs, if it is not thin wear.</v>
      </c>
    </row>
    <row r="2693">
      <c r="A2693" s="1">
        <v>1.0</v>
      </c>
      <c r="B2693" s="1" t="s">
        <v>2686</v>
      </c>
      <c r="C2693" t="str">
        <f>IFERROR(__xludf.DUMMYFUNCTION("GOOGLETRANSLATE(B2693, ""zh"", ""en"")"),"Clothes too big, just like ordinary shirt feeling is completely incompatible with the picture, the picture looks like a textured jacket, middle shipments to write two hundred four dozen grams. The actual increase is a version of the shirt, and white for s"&amp;"o many days, too disappointed")</f>
        <v>Clothes too big, just like ordinary shirt feeling is completely incompatible with the picture, the picture looks like a textured jacket, middle shipments to write two hundred four dozen grams. The actual increase is a version of the shirt, and white for so many days, too disappointed</v>
      </c>
    </row>
    <row r="2694">
      <c r="A2694" s="1">
        <v>1.0</v>
      </c>
      <c r="B2694" s="1" t="s">
        <v>2687</v>
      </c>
      <c r="C2694" t="str">
        <f>IFERROR(__xludf.DUMMYFUNCTION("GOOGLETRANSLATE(B2694, ""zh"", ""en"")"),"No use, eat and do not eat all the same to no avail, to eat and not eat all the same")</f>
        <v>No use, eat and do not eat all the same to no avail, to eat and not eat all the same</v>
      </c>
    </row>
    <row r="2695">
      <c r="A2695" s="1">
        <v>4.0</v>
      </c>
      <c r="B2695" s="1" t="s">
        <v>2688</v>
      </c>
      <c r="C2695" t="str">
        <f>IFERROR(__xludf.DUMMYFUNCTION("GOOGLETRANSLATE(B2695, ""zh"", ""en"")"),"Wear simple, easy to adjust the tension a little expensive ah, today to the goods, has been wearing a corrective, adhere to adhere")</f>
        <v>Wear simple, easy to adjust the tension a little expensive ah, today to the goods, has been wearing a corrective, adhere to adhere</v>
      </c>
    </row>
    <row r="2696">
      <c r="A2696" s="1">
        <v>4.0</v>
      </c>
      <c r="B2696" s="1" t="s">
        <v>2689</v>
      </c>
      <c r="C2696" t="str">
        <f>IFERROR(__xludf.DUMMYFUNCTION("GOOGLETRANSLATE(B2696, ""zh"", ""en"")"),"Small hey, better than expected small, good quality")</f>
        <v>Small hey, better than expected small, good quality</v>
      </c>
    </row>
    <row r="2697">
      <c r="A2697" s="1">
        <v>4.0</v>
      </c>
      <c r="B2697" s="1" t="s">
        <v>2690</v>
      </c>
      <c r="C2697" t="str">
        <f>IFERROR(__xludf.DUMMYFUNCTION("GOOGLETRANSLATE(B2697, ""zh"", ""en"")"),"Thick light-colored trousers type trousers are feeling, loose pants, thick material. Intention to buy thin. But the introduction of goods without relevant content, there is no waiter consult.")</f>
        <v>Thick light-colored trousers type trousers are feeling, loose pants, thick material. Intention to buy thin. But the introduction of goods without relevant content, there is no waiter consult.</v>
      </c>
    </row>
    <row r="2698">
      <c r="A2698" s="1">
        <v>4.0</v>
      </c>
      <c r="B2698" s="1" t="s">
        <v>2691</v>
      </c>
      <c r="C2698" t="str">
        <f>IFERROR(__xludf.DUMMYFUNCTION("GOOGLETRANSLATE(B2698, ""zh"", ""en"")"),"Just put the sheets down to spend less than seven months of children missing his feet, could not stop the children kicking quilt.")</f>
        <v>Just put the sheets down to spend less than seven months of children missing his feet, could not stop the children kicking quilt.</v>
      </c>
    </row>
    <row r="2699">
      <c r="A2699" s="1">
        <v>5.0</v>
      </c>
      <c r="B2699" s="1" t="s">
        <v>2692</v>
      </c>
      <c r="C2699" t="str">
        <f>IFERROR(__xludf.DUMMYFUNCTION("GOOGLETRANSLATE(B2699, ""zh"", ""en"")"),"The effect is obvious, very good delivery speed effect, drink a spoonful kick the ball, the next day basically not sour, chocolate taste is not bad. Logistics quickly issued ups")</f>
        <v>The effect is obvious, very good delivery speed effect, drink a spoonful kick the ball, the next day basically not sour, chocolate taste is not bad. Logistics quickly issued ups</v>
      </c>
    </row>
    <row r="2700">
      <c r="A2700" s="1">
        <v>5.0</v>
      </c>
      <c r="B2700" s="1" t="s">
        <v>2693</v>
      </c>
      <c r="C2700" t="str">
        <f>IFERROR(__xludf.DUMMYFUNCTION("GOOGLETRANSLATE(B2700, ""zh"", ""en"")"),"Fit the description and price match, normal quality")</f>
        <v>Fit the description and price match, normal quality</v>
      </c>
    </row>
    <row r="2701">
      <c r="A2701" s="1">
        <v>5.0</v>
      </c>
      <c r="B2701" s="1" t="s">
        <v>2694</v>
      </c>
      <c r="C2701" t="str">
        <f>IFERROR(__xludf.DUMMYFUNCTION("GOOGLETRANSLATE(B2701, ""zh"", ""en"")"),"Very good 2 feet 4 waist husband, buy pants are usually 31w of this section with elastic waist, you can see other people evaluate small one yard, bought a 30w, put on just a bit thick material, suitable to wear in spring and autumn.")</f>
        <v>Very good 2 feet 4 waist husband, buy pants are usually 31w of this section with elastic waist, you can see other people evaluate small one yard, bought a 30w, put on just a bit thick material, suitable to wear in spring and autumn.</v>
      </c>
    </row>
    <row r="2702">
      <c r="A2702" s="1">
        <v>5.0</v>
      </c>
      <c r="B2702" s="1" t="s">
        <v>2695</v>
      </c>
      <c r="C2702" t="str">
        <f>IFERROR(__xludf.DUMMYFUNCTION("GOOGLETRANSLATE(B2702, ""zh"", ""en"")"),"Good headphones, collar is small and easy to use, sound quality is also good, life is also long, collar is a little small.")</f>
        <v>Good headphones, collar is small and easy to use, sound quality is also good, life is also long, collar is a little small.</v>
      </c>
    </row>
    <row r="2703">
      <c r="A2703" s="1">
        <v>5.0</v>
      </c>
      <c r="B2703" s="1" t="s">
        <v>2696</v>
      </c>
      <c r="C2703" t="str">
        <f>IFERROR(__xludf.DUMMYFUNCTION("GOOGLETRANSLATE(B2703, ""zh"", ""en"")"),"Good quality cost-effective. Very comfortable to wear. Code number is too large a bit. When the underwear to wear a smaller size is better")</f>
        <v>Good quality cost-effective. Very comfortable to wear. Code number is too large a bit. When the underwear to wear a smaller size is better</v>
      </c>
    </row>
    <row r="2704">
      <c r="A2704" s="1">
        <v>5.0</v>
      </c>
      <c r="B2704" s="1" t="s">
        <v>2697</v>
      </c>
      <c r="C2704" t="str">
        <f>IFERROR(__xludf.DUMMYFUNCTION("GOOGLETRANSLATE(B2704, ""zh"", ""en"")"),"Good good, that is girl with a big point! Manual parameters did not see water")</f>
        <v>Good good, that is girl with a big point! Manual parameters did not see water</v>
      </c>
    </row>
    <row r="2705">
      <c r="A2705" s="1">
        <v>5.0</v>
      </c>
      <c r="B2705" s="1" t="s">
        <v>2698</v>
      </c>
      <c r="C2705" t="str">
        <f>IFERROR(__xludf.DUMMYFUNCTION("GOOGLETRANSLATE(B2705, ""zh"", ""en"")"),"Shoes handsome ah than normal sneakers around a little more than half yards. Shoes handsome, very much.")</f>
        <v>Shoes handsome ah than normal sneakers around a little more than half yards. Shoes handsome, very much.</v>
      </c>
    </row>
    <row r="2706">
      <c r="A2706" s="1">
        <v>5.0</v>
      </c>
      <c r="B2706" s="1" t="s">
        <v>2699</v>
      </c>
      <c r="C2706" t="str">
        <f>IFERROR(__xludf.DUMMYFUNCTION("GOOGLETRANSLATE(B2706, ""zh"", ""en"")"),"Size is too large, thin size is too large to wear S 170 big enough for a little bit, European and American version of the cheapest to more than 90 extra one. But hurry to buy a 200 member free postage is also good. Thin clothes, warm wind can")</f>
        <v>Size is too large, thin size is too large to wear S 170 big enough for a little bit, European and American version of the cheapest to more than 90 extra one. But hurry to buy a 200 member free postage is also good. Thin clothes, warm wind can</v>
      </c>
    </row>
    <row r="2707">
      <c r="A2707" s="1">
        <v>5.0</v>
      </c>
      <c r="B2707" s="1" t="s">
        <v>2700</v>
      </c>
      <c r="C2707" t="str">
        <f>IFERROR(__xludf.DUMMYFUNCTION("GOOGLETRANSLATE(B2707, ""zh"", ""en"")"),"Good pants leg around a little bit big, good fabric, excellent value for money.")</f>
        <v>Good pants leg around a little bit big, good fabric, excellent value for money.</v>
      </c>
    </row>
    <row r="2708">
      <c r="A2708" s="1">
        <v>5.0</v>
      </c>
      <c r="B2708" s="1" t="s">
        <v>2701</v>
      </c>
      <c r="C2708" t="str">
        <f>IFERROR(__xludf.DUMMYFUNCTION("GOOGLETRANSLATE(B2708, ""zh"", ""en"")"),"Especially small and very fond of the most critical aspect is very small, like 2T capacity of only 2 mm thick appearance")</f>
        <v>Especially small and very fond of the most critical aspect is very small, like 2T capacity of only 2 mm thick appearance</v>
      </c>
    </row>
    <row r="2709">
      <c r="A2709" s="1">
        <v>5.0</v>
      </c>
      <c r="B2709" s="1" t="s">
        <v>2702</v>
      </c>
      <c r="C2709" t="str">
        <f>IFERROR(__xludf.DUMMYFUNCTION("GOOGLETRANSLATE(B2709, ""zh"", ""en"")"),"Good Watch praised imported goods, much faster than expected arrival. Travel time is very accurate, very small errors in two months in use, does not affect the use of (probably about 1s) look great - girlfriend to buy, very satisfied")</f>
        <v>Good Watch praised imported goods, much faster than expected arrival. Travel time is very accurate, very small errors in two months in use, does not affect the use of (probably about 1s) look great - girlfriend to buy, very satisfied</v>
      </c>
    </row>
    <row r="2710">
      <c r="A2710" s="1">
        <v>5.0</v>
      </c>
      <c r="B2710" s="1" t="s">
        <v>2703</v>
      </c>
      <c r="C2710" t="str">
        <f>IFERROR(__xludf.DUMMYFUNCTION("GOOGLETRANSLATE(B2710, ""zh"", ""en"")"),"Cheap, worth buying the table is the atmosphere, the price is very real, it is worth buying.")</f>
        <v>Cheap, worth buying the table is the atmosphere, the price is very real, it is worth buying.</v>
      </c>
    </row>
    <row r="2711">
      <c r="A2711" s="1">
        <v>5.0</v>
      </c>
      <c r="B2711" s="1" t="s">
        <v>2704</v>
      </c>
      <c r="C2711" t="str">
        <f>IFERROR(__xludf.DUMMYFUNCTION("GOOGLETRANSLATE(B2711, ""zh"", ""en"")"),"Satisfaction soon received, packaging intact, very light, easy to carry.")</f>
        <v>Satisfaction soon received, packaging intact, very light, easy to carry.</v>
      </c>
    </row>
    <row r="2712">
      <c r="A2712" s="1">
        <v>5.0</v>
      </c>
      <c r="B2712" s="1" t="s">
        <v>2705</v>
      </c>
      <c r="C2712" t="str">
        <f>IFERROR(__xludf.DUMMYFUNCTION("GOOGLETRANSLATE(B2712, ""zh"", ""en"")"),"Sound quite satisfactory sound dull listening style does not have dental 7506 but overall do not sound does not sound like anyway")</f>
        <v>Sound quite satisfactory sound dull listening style does not have dental 7506 but overall do not sound does not sound like anyway</v>
      </c>
    </row>
    <row r="2713">
      <c r="A2713" s="1">
        <v>5.0</v>
      </c>
      <c r="B2713" s="1" t="s">
        <v>2706</v>
      </c>
      <c r="C2713" t="str">
        <f>IFERROR(__xludf.DUMMYFUNCTION("GOOGLETRANSLATE(B2713, ""zh"", ""en"")"),"Amazon believes the selection of merchandise can be quite jeans, give you a reference, I 178, weight 135 pounds, to buy the 32W * 30L, very fit, I hope you choose the right size of yourself, because once wrong, returns trouble")</f>
        <v>Amazon believes the selection of merchandise can be quite jeans, give you a reference, I 178, weight 135 pounds, to buy the 32W * 30L, very fit, I hope you choose the right size of yourself, because once wrong, returns trouble</v>
      </c>
    </row>
    <row r="2714">
      <c r="A2714" s="1">
        <v>5.0</v>
      </c>
      <c r="B2714" s="1" t="s">
        <v>2707</v>
      </c>
      <c r="C2714" t="str">
        <f>IFERROR(__xludf.DUMMYFUNCTION("GOOGLETRANSLATE(B2714, ""zh"", ""en"")"),"Amazon to buy something somewhat similar to buy stocks, buy a few months, the price difference can be several hundred dollars big shoes more relaxed, with half palm insoles not used to, with a single make up too large a problem")</f>
        <v>Amazon to buy something somewhat similar to buy stocks, buy a few months, the price difference can be several hundred dollars big shoes more relaxed, with half palm insoles not used to, with a single make up too large a problem</v>
      </c>
    </row>
    <row r="2715">
      <c r="A2715" s="1">
        <v>5.0</v>
      </c>
      <c r="B2715" s="1" t="s">
        <v>2708</v>
      </c>
      <c r="C2715" t="str">
        <f>IFERROR(__xludf.DUMMYFUNCTION("GOOGLETRANSLATE(B2715, ""zh"", ""en"")"),"I can buy 166cm, weight 104 pounds, wearing s yards just right.")</f>
        <v>I can buy 166cm, weight 104 pounds, wearing s yards just right.</v>
      </c>
    </row>
    <row r="2716">
      <c r="A2716" s="1">
        <v>5.0</v>
      </c>
      <c r="B2716" s="1" t="s">
        <v>2709</v>
      </c>
      <c r="C2716" t="str">
        <f>IFERROR(__xludf.DUMMYFUNCTION("GOOGLETRANSLATE(B2716, ""zh"", ""en"")"),"Dishwasher available like, very good use. dish wash safe. Dishwasher available, made in China")</f>
        <v>Dishwasher available like, very good use. dish wash safe. Dishwasher available, made in China</v>
      </c>
    </row>
    <row r="2717">
      <c r="A2717" s="1">
        <v>5.0</v>
      </c>
      <c r="B2717" s="1" t="s">
        <v>2710</v>
      </c>
      <c r="C2717" t="str">
        <f>IFERROR(__xludf.DUMMYFUNCTION("GOOGLETRANSLATE(B2717, ""zh"", ""en"")"),"good! Very good with a very good feeling pretty good speed faster than the previous U disk")</f>
        <v>good! Very good with a very good feeling pretty good speed faster than the previous U disk</v>
      </c>
    </row>
    <row r="2718">
      <c r="A2718" s="1">
        <v>5.0</v>
      </c>
      <c r="B2718" s="1" t="s">
        <v>2711</v>
      </c>
      <c r="C2718" t="str">
        <f>IFERROR(__xludf.DUMMYFUNCTION("GOOGLETRANSLATE(B2718, ""zh"", ""en"")"),"Proper good, soft")</f>
        <v>Proper good, soft</v>
      </c>
    </row>
    <row r="2719">
      <c r="A2719" s="1">
        <v>5.0</v>
      </c>
      <c r="B2719" s="1" t="s">
        <v>2712</v>
      </c>
      <c r="C2719" t="str">
        <f>IFERROR(__xludf.DUMMYFUNCTION("GOOGLETRANSLATE(B2719, ""zh"", ""en"")"),"Light and comfortable light and comfortable 3 installed price is good, can be worn alone or primer. I heard that comment I do not know whether it is true there are bonus points, ha ha ahead and try it. I heard that comment I do not know whether it is true"&amp;" there are bonus points, ha ha ahead and try it. I heard that comment I do not know whether it is true there are bonus points, ha ha ahead and try it.")</f>
        <v>Light and comfortable light and comfortable 3 installed price is good, can be worn alone or primer. I heard that comment I do not know whether it is true there are bonus points, ha ha ahead and try it. I heard that comment I do not know whether it is true there are bonus points, ha ha ahead and try it. I heard that comment I do not know whether it is true there are bonus points, ha ha ahead and try it.</v>
      </c>
    </row>
    <row r="2720">
      <c r="A2720" s="1">
        <v>5.0</v>
      </c>
      <c r="B2720" s="1" t="s">
        <v>2713</v>
      </c>
      <c r="C2720" t="str">
        <f>IFERROR(__xludf.DUMMYFUNCTION("GOOGLETRANSLATE(B2720, ""zh"", ""en"")"),"Good price cheap, yak leather, not waterproof")</f>
        <v>Good price cheap, yak leather, not waterproof</v>
      </c>
    </row>
    <row r="2721">
      <c r="A2721" s="1">
        <v>2.0</v>
      </c>
      <c r="B2721" s="1" t="s">
        <v>2714</v>
      </c>
      <c r="C2721" t="str">
        <f>IFERROR(__xludf.DUMMYFUNCTION("GOOGLETRANSLATE(B2721, ""zh"", ""en"")"),"The domestic price is not worth buying this cheap, packaging in general.")</f>
        <v>The domestic price is not worth buying this cheap, packaging in general.</v>
      </c>
    </row>
    <row r="2722">
      <c r="A2722" s="1">
        <v>3.0</v>
      </c>
      <c r="B2722" s="1" t="s">
        <v>2715</v>
      </c>
      <c r="C2722" t="str">
        <f>IFERROR(__xludf.DUMMYFUNCTION("GOOGLETRANSLATE(B2722, ""zh"", ""en"")"),"Thin terry velvet is not thick terry, terry not, translation is not correct misleading people and money is thin, not winter wear")</f>
        <v>Thin terry velvet is not thick terry, terry not, translation is not correct misleading people and money is thin, not winter wear</v>
      </c>
    </row>
    <row r="2723">
      <c r="A2723" s="1">
        <v>1.0</v>
      </c>
      <c r="B2723" s="1" t="s">
        <v>2716</v>
      </c>
      <c r="C2723" t="str">
        <f>IFERROR(__xludf.DUMMYFUNCTION("GOOGLETRANSLATE(B2723, ""zh"", ""en"")"),"Reference size quite inaccurate reference size S bust is 109cm, measured only 100cm! Also enter height and weight bust suggested that 83% of the selected s code, is entirely misleading. This product itself is fine, because the system size of the error led"&amp;" to inappropriate suck too")</f>
        <v>Reference size quite inaccurate reference size S bust is 109cm, measured only 100cm! Also enter height and weight bust suggested that 83% of the selected s code, is entirely misleading. This product itself is fine, because the system size of the error led to inappropriate suck too</v>
      </c>
    </row>
    <row r="2724">
      <c r="A2724" s="1">
        <v>1.0</v>
      </c>
      <c r="B2724" s="1" t="s">
        <v>2717</v>
      </c>
      <c r="C2724" t="str">
        <f>IFERROR(__xludf.DUMMYFUNCTION("GOOGLETRANSLATE(B2724, ""zh"", ""en"")"),"The worst shopping experience, you can not buy goods on Amazon. Expensive headphones, the quality really sorry this price. 1, the left ear cup of the material results in partial contact with the face abnormal sound creak, the impact of music, thought the "&amp;"new need to run, but still can not use more than a month to resolve. 2, the first beam contact surface has begun to fall off in less than a month's time, plug back useless. Because in the Amazon purchase overseas, so you can not enjoy State Bank warranty,"&amp;" because just over one month, Amazon is not responsible for warranty service, and no business to leave contact information, nothing with. 3, in order to save shipping costs, purchase PRIME members, the results Aug. 28 to buy an annual membership, October "&amp;"14 renewals requirements, has been disabled. Summary, the worst shopping experience, you can not buy goods on Amazon.")</f>
        <v>The worst shopping experience, you can not buy goods on Amazon. Expensive headphones, the quality really sorry this price. 1, the left ear cup of the material results in partial contact with the face abnormal sound creak, the impact of music, thought the new need to run, but still can not use more than a month to resolve. 2, the first beam contact surface has begun to fall off in less than a month's time, plug back useless. Because in the Amazon purchase overseas, so you can not enjoy State Bank warranty, because just over one month, Amazon is not responsible for warranty service, and no business to leave contact information, nothing with. 3, in order to save shipping costs, purchase PRIME members, the results Aug. 28 to buy an annual membership, October 14 renewals requirements, has been disabled. Summary, the worst shopping experience, you can not buy goods on Amazon.</v>
      </c>
    </row>
    <row r="2725">
      <c r="A2725" s="1">
        <v>4.0</v>
      </c>
      <c r="B2725" s="1" t="s">
        <v>2718</v>
      </c>
      <c r="C2725" t="str">
        <f>IFERROR(__xludf.DUMMYFUNCTION("GOOGLETRANSLATE(B2725, ""zh"", ""en"")"),"Shoe size is too large one yard to say that the quality of shoes to wear good shoes, 40 pairs of shoes this should be 41 250 255 fishes shoe size is too large one yards argument is the length of time of purchase to see the attention to the domestic produc"&amp;"tion of shoes You can not go wrong")</f>
        <v>Shoe size is too large one yard to say that the quality of shoes to wear good shoes, 40 pairs of shoes this should be 41 250 255 fishes shoe size is too large one yards argument is the length of time of purchase to see the attention to the domestic production of shoes You can not go wrong</v>
      </c>
    </row>
    <row r="2726">
      <c r="A2726" s="1">
        <v>4.0</v>
      </c>
      <c r="B2726" s="1" t="s">
        <v>2719</v>
      </c>
      <c r="C2726" t="str">
        <f>IFERROR(__xludf.DUMMYFUNCTION("GOOGLETRANSLATE(B2726, ""zh"", ""en"")"),"Cortex hard, hard cortical odor, smell, but the effect can still use")</f>
        <v>Cortex hard, hard cortical odor, smell, but the effect can still use</v>
      </c>
    </row>
    <row r="2727">
      <c r="A2727" s="1">
        <v>4.0</v>
      </c>
      <c r="B2727" s="1" t="s">
        <v>2720</v>
      </c>
      <c r="C2727" t="str">
        <f>IFERROR(__xludf.DUMMYFUNCTION("GOOGLETRANSLATE(B2727, ""zh"", ""en"")"),"Must pay attention to size when buying this code number is very large rear waist section view received big yards are more than two!")</f>
        <v>Must pay attention to size when buying this code number is very large rear waist section view received big yards are more than two!</v>
      </c>
    </row>
    <row r="2728">
      <c r="A2728" s="1">
        <v>4.0</v>
      </c>
      <c r="B2728" s="1" t="s">
        <v>2721</v>
      </c>
      <c r="C2728" t="str">
        <f>IFERROR(__xludf.DUMMYFUNCTION("GOOGLETRANSLATE(B2728, ""zh"", ""en"")"),"So-so than it does to buy domestic work somewhat less simple packaging but not so unbearable")</f>
        <v>So-so than it does to buy domestic work somewhat less simple packaging but not so unbearable</v>
      </c>
    </row>
    <row r="2729">
      <c r="A2729" s="1">
        <v>4.0</v>
      </c>
      <c r="B2729" s="1" t="s">
        <v>2722</v>
      </c>
      <c r="C2729" t="str">
        <f>IFERROR(__xludf.DUMMYFUNCTION("GOOGLETRANSLATE(B2729, ""zh"", ""en"")"),"Super teeth get surprised, oval, long diameter which is just like a coin. . . . . . . . .")</f>
        <v>Super teeth get surprised, oval, long diameter which is just like a coin. . . . . . . . .</v>
      </c>
    </row>
    <row r="2730">
      <c r="A2730" s="1">
        <v>5.0</v>
      </c>
      <c r="B2730" s="1" t="s">
        <v>2723</v>
      </c>
      <c r="C2730" t="str">
        <f>IFERROR(__xludf.DUMMYFUNCTION("GOOGLETRANSLATE(B2730, ""zh"", ""en"")"),"British-affordable cheap prices should not be too beautiful ah! I bought duty-free postage ...... also wondered why only this special offer other did not brush this price? I have been using this brush are tired ......")</f>
        <v>British-affordable cheap prices should not be too beautiful ah! I bought duty-free postage ...... also wondered why only this special offer other did not brush this price? I have been using this brush are tired ......</v>
      </c>
    </row>
    <row r="2731">
      <c r="A2731" s="1">
        <v>5.0</v>
      </c>
      <c r="B2731" s="1" t="s">
        <v>2724</v>
      </c>
      <c r="C2731" t="str">
        <f>IFERROR(__xludf.DUMMYFUNCTION("GOOGLETRANSLATE(B2731, ""zh"", ""en"")"),"160 buy something good, bought two, one week to the packaging intact.")</f>
        <v>160 buy something good, bought two, one week to the packaging intact.</v>
      </c>
    </row>
    <row r="2732">
      <c r="A2732" s="1">
        <v>5.0</v>
      </c>
      <c r="B2732" s="1" t="s">
        <v>2725</v>
      </c>
      <c r="C2732" t="str">
        <f>IFERROR(__xludf.DUMMYFUNCTION("GOOGLETRANSLATE(B2732, ""zh"", ""en"")"),"Like the dinner plate and adorable and practical. But my son was very persistent to turn it over ha ha! Again to buy big.")</f>
        <v>Like the dinner plate and adorable and practical. But my son was very persistent to turn it over ha ha! Again to buy big.</v>
      </c>
    </row>
    <row r="2733">
      <c r="A2733" s="1">
        <v>5.0</v>
      </c>
      <c r="B2733" s="1" t="s">
        <v>2726</v>
      </c>
      <c r="C2733" t="str">
        <f>IFERROR(__xludf.DUMMYFUNCTION("GOOGLETRANSLATE(B2733, ""zh"", ""en"")"),"173 weighing 140 good size just is a little low-waist 'warm pretty well worn no problem now Inner Mongolia")</f>
        <v>173 weighing 140 good size just is a little low-waist 'warm pretty well worn no problem now Inner Mongolia</v>
      </c>
    </row>
    <row r="2734">
      <c r="A2734" s="1">
        <v>5.0</v>
      </c>
      <c r="B2734" s="1" t="s">
        <v>2727</v>
      </c>
      <c r="C2734" t="str">
        <f>IFERROR(__xludf.DUMMYFUNCTION("GOOGLETRANSLATE(B2734, ""zh"", ""en"")"),"Seiko watches watches good, not good-looking picture.")</f>
        <v>Seiko watches watches good, not good-looking picture.</v>
      </c>
    </row>
    <row r="2735">
      <c r="A2735" s="1">
        <v>5.0</v>
      </c>
      <c r="B2735" s="1" t="s">
        <v>2728</v>
      </c>
      <c r="C2735" t="str">
        <f>IFERROR(__xludf.DUMMYFUNCTION("GOOGLETRANSLATE(B2735, ""zh"", ""en"")"),"Warm, comfortable very good, very comfortable, warm, bought two")</f>
        <v>Warm, comfortable very good, very comfortable, warm, bought two</v>
      </c>
    </row>
    <row r="2736">
      <c r="A2736" s="1">
        <v>5.0</v>
      </c>
      <c r="B2736" s="1" t="s">
        <v>2729</v>
      </c>
      <c r="C2736" t="str">
        <f>IFERROR(__xludf.DUMMYFUNCTION("GOOGLETRANSLATE(B2736, ""zh"", ""en"")"),"Sound great 20 years ago, the product is still useful, not against")</f>
        <v>Sound great 20 years ago, the product is still useful, not against</v>
      </c>
    </row>
    <row r="2737">
      <c r="A2737" s="1">
        <v>5.0</v>
      </c>
      <c r="B2737" s="1" t="s">
        <v>2730</v>
      </c>
      <c r="C2737" t="str">
        <f>IFERROR(__xludf.DUMMYFUNCTION("GOOGLETRANSLATE(B2737, ""zh"", ""en"")"),"Comfortable and imagine, are particularly good, authentic guaranteed key Amazon now self-employed, like a treasure, too many fakes")</f>
        <v>Comfortable and imagine, are particularly good, authentic guaranteed key Amazon now self-employed, like a treasure, too many fakes</v>
      </c>
    </row>
    <row r="2738">
      <c r="A2738" s="1">
        <v>5.0</v>
      </c>
      <c r="B2738" s="1" t="s">
        <v>2731</v>
      </c>
      <c r="C2738" t="str">
        <f>IFERROR(__xludf.DUMMYFUNCTION("GOOGLETRANSLATE(B2738, ""zh"", ""en"")"),"Product Series victory LAMY hunters start with logistics, because of the rain, but it is slow, buy back Jingdong timely and efficient logistics, Amazon is total defeat, almost a return. Besides price volatility, although not much lower prices, but there i"&amp;"s no price protection, Jingdong shopping experience than almost not the slightest, but the price is cheaper than Jingdong. Finally talk about the product itself, the product is fully impress, compared with the price of hunters series LAMY easy go, LAMY ac"&amp;"tual price taller, either grip or smooth writing sense, experience is better than the hunters, This section is highly recommended.")</f>
        <v>Product Series victory LAMY hunters start with logistics, because of the rain, but it is slow, buy back Jingdong timely and efficient logistics, Amazon is total defeat, almost a return. Besides price volatility, although not much lower prices, but there is no price protection, Jingdong shopping experience than almost not the slightest, but the price is cheaper than Jingdong. Finally talk about the product itself, the product is fully impress, compared with the price of hunters series LAMY easy go, LAMY actual price taller, either grip or smooth writing sense, experience is better than the hunters, This section is highly recommended.</v>
      </c>
    </row>
    <row r="2739">
      <c r="A2739" s="1">
        <v>5.0</v>
      </c>
      <c r="B2739" s="1" t="s">
        <v>2732</v>
      </c>
      <c r="C2739" t="str">
        <f>IFERROR(__xludf.DUMMYFUNCTION("GOOGLETRANSLATE(B2739, ""zh"", ""en"")"),"Very very fit, quality assurance in Germany")</f>
        <v>Very very fit, quality assurance in Germany</v>
      </c>
    </row>
    <row r="2740">
      <c r="A2740" s="1">
        <v>5.0</v>
      </c>
      <c r="B2740" s="1" t="s">
        <v>2733</v>
      </c>
      <c r="C2740" t="str">
        <f>IFERROR(__xludf.DUMMYFUNCTION("GOOGLETRANSLATE(B2740, ""zh"", ""en"")"),"Yen value burst table, it is recommended, perfect Yen value burst table, burr-free, smooth, good texture, pudgy very suitable for baby's little hands, color is very fresh, Swiss, plates not light the bottom of the slip, super cute, it is worth starting. 1"&amp;"59 sets of spike")</f>
        <v>Yen value burst table, it is recommended, perfect Yen value burst table, burr-free, smooth, good texture, pudgy very suitable for baby's little hands, color is very fresh, Swiss, plates not light the bottom of the slip, super cute, it is worth starting. 159 sets of spike</v>
      </c>
    </row>
    <row r="2741">
      <c r="A2741" s="1">
        <v>5.0</v>
      </c>
      <c r="B2741" s="1" t="s">
        <v>2734</v>
      </c>
      <c r="C2741" t="str">
        <f>IFERROR(__xludf.DUMMYFUNCTION("GOOGLETRANSLATE(B2741, ""zh"", ""en"")"),"Sound good sound quality is good, it is worth buying, three-inch speaker should be the best, just a little worried in case bad after-sales warranty does not know how to do, the instructions are in English, can not read")</f>
        <v>Sound good sound quality is good, it is worth buying, three-inch speaker should be the best, just a little worried in case bad after-sales warranty does not know how to do, the instructions are in English, can not read</v>
      </c>
    </row>
    <row r="2742">
      <c r="A2742" s="1">
        <v>5.0</v>
      </c>
      <c r="B2742" s="1" t="s">
        <v>2735</v>
      </c>
      <c r="C2742" t="str">
        <f>IFERROR(__xludf.DUMMYFUNCTION("GOOGLETRANSLATE(B2742, ""zh"", ""en"")"),"Well enjoy comfortable to wear, no oppression Link ear. Bluetooth paired with the phone faster, and audio pairing Bluetooth Repeater slightly slower. While the headset button two, but the whole headset design and functionality is very user-friendly. The m"&amp;"ore prominent bass Sennheiser headphones, accordingly Sennheiser clear treble is not enough, then the noise reduction function is also very ridiculous, very good on the road or on the road commuting. Technology is the application of leisure life expressio"&amp;"n.")</f>
        <v>Well enjoy comfortable to wear, no oppression Link ear. Bluetooth paired with the phone faster, and audio pairing Bluetooth Repeater slightly slower. While the headset button two, but the whole headset design and functionality is very user-friendly. The more prominent bass Sennheiser headphones, accordingly Sennheiser clear treble is not enough, then the noise reduction function is also very ridiculous, very good on the road or on the road commuting. Technology is the application of leisure life expression.</v>
      </c>
    </row>
    <row r="2743">
      <c r="A2743" s="1">
        <v>5.0</v>
      </c>
      <c r="B2743" s="1" t="s">
        <v>2736</v>
      </c>
      <c r="C2743" t="str">
        <f>IFERROR(__xludf.DUMMYFUNCTION("GOOGLETRANSLATE(B2743, ""zh"", ""en"")"),"Worth buying is very good, winter outdoor running a shirt ➕ this warm enough, and I 181cm.81 kg, L number is appropriate")</f>
        <v>Worth buying is very good, winter outdoor running a shirt ➕ this warm enough, and I 181cm.81 kg, L number is appropriate</v>
      </c>
    </row>
    <row r="2744">
      <c r="A2744" s="1">
        <v>5.0</v>
      </c>
      <c r="B2744" s="1" t="s">
        <v>2737</v>
      </c>
      <c r="C2744" t="str">
        <f>IFERROR(__xludf.DUMMYFUNCTION("GOOGLETRANSLATE(B2744, ""zh"", ""en"")"),"Hua Dai ink well respected, indeed honorable. Suitable for the elegant human use")</f>
        <v>Hua Dai ink well respected, indeed honorable. Suitable for the elegant human use</v>
      </c>
    </row>
    <row r="2745">
      <c r="A2745" s="1">
        <v>5.0</v>
      </c>
      <c r="B2745" s="1" t="s">
        <v>2738</v>
      </c>
      <c r="C2745" t="str">
        <f>IFERROR(__xludf.DUMMYFUNCTION("GOOGLETRANSLATE(B2745, ""zh"", ""en"")"),"Good quality good, price is also OK")</f>
        <v>Good quality good, price is also OK</v>
      </c>
    </row>
    <row r="2746">
      <c r="A2746" s="1">
        <v>5.0</v>
      </c>
      <c r="B2746" s="1" t="s">
        <v>2739</v>
      </c>
      <c r="C2746" t="str">
        <f>IFERROR(__xludf.DUMMYFUNCTION("GOOGLETRANSLATE(B2746, ""zh"", ""en"")"),"Good good!")</f>
        <v>Good good!</v>
      </c>
    </row>
    <row r="2747">
      <c r="A2747" s="1">
        <v>5.0</v>
      </c>
      <c r="B2747" s="1" t="s">
        <v>2740</v>
      </c>
      <c r="C2747" t="str">
        <f>IFERROR(__xludf.DUMMYFUNCTION("GOOGLETRANSLATE(B2747, ""zh"", ""en"")"),"The proposed purchase version good! not bad! Quality stuff! The proposed purchase")</f>
        <v>The proposed purchase version good! not bad! Quality stuff! The proposed purchase</v>
      </c>
    </row>
    <row r="2748">
      <c r="A2748" s="1">
        <v>5.0</v>
      </c>
      <c r="B2748" s="1" t="s">
        <v>2741</v>
      </c>
      <c r="C2748" t="str">
        <f>IFERROR(__xludf.DUMMYFUNCTION("GOOGLETRANSLATE(B2748, ""zh"", ""en"")"),"Overall good yardage is worth to buy a slightly larger domestic shoes to wear 40 yards 39.5 yards more appropriate choice, leather looks very good, very thick soles to wear very comfortable on the feet")</f>
        <v>Overall good yardage is worth to buy a slightly larger domestic shoes to wear 40 yards 39.5 yards more appropriate choice, leather looks very good, very thick soles to wear very comfortable on the feet</v>
      </c>
    </row>
    <row r="2749">
      <c r="A2749" s="1">
        <v>5.0</v>
      </c>
      <c r="B2749" s="1" t="s">
        <v>2742</v>
      </c>
      <c r="C2749" t="str">
        <f>IFERROR(__xludf.DUMMYFUNCTION("GOOGLETRANSLATE(B2749, ""zh"", ""en"")"),"Really good friend introduced, said with feeling, then first I bought a try. Really good!")</f>
        <v>Really good friend introduced, said with feeling, then first I bought a try. Really good!</v>
      </c>
    </row>
    <row r="2750">
      <c r="A2750" s="1">
        <v>5.0</v>
      </c>
      <c r="B2750" s="1" t="s">
        <v>2743</v>
      </c>
      <c r="C2750" t="str">
        <f>IFERROR(__xludf.DUMMYFUNCTION("GOOGLETRANSLATE(B2750, ""zh"", ""en"")"),"Very suitable to wear very comfortable, I hope to have effect oh")</f>
        <v>Very suitable to wear very comfortable, I hope to have effect oh</v>
      </c>
    </row>
    <row r="2751">
      <c r="A2751" s="1">
        <v>5.0</v>
      </c>
      <c r="B2751" s="1" t="s">
        <v>2744</v>
      </c>
      <c r="C2751" t="str">
        <f>IFERROR(__xludf.DUMMYFUNCTION("GOOGLETRANSLATE(B2751, ""zh"", ""en"")"),"Very comfortable very comfortable to wear without any oppressive")</f>
        <v>Very comfortable very comfortable to wear without any oppressive</v>
      </c>
    </row>
    <row r="2752">
      <c r="A2752" s="1">
        <v>2.0</v>
      </c>
      <c r="B2752" s="1" t="s">
        <v>2745</v>
      </c>
      <c r="C2752" t="str">
        <f>IFERROR(__xludf.DUMMYFUNCTION("GOOGLETRANSLATE(B2752, ""zh"", ""en"")"),"Bad bad cloth fabric")</f>
        <v>Bad bad cloth fabric</v>
      </c>
    </row>
    <row r="2753">
      <c r="A2753" s="1">
        <v>3.0</v>
      </c>
      <c r="B2753" s="1" t="s">
        <v>2746</v>
      </c>
      <c r="C2753" t="str">
        <f>IFERROR(__xludf.DUMMYFUNCTION("GOOGLETRANSLATE(B2753, ""zh"", ""en"")"),"Care agent to buy that? Packing too shabby, wrapped in plastic bags on the floor, he received a shoebox crushed whole rotten, but fortunately some slight indentation shoes, put up with.")</f>
        <v>Care agent to buy that? Packing too shabby, wrapped in plastic bags on the floor, he received a shoebox crushed whole rotten, but fortunately some slight indentation shoes, put up with.</v>
      </c>
    </row>
    <row r="2754">
      <c r="A2754" s="1">
        <v>3.0</v>
      </c>
      <c r="B2754" s="1" t="s">
        <v>2747</v>
      </c>
      <c r="C2754" t="str">
        <f>IFERROR(__xludf.DUMMYFUNCTION("GOOGLETRANSLATE(B2754, ""zh"", ""en"")"),"Chronograph second hand does not return to zero chronograph seconds hand is to receive 12 errors, did not wear a month, directly to that position in 58 minutes, and travel time is very accurate, obsessive-compulsive disorder, no way, can only retreat")</f>
        <v>Chronograph second hand does not return to zero chronograph seconds hand is to receive 12 errors, did not wear a month, directly to that position in 58 minutes, and travel time is very accurate, obsessive-compulsive disorder, no way, can only retreat</v>
      </c>
    </row>
    <row r="2755">
      <c r="A2755" s="1">
        <v>1.0</v>
      </c>
      <c r="B2755" s="1" t="s">
        <v>2748</v>
      </c>
      <c r="C2755" t="str">
        <f>IFERROR(__xludf.DUMMYFUNCTION("GOOGLETRANSLATE(B2755, ""zh"", ""en"")"),"Poor courier delivering, courier packaging is bad, watch box is bad, watches lying on the side of the box, very bad shopping experience, guess watches should be no problem, but if it is valuable things will happen? Want to buy a friend Jin remember, this "&amp;"is going to Bo luck.")</f>
        <v>Poor courier delivering, courier packaging is bad, watch box is bad, watches lying on the side of the box, very bad shopping experience, guess watches should be no problem, but if it is valuable things will happen? Want to buy a friend Jin remember, this is going to Bo luck.</v>
      </c>
    </row>
    <row r="2756">
      <c r="A2756" s="1">
        <v>1.0</v>
      </c>
      <c r="B2756" s="1" t="s">
        <v>2749</v>
      </c>
      <c r="C2756" t="str">
        <f>IFERROR(__xludf.DUMMYFUNCTION("GOOGLETRANSLATE(B2756, ""zh"", ""en"")"),"Publicity does not match the actual product size, too big, misleading consumer information does not match the size of the actual product, is too large to mislead consumers")</f>
        <v>Publicity does not match the actual product size, too big, misleading consumer information does not match the size of the actual product, is too large to mislead consumers</v>
      </c>
    </row>
    <row r="2757">
      <c r="A2757" s="1">
        <v>1.0</v>
      </c>
      <c r="B2757" s="1" t="s">
        <v>2750</v>
      </c>
      <c r="C2757" t="str">
        <f>IFERROR(__xludf.DUMMYFUNCTION("GOOGLETRANSLATE(B2757, ""zh"", ""en"")"),"Bad service, no sale of the decoration store, etc. Bahrain found the lack of a washer, there will be a joint seepage, installation receipt already more than a month, Amazon said no sale. All the furnishings and appliances should not be something in the Ad"&amp;"riatic by outsourcing purchasing, unless bought immediately loaded, Otherwise they would be no after-sales, customer service that we have this policy, we do not look for orders of more than a month. Amazon known as Invincible service does not exist in Chi"&amp;"na")</f>
        <v>Bad service, no sale of the decoration store, etc. Bahrain found the lack of a washer, there will be a joint seepage, installation receipt already more than a month, Amazon said no sale. All the furnishings and appliances should not be something in the Adriatic by outsourcing purchasing, unless bought immediately loaded, Otherwise they would be no after-sales, customer service that we have this policy, we do not look for orders of more than a month. Amazon known as Invincible service does not exist in China</v>
      </c>
    </row>
    <row r="2758">
      <c r="A2758" s="1">
        <v>4.0</v>
      </c>
      <c r="B2758" s="1" t="s">
        <v>2751</v>
      </c>
      <c r="C2758" t="str">
        <f>IFERROR(__xludf.DUMMYFUNCTION("GOOGLETRANSLATE(B2758, ""zh"", ""en"")"),"No test is not Austrian domestic production")</f>
        <v>No test is not Austrian domestic production</v>
      </c>
    </row>
    <row r="2759">
      <c r="A2759" s="1">
        <v>4.0</v>
      </c>
      <c r="B2759" s="1" t="s">
        <v>2752</v>
      </c>
      <c r="C2759" t="str">
        <f>IFERROR(__xludf.DUMMYFUNCTION("GOOGLETRANSLATE(B2759, ""zh"", ""en"")"),"Is not genuine purchasing ha ha should be genuine it did not experience the feeling of good texture")</f>
        <v>Is not genuine purchasing ha ha should be genuine it did not experience the feeling of good texture</v>
      </c>
    </row>
    <row r="2760">
      <c r="A2760" s="1">
        <v>4.0</v>
      </c>
      <c r="B2760" s="1" t="s">
        <v>2753</v>
      </c>
      <c r="C2760" t="str">
        <f>IFERROR(__xludf.DUMMYFUNCTION("GOOGLETRANSLATE(B2760, ""zh"", ""en"")"),"Comfortable but very comfortable just love sticky hair sticky hair size is too large or domestic m l s code this appropriate")</f>
        <v>Comfortable but very comfortable just love sticky hair sticky hair size is too large or domestic m l s code this appropriate</v>
      </c>
    </row>
    <row r="2761">
      <c r="A2761" s="1">
        <v>4.0</v>
      </c>
      <c r="B2761" s="1" t="s">
        <v>2754</v>
      </c>
      <c r="C2761" t="str">
        <f>IFERROR(__xludf.DUMMYFUNCTION("GOOGLETRANSLATE(B2761, ""zh"", ""en"")"),"General packaging is not very take heart. But still can.")</f>
        <v>General packaging is not very take heart. But still can.</v>
      </c>
    </row>
    <row r="2762">
      <c r="A2762" s="1">
        <v>4.0</v>
      </c>
      <c r="B2762" s="1" t="s">
        <v>2755</v>
      </c>
      <c r="C2762" t="str">
        <f>IFERROR(__xludf.DUMMYFUNCTION("GOOGLETRANSLATE(B2762, ""zh"", ""en"")"),"Long long tape tape")</f>
        <v>Long long tape tape</v>
      </c>
    </row>
    <row r="2763">
      <c r="A2763" s="1">
        <v>5.0</v>
      </c>
      <c r="B2763" s="1" t="s">
        <v>2756</v>
      </c>
      <c r="C2763" t="str">
        <f>IFERROR(__xludf.DUMMYFUNCTION("GOOGLETRANSLATE(B2763, ""zh"", ""en"")"),"After listening to a few days feeling there heaven and earth is not worse than my Sony Dafa is good homely heard within a few days to feel good in the universe there is nothing to boast about not worse than my Sony Dafa")</f>
        <v>After listening to a few days feeling there heaven and earth is not worse than my Sony Dafa is good homely heard within a few days to feel good in the universe there is nothing to boast about not worse than my Sony Dafa</v>
      </c>
    </row>
    <row r="2764">
      <c r="A2764" s="1">
        <v>5.0</v>
      </c>
      <c r="B2764" s="1" t="s">
        <v>2757</v>
      </c>
      <c r="C2764" t="str">
        <f>IFERROR(__xludf.DUMMYFUNCTION("GOOGLETRANSLATE(B2764, ""zh"", ""en"")"),"Like good-looking! There are features! If there is a tea strainers the better!")</f>
        <v>Like good-looking! There are features! If there is a tea strainers the better!</v>
      </c>
    </row>
    <row r="2765">
      <c r="A2765" s="1">
        <v>5.0</v>
      </c>
      <c r="B2765" s="1" t="s">
        <v>2758</v>
      </c>
      <c r="C2765" t="str">
        <f>IFERROR(__xludf.DUMMYFUNCTION("GOOGLETRANSLATE(B2765, ""zh"", ""en"")"),"This ballpoint pen with a good make you love the feeling of learning.")</f>
        <v>This ballpoint pen with a good make you love the feeling of learning.</v>
      </c>
    </row>
    <row r="2766">
      <c r="A2766" s="1">
        <v>5.0</v>
      </c>
      <c r="B2766" s="1" t="s">
        <v>2759</v>
      </c>
      <c r="C2766" t="str">
        <f>IFERROR(__xludf.DUMMYFUNCTION("GOOGLETRANSLATE(B2766, ""zh"", ""en"")"),"Puma bow good-looking, good-looking, can be used with little skirt, the price is reasonable.")</f>
        <v>Puma bow good-looking, good-looking, can be used with little skirt, the price is reasonable.</v>
      </c>
    </row>
    <row r="2767">
      <c r="A2767" s="1">
        <v>5.0</v>
      </c>
      <c r="B2767" s="1" t="s">
        <v>2760</v>
      </c>
      <c r="C2767" t="str">
        <f>IFERROR(__xludf.DUMMYFUNCTION("GOOGLETRANSLATE(B2767, ""zh"", ""en"")"),"Price advantage obvious advantages, now also with the normal ...")</f>
        <v>Price advantage obvious advantages, now also with the normal ...</v>
      </c>
    </row>
    <row r="2768">
      <c r="A2768" s="1">
        <v>5.0</v>
      </c>
      <c r="B2768" s="1" t="s">
        <v>2761</v>
      </c>
      <c r="C2768" t="str">
        <f>IFERROR(__xludf.DUMMYFUNCTION("GOOGLETRANSLATE(B2768, ""zh"", ""en"")"),"Vietnamese suitable, appropriate than the counter")</f>
        <v>Vietnamese suitable, appropriate than the counter</v>
      </c>
    </row>
    <row r="2769">
      <c r="A2769" s="1">
        <v>5.0</v>
      </c>
      <c r="B2769" s="1" t="s">
        <v>2762</v>
      </c>
      <c r="C2769" t="str">
        <f>IFERROR(__xludf.DUMMYFUNCTION("GOOGLETRANSLATE(B2769, ""zh"", ""en"")"),"Very light very comfortable, on the northern foot support is also very good, do not think of these shoes to wear to go outdoors on foot, and certainly freeze to death. Southern winter minus a second time, payable twelve hours on foot is no problem.")</f>
        <v>Very light very comfortable, on the northern foot support is also very good, do not think of these shoes to wear to go outdoors on foot, and certainly freeze to death. Southern winter minus a second time, payable twelve hours on foot is no problem.</v>
      </c>
    </row>
    <row r="2770">
      <c r="A2770" s="1">
        <v>5.0</v>
      </c>
      <c r="B2770" s="1" t="s">
        <v>2763</v>
      </c>
      <c r="C2770" t="str">
        <f>IFERROR(__xludf.DUMMYFUNCTION("GOOGLETRANSLATE(B2770, ""zh"", ""en"")"),"Good to see there are not many reviews say so exaggerated is not difficult to wear did not press the foot particularly painful to the point of patent leather super cool brisk 39 this also usually happens 39")</f>
        <v>Good to see there are not many reviews say so exaggerated is not difficult to wear did not press the foot particularly painful to the point of patent leather super cool brisk 39 this also usually happens 39</v>
      </c>
    </row>
    <row r="2771">
      <c r="A2771" s="1">
        <v>5.0</v>
      </c>
      <c r="B2771" s="1" t="s">
        <v>2764</v>
      </c>
      <c r="C2771" t="str">
        <f>IFERROR(__xludf.DUMMYFUNCTION("GOOGLETRANSLATE(B2771, ""zh"", ""en"")"),"Inexpensive very good, the price is really earned, and today has just arrived to put on, was originally expected to be delivered in early December, did not think ahead, not the final estimate came abroad, may be called domestic goods")</f>
        <v>Inexpensive very good, the price is really earned, and today has just arrived to put on, was originally expected to be delivered in early December, did not think ahead, not the final estimate came abroad, may be called domestic goods</v>
      </c>
    </row>
    <row r="2772">
      <c r="A2772" s="1">
        <v>5.0</v>
      </c>
      <c r="B2772" s="1" t="s">
        <v>2765</v>
      </c>
      <c r="C2772" t="str">
        <f>IFERROR(__xludf.DUMMYFUNCTION("GOOGLETRANSLATE(B2772, ""zh"", ""en"")"),"Very nice large bathroom products 爱汉斯格雅 products, superior workmanship good quality, packed in home bathrooms are beautiful. Amazon's price is still very favorable, the key is not afraid to buy a fake.")</f>
        <v>Very nice large bathroom products 爱汉斯格雅 products, superior workmanship good quality, packed in home bathrooms are beautiful. Amazon's price is still very favorable, the key is not afraid to buy a fake.</v>
      </c>
    </row>
    <row r="2773">
      <c r="A2773" s="1">
        <v>5.0</v>
      </c>
      <c r="B2773" s="1" t="s">
        <v>2766</v>
      </c>
      <c r="C2773" t="str">
        <f>IFERROR(__xludf.DUMMYFUNCTION("GOOGLETRANSLATE(B2773, ""zh"", ""en"")"),"Very good surface simple atmosphere, the quality is no problem. Very good ~")</f>
        <v>Very good surface simple atmosphere, the quality is no problem. Very good ~</v>
      </c>
    </row>
    <row r="2774">
      <c r="A2774" s="1">
        <v>5.0</v>
      </c>
      <c r="B2774" s="1" t="s">
        <v>2767</v>
      </c>
      <c r="C2774" t="str">
        <f>IFERROR(__xludf.DUMMYFUNCTION("GOOGLETRANSLATE(B2774, ""zh"", ""en"")"),". Bottle received. So cute. Packaged well, no damage. Love this bottle")</f>
        <v>. Bottle received. So cute. Packaged well, no damage. Love this bottle</v>
      </c>
    </row>
    <row r="2775">
      <c r="A2775" s="1">
        <v>5.0</v>
      </c>
      <c r="B2775" s="1" t="s">
        <v>2768</v>
      </c>
      <c r="C2775" t="str">
        <f>IFERROR(__xludf.DUMMYFUNCTION("GOOGLETRANSLATE(B2775, ""zh"", ""en"")"),"Wipe it very clean with a good eraser, and wipe very clean")</f>
        <v>Wipe it very clean with a good eraser, and wipe very clean</v>
      </c>
    </row>
    <row r="2776">
      <c r="A2776" s="1">
        <v>5.0</v>
      </c>
      <c r="B2776" s="1" t="s">
        <v>2769</v>
      </c>
      <c r="C2776" t="str">
        <f>IFERROR(__xludf.DUMMYFUNCTION("GOOGLETRANSLATE(B2776, ""zh"", ""en"")"),"Water floss worth having cost is too high, black is buying, the price than a cat back to force double eleven!")</f>
        <v>Water floss worth having cost is too high, black is buying, the price than a cat back to force double eleven!</v>
      </c>
    </row>
    <row r="2777">
      <c r="A2777" s="1">
        <v>5.0</v>
      </c>
      <c r="B2777" s="1" t="s">
        <v>2770</v>
      </c>
      <c r="C2777" t="str">
        <f>IFERROR(__xludf.DUMMYFUNCTION("GOOGLETRANSLATE(B2777, ""zh"", ""en"")"),"Cost pricey, but that is what you pay Oh, I want to have good sound quality still have to burn. Getting started can be bought play experience to experience, I am an amateur recording with play, rest as entertainment, but also the basic boxes are good enou"&amp;"gh. Official express speed, very good service attitude, praise.")</f>
        <v>Cost pricey, but that is what you pay Oh, I want to have good sound quality still have to burn. Getting started can be bought play experience to experience, I am an amateur recording with play, rest as entertainment, but also the basic boxes are good enough. Official express speed, very good service attitude, praise.</v>
      </c>
    </row>
    <row r="2778">
      <c r="A2778" s="1">
        <v>5.0</v>
      </c>
      <c r="B2778" s="1" t="s">
        <v>2771</v>
      </c>
      <c r="C2778" t="str">
        <f>IFERROR(__xludf.DUMMYFUNCTION("GOOGLETRANSLATE(B2778, ""zh"", ""en"")"),"Overseas Amoy light waves concerned at Amazon Casio watch for some time, found that price is actually higher than Taobao, Jingdong, Amazon is just too low-key, low price but a lot of people feel, compare to other online shop will know British Amazon to bu"&amp;"y, I Harbin, from order to receipt 11 days, very fast, and the quality is very good, only half of the domestic price, I did not expect so easy to wave Harbin, just toward the southeast (Fukushima) or South on it, LT2-LT3 volatility, 12:45 noon time, a wav"&amp;"e is 1:30 am connected successfully, but the need in the windows, the room does not work. Charging outdoor light on the full 10 minutes, very satisfied.")</f>
        <v>Overseas Amoy light waves concerned at Amazon Casio watch for some time, found that price is actually higher than Taobao, Jingdong, Amazon is just too low-key, low price but a lot of people feel, compare to other online shop will know British Amazon to buy, I Harbin, from order to receipt 11 days, very fast, and the quality is very good, only half of the domestic price, I did not expect so easy to wave Harbin, just toward the southeast (Fukushima) or South on it, LT2-LT3 volatility, 12:45 noon time, a wave is 1:30 am connected successfully, but the need in the windows, the room does not work. Charging outdoor light on the full 10 minutes, very satisfied.</v>
      </c>
    </row>
    <row r="2779">
      <c r="A2779" s="1">
        <v>5.0</v>
      </c>
      <c r="B2779" s="1" t="s">
        <v>2772</v>
      </c>
      <c r="C2779" t="str">
        <f>IFERROR(__xludf.DUMMYFUNCTION("GOOGLETRANSLATE(B2779, ""zh"", ""en"")"),"Color spoon works well than I thought it would be great, feel good, color is also good, I personally prefer, they can hope baby good eating and drinking, ha ha, do not know the color will not frighten her too!")</f>
        <v>Color spoon works well than I thought it would be great, feel good, color is also good, I personally prefer, they can hope baby good eating and drinking, ha ha, do not know the color will not frighten her too!</v>
      </c>
    </row>
    <row r="2780">
      <c r="A2780" s="1">
        <v>5.0</v>
      </c>
      <c r="B2780" s="1" t="s">
        <v>2773</v>
      </c>
      <c r="C2780" t="str">
        <f>IFERROR(__xludf.DUMMYFUNCTION("GOOGLETRANSLATE(B2780, ""zh"", ""en"")"),"Strong recommend it to you ~ I bought machine in this Nov. Now it is one of my favourate kitchen machines. I made noodles, Chinese bread with it. Now I can enjoy health food in my kitchen everyday. Love it, and recommend it this to you ~")</f>
        <v>Strong recommend it to you ~ I bought machine in this Nov. Now it is one of my favourate kitchen machines. I made noodles, Chinese bread with it. Now I can enjoy health food in my kitchen everyday. Love it, and recommend it this to you ~</v>
      </c>
    </row>
    <row r="2781">
      <c r="A2781" s="1">
        <v>5.0</v>
      </c>
      <c r="B2781" s="1" t="s">
        <v>2774</v>
      </c>
      <c r="C2781" t="str">
        <f>IFERROR(__xludf.DUMMYFUNCTION("GOOGLETRANSLATE(B2781, ""zh"", ""en"")"),"Fit nice color! My husband dressed just right, cool!")</f>
        <v>Fit nice color! My husband dressed just right, cool!</v>
      </c>
    </row>
    <row r="2782">
      <c r="A2782" s="1">
        <v>5.0</v>
      </c>
      <c r="B2782" s="1" t="s">
        <v>2775</v>
      </c>
      <c r="C2782" t="str">
        <f>IFERROR(__xludf.DUMMYFUNCTION("GOOGLETRANSLATE(B2782, ""zh"", ""en"")"),"Great texture size suitable for commuting, very convenient!")</f>
        <v>Great texture size suitable for commuting, very convenient!</v>
      </c>
    </row>
    <row r="2783">
      <c r="A2783" s="1">
        <v>5.0</v>
      </c>
      <c r="B2783" s="1" t="s">
        <v>2776</v>
      </c>
      <c r="C2783" t="str">
        <f>IFERROR(__xludf.DUMMYFUNCTION("GOOGLETRANSLATE(B2783, ""zh"", ""en"")"),"Very pleased to put the office use, very convenient, the volume is small, very satisfied.")</f>
        <v>Very pleased to put the office use, very convenient, the volume is small, very satisfied.</v>
      </c>
    </row>
    <row r="2784">
      <c r="A2784" s="1">
        <v>5.0</v>
      </c>
      <c r="B2784" s="1" t="s">
        <v>2777</v>
      </c>
      <c r="C2784" t="str">
        <f>IFERROR(__xludf.DUMMYFUNCTION("GOOGLETRANSLATE(B2784, ""zh"", ""en"")"),"Pie is indeed very good clothes like American goods")</f>
        <v>Pie is indeed very good clothes like American goods</v>
      </c>
    </row>
    <row r="2785">
      <c r="A2785" s="1">
        <v>2.0</v>
      </c>
      <c r="B2785" s="1" t="s">
        <v>2778</v>
      </c>
      <c r="C2785" t="str">
        <f>IFERROR(__xludf.DUMMYFUNCTION("GOOGLETRANSLATE(B2785, ""zh"", ""en"")"),"Disappointed packaging is very simple, only a few small transparent plastic bags and cartons. He did not specifically say how to clean, precautions. The product is the outer layer of plastic, the inner layer is stainless steel, all kind of thin. I do not "&amp;"know this to be false or abroad to buy such quality is, anyway, I'm very disappointed")</f>
        <v>Disappointed packaging is very simple, only a few small transparent plastic bags and cartons. He did not specifically say how to clean, precautions. The product is the outer layer of plastic, the inner layer is stainless steel, all kind of thin. I do not know this to be false or abroad to buy such quality is, anyway, I'm very disappointed</v>
      </c>
    </row>
    <row r="2786">
      <c r="A2786" s="1">
        <v>3.0</v>
      </c>
      <c r="B2786" s="1" t="s">
        <v>2779</v>
      </c>
      <c r="C2786" t="str">
        <f>IFERROR(__xludf.DUMMYFUNCTION("GOOGLETRANSLATE(B2786, ""zh"", ""en"")"),"Legs rather long legs rather long, the rest are fit, color can also be")</f>
        <v>Legs rather long legs rather long, the rest are fit, color can also be</v>
      </c>
    </row>
    <row r="2787">
      <c r="A2787" s="1">
        <v>3.0</v>
      </c>
      <c r="B2787" s="1" t="s">
        <v>2780</v>
      </c>
      <c r="C2787" t="str">
        <f>IFERROR(__xludf.DUMMYFUNCTION("GOOGLETRANSLATE(B2787, ""zh"", ""en"")"),"Little fade usually wear the pants 34, this intermediate to a buckle 36 just five buttons, there are black marks on the belt infected white label, it is estimated that the tape will fade.")</f>
        <v>Little fade usually wear the pants 34, this intermediate to a buckle 36 just five buttons, there are black marks on the belt infected white label, it is estimated that the tape will fade.</v>
      </c>
    </row>
    <row r="2788">
      <c r="A2788" s="1">
        <v>3.0</v>
      </c>
      <c r="B2788" s="1" t="s">
        <v>2781</v>
      </c>
      <c r="C2788" t="str">
        <f>IFERROR(__xludf.DUMMYFUNCTION("GOOGLETRANSLATE(B2788, ""zh"", ""en"")"),"There also taste the flavor of the year, not many use")</f>
        <v>There also taste the flavor of the year, not many use</v>
      </c>
    </row>
    <row r="2789">
      <c r="A2789" s="1">
        <v>1.0</v>
      </c>
      <c r="B2789" s="1" t="s">
        <v>2782</v>
      </c>
      <c r="C2789" t="str">
        <f>IFERROR(__xludf.DUMMYFUNCTION("GOOGLETRANSLATE(B2789, ""zh"", ""en"")"),"This is not good with a very easy to use, breast pads always shifting, uncomfortable! ! !")</f>
        <v>This is not good with a very easy to use, breast pads always shifting, uncomfortable! ! !</v>
      </c>
    </row>
    <row r="2790">
      <c r="A2790" s="1">
        <v>1.0</v>
      </c>
      <c r="B2790" s="1" t="s">
        <v>2783</v>
      </c>
      <c r="C2790" t="str">
        <f>IFERROR(__xludf.DUMMYFUNCTION("GOOGLETRANSLATE(B2790, ""zh"", ""en"")"),"Color is too large and the size of the country that much difference, color and pictures that much difference,")</f>
        <v>Color is too large and the size of the country that much difference, color and pictures that much difference,</v>
      </c>
    </row>
    <row r="2791">
      <c r="A2791" s="1">
        <v>1.0</v>
      </c>
      <c r="B2791" s="1" t="s">
        <v>2784</v>
      </c>
      <c r="C2791" t="str">
        <f>IFERROR(__xludf.DUMMYFUNCTION("GOOGLETRANSLATE(B2791, ""zh"", ""en"")"),"Discolored why I like this color!")</f>
        <v>Discolored why I like this color!</v>
      </c>
    </row>
    <row r="2792">
      <c r="A2792" s="1">
        <v>4.0</v>
      </c>
      <c r="B2792" s="1" t="s">
        <v>2785</v>
      </c>
      <c r="C2792" t="str">
        <f>IFERROR(__xludf.DUMMYFUNCTION("GOOGLETRANSLATE(B2792, ""zh"", ""en"")"),"Not very durable more than a month, on the broken line")</f>
        <v>Not very durable more than a month, on the broken line</v>
      </c>
    </row>
    <row r="2793">
      <c r="A2793" s="1">
        <v>4.0</v>
      </c>
      <c r="B2793" s="1" t="s">
        <v>2786</v>
      </c>
      <c r="C2793" t="str">
        <f>IFERROR(__xludf.DUMMYFUNCTION("GOOGLETRANSLATE(B2793, ""zh"", ""en"")"),"Good quality and good quality, light soles")</f>
        <v>Good quality and good quality, light soles</v>
      </c>
    </row>
    <row r="2794">
      <c r="A2794" s="1">
        <v>4.0</v>
      </c>
      <c r="B2794" s="1" t="s">
        <v>2787</v>
      </c>
      <c r="C2794" t="str">
        <f>IFERROR(__xludf.DUMMYFUNCTION("GOOGLETRANSLATE(B2794, ""zh"", ""en"")"),"Sizes I can only use my experience for the benefit of the next people to buy 186.70kg. Buy l. Too large to be m")</f>
        <v>Sizes I can only use my experience for the benefit of the next people to buy 186.70kg. Buy l. Too large to be m</v>
      </c>
    </row>
    <row r="2795">
      <c r="A2795" s="1">
        <v>4.0</v>
      </c>
      <c r="B2795" s="1" t="s">
        <v>2788</v>
      </c>
      <c r="C2795" t="str">
        <f>IFERROR(__xludf.DUMMYFUNCTION("GOOGLETRANSLATE(B2795, ""zh"", ""en"")"),"The wrong goods friends belts good quality, leather good, accurate holes, but actually the wrong goods friends, buy a brown, black hair the same paragraph, the Amazon is too sloppy it, but black is also okay too lazy to change you, a star deduction for Am"&amp;"azon's negligence.")</f>
        <v>The wrong goods friends belts good quality, leather good, accurate holes, but actually the wrong goods friends, buy a brown, black hair the same paragraph, the Amazon is too sloppy it, but black is also okay too lazy to change you, a star deduction for Amazon's negligence.</v>
      </c>
    </row>
    <row r="2796">
      <c r="A2796" s="1">
        <v>4.0</v>
      </c>
      <c r="B2796" s="1" t="s">
        <v>2789</v>
      </c>
      <c r="C2796" t="str">
        <f>IFERROR(__xludf.DUMMYFUNCTION("GOOGLETRANSLATE(B2796, ""zh"", ""en"")"),"Not bad not good original Diamond Head, but almost.")</f>
        <v>Not bad not good original Diamond Head, but almost.</v>
      </c>
    </row>
    <row r="2797">
      <c r="A2797" s="1">
        <v>5.0</v>
      </c>
      <c r="B2797" s="1" t="s">
        <v>2790</v>
      </c>
      <c r="C2797" t="str">
        <f>IFERROR(__xludf.DUMMYFUNCTION("GOOGLETRANSLATE(B2797, ""zh"", ""en"")"),"Comfortable fabrics belong to the spring and autumn wear sweater with velvet fabric is very comfortable, good size")</f>
        <v>Comfortable fabrics belong to the spring and autumn wear sweater with velvet fabric is very comfortable, good size</v>
      </c>
    </row>
    <row r="2798">
      <c r="A2798" s="1">
        <v>5.0</v>
      </c>
      <c r="B2798" s="1" t="s">
        <v>2791</v>
      </c>
      <c r="C2798" t="str">
        <f>IFERROR(__xludf.DUMMYFUNCTION("GOOGLETRANSLATE(B2798, ""zh"", ""en"")"),"How brush with affordable, ah can not seem to change the brush head")</f>
        <v>How brush with affordable, ah can not seem to change the brush head</v>
      </c>
    </row>
    <row r="2799">
      <c r="A2799" s="1">
        <v>5.0</v>
      </c>
      <c r="B2799" s="1" t="s">
        <v>2792</v>
      </c>
      <c r="C2799" t="str">
        <f>IFERROR(__xludf.DUMMYFUNCTION("GOOGLETRANSLATE(B2799, ""zh"", ""en"")"),"Inexpensive, practical things have been received, very small, not luxurious, a bit like plastic material (joking), with a day, the error is less than 1 minute, transparent bottom shell, luminous display, but also cheaper")</f>
        <v>Inexpensive, practical things have been received, very small, not luxurious, a bit like plastic material (joking), with a day, the error is less than 1 minute, transparent bottom shell, luminous display, but also cheaper</v>
      </c>
    </row>
    <row r="2800">
      <c r="A2800" s="1">
        <v>5.0</v>
      </c>
      <c r="B2800" s="1" t="s">
        <v>2793</v>
      </c>
      <c r="C2800" t="str">
        <f>IFERROR(__xludf.DUMMYFUNCTION("GOOGLETRANSLATE(B2800, ""zh"", ""en"")"),"Good, affordable, it does not smell very good, affordable, no smell, baby likes")</f>
        <v>Good, affordable, it does not smell very good, affordable, no smell, baby likes</v>
      </c>
    </row>
    <row r="2801">
      <c r="A2801" s="1">
        <v>5.0</v>
      </c>
      <c r="B2801" s="1" t="s">
        <v>2794</v>
      </c>
      <c r="C2801" t="str">
        <f>IFERROR(__xludf.DUMMYFUNCTION("GOOGLETRANSLATE(B2801, ""zh"", ""en"")"),"Inexpensive and good to wear very well! Affordable, comfortable to wear, just 3E I thought I would be this thin feet big, I did not expect fundamental 3E and usually no difference.")</f>
        <v>Inexpensive and good to wear very well! Affordable, comfortable to wear, just 3E I thought I would be this thin feet big, I did not expect fundamental 3E and usually no difference.</v>
      </c>
    </row>
    <row r="2802">
      <c r="A2802" s="1">
        <v>5.0</v>
      </c>
      <c r="B2802" s="1" t="s">
        <v>2795</v>
      </c>
      <c r="C2802" t="str">
        <f>IFERROR(__xludf.DUMMYFUNCTION("GOOGLETRANSLATE(B2802, ""zh"", ""en"")"),"Good things something good, very thick and strong, it should be genuine")</f>
        <v>Good things something good, very thick and strong, it should be genuine</v>
      </c>
    </row>
    <row r="2803">
      <c r="A2803" s="1">
        <v>5.0</v>
      </c>
      <c r="B2803" s="1" t="s">
        <v>2796</v>
      </c>
      <c r="C2803" t="str">
        <f>IFERROR(__xludf.DUMMYFUNCTION("GOOGLETRANSLATE(B2803, ""zh"", ""en"")"),"Super like carefully read the material upon receipt, mostly merino and 30% cashmere, the material is praise, washed and dried after washing machine wool file no problem, very good care. Warm light, it can be said of the 100 points.")</f>
        <v>Super like carefully read the material upon receipt, mostly merino and 30% cashmere, the material is praise, washed and dried after washing machine wool file no problem, very good care. Warm light, it can be said of the 100 points.</v>
      </c>
    </row>
    <row r="2804">
      <c r="A2804" s="1">
        <v>5.0</v>
      </c>
      <c r="B2804" s="1" t="s">
        <v>2797</v>
      </c>
      <c r="C2804" t="str">
        <f>IFERROR(__xludf.DUMMYFUNCTION("GOOGLETRANSLATE(B2804, ""zh"", ""en"")"),"A little heavy shoes, her husband said this is the electrician shoes, my goodness, I feel cool ah")</f>
        <v>A little heavy shoes, her husband said this is the electrician shoes, my goodness, I feel cool ah</v>
      </c>
    </row>
    <row r="2805">
      <c r="A2805" s="1">
        <v>5.0</v>
      </c>
      <c r="B2805" s="1" t="s">
        <v>2798</v>
      </c>
      <c r="C2805" t="str">
        <f>IFERROR(__xludf.DUMMYFUNCTION("GOOGLETRANSLATE(B2805, ""zh"", ""en"")"),"Very good right size, cotton, commented that before did not tie people to wear them feel good, low prices, overalls properly properly")</f>
        <v>Very good right size, cotton, commented that before did not tie people to wear them feel good, low prices, overalls properly properly</v>
      </c>
    </row>
    <row r="2806">
      <c r="A2806" s="1">
        <v>5.0</v>
      </c>
      <c r="B2806" s="1" t="s">
        <v>2799</v>
      </c>
      <c r="C2806" t="str">
        <f>IFERROR(__xludf.DUMMYFUNCTION("GOOGLETRANSLATE(B2806, ""zh"", ""en"")"),"Good quality! The right size! Version for! Workmanship is very good! Mexico produced!")</f>
        <v>Good quality! The right size! Version for! Workmanship is very good! Mexico produced!</v>
      </c>
    </row>
    <row r="2807">
      <c r="A2807" s="1">
        <v>5.0</v>
      </c>
      <c r="B2807" s="1" t="s">
        <v>2800</v>
      </c>
      <c r="C2807" t="str">
        <f>IFERROR(__xludf.DUMMYFUNCTION("GOOGLETRANSLATE(B2807, ""zh"", ""en"")"),"Pants good enough fat ah good very reasonable prices like next time come")</f>
        <v>Pants good enough fat ah good very reasonable prices like next time come</v>
      </c>
    </row>
    <row r="2808">
      <c r="A2808" s="1">
        <v>5.0</v>
      </c>
      <c r="B2808" s="1" t="s">
        <v>2801</v>
      </c>
      <c r="C2808" t="str">
        <f>IFERROR(__xludf.DUMMYFUNCTION("GOOGLETRANSLATE(B2808, ""zh"", ""en"")"),"Solar radio plus GS series with the price invincible British-orders, made in China five days wandering hand. Accurately collect wave, the system is the standard system when changing summer, night automatic admission waves, quite true. GS black tie look, w"&amp;"ild section. Get started on the first day wearing a swim. No automatic backlight, not seconds, sufficient fluorescence at night. Smaller than the king of clay has certain advantages.")</f>
        <v>Solar radio plus GS series with the price invincible British-orders, made in China five days wandering hand. Accurately collect wave, the system is the standard system when changing summer, night automatic admission waves, quite true. GS black tie look, wild section. Get started on the first day wearing a swim. No automatic backlight, not seconds, sufficient fluorescence at night. Smaller than the king of clay has certain advantages.</v>
      </c>
    </row>
    <row r="2809">
      <c r="A2809" s="1">
        <v>5.0</v>
      </c>
      <c r="B2809" s="1" t="s">
        <v>2802</v>
      </c>
      <c r="C2809" t="str">
        <f>IFERROR(__xludf.DUMMYFUNCTION("GOOGLETRANSLATE(B2809, ""zh"", ""en"")"),"Very easy to use this pen handy trim Yeah, f sharp thickness measured 0.5, for writing Chinese characters, but also the front, the price is also very suitable main thing is big on")</f>
        <v>Very easy to use this pen handy trim Yeah, f sharp thickness measured 0.5, for writing Chinese characters, but also the front, the price is also very suitable main thing is big on</v>
      </c>
    </row>
    <row r="2810">
      <c r="A2810" s="1">
        <v>5.0</v>
      </c>
      <c r="B2810" s="1" t="s">
        <v>2803</v>
      </c>
      <c r="C2810" t="str">
        <f>IFERROR(__xludf.DUMMYFUNCTION("GOOGLETRANSLATE(B2810, ""zh"", ""en"")"),"Big ah! I thought it was an electric toothbrush, turned out to be a rolling pin. I have eaten several times Avocado milkshake, just to eat this buy.")</f>
        <v>Big ah! I thought it was an electric toothbrush, turned out to be a rolling pin. I have eaten several times Avocado milkshake, just to eat this buy.</v>
      </c>
    </row>
    <row r="2811">
      <c r="A2811" s="1">
        <v>5.0</v>
      </c>
      <c r="B2811" s="1" t="s">
        <v>2804</v>
      </c>
      <c r="C2811" t="str">
        <f>IFERROR(__xludf.DUMMYFUNCTION("GOOGLETRANSLATE(B2811, ""zh"", ""en"")"),"Satisfaction 944 + 106 total 1050 yuan. Let me Mifune also quite five years.")</f>
        <v>Satisfaction 944 + 106 total 1050 yuan. Let me Mifune also quite five years.</v>
      </c>
    </row>
    <row r="2812">
      <c r="A2812" s="1">
        <v>5.0</v>
      </c>
      <c r="B2812" s="1" t="s">
        <v>2805</v>
      </c>
      <c r="C2812" t="str">
        <f>IFERROR(__xludf.DUMMYFUNCTION("GOOGLETRANSLATE(B2812, ""zh"", ""en"")"),"This does not feel like bondage wear feel very personal comfort! Like wearing the same!")</f>
        <v>This does not feel like bondage wear feel very personal comfort! Like wearing the same!</v>
      </c>
    </row>
    <row r="2813">
      <c r="A2813" s="1">
        <v>5.0</v>
      </c>
      <c r="B2813" s="1" t="s">
        <v>2806</v>
      </c>
      <c r="C2813" t="str">
        <f>IFERROR(__xludf.DUMMYFUNCTION("GOOGLETRANSLATE(B2813, ""zh"", ""en"")"),"Entry box sound quality is very good we all take JBL305 to compare ... a black one pair of five AIU 305 less than 1200 hand (VISA free postage CCB + 20% cash back can do). Second, the 305 bass is not suitable for small spaces near-field listening. 305 noi"&amp;"se floor much larger than E5, two have noise floor (there are cattle people can do to reduce background noise interference shielding, such as shielding ground, without wireless mouse with a USB Gigabyte motherboard that what the independent method, etc.) "&amp;". Three, E5 than 305 omnivorous, nice big vocal preparation is also good movie games can be taken into account, more suitable for computer cases, of course, at least have a similar DAC or a separate sound card.")</f>
        <v>Entry box sound quality is very good we all take JBL305 to compare ... a black one pair of five AIU 305 less than 1200 hand (VISA free postage CCB + 20% cash back can do). Second, the 305 bass is not suitable for small spaces near-field listening. 305 noise floor much larger than E5, two have noise floor (there are cattle people can do to reduce background noise interference shielding, such as shielding ground, without wireless mouse with a USB Gigabyte motherboard that what the independent method, etc.) . Three, E5 than 305 omnivorous, nice big vocal preparation is also good movie games can be taken into account, more suitable for computer cases, of course, at least have a similar DAC or a separate sound card.</v>
      </c>
    </row>
    <row r="2814">
      <c r="A2814" s="1">
        <v>5.0</v>
      </c>
      <c r="B2814" s="1" t="s">
        <v>2807</v>
      </c>
      <c r="C2814" t="str">
        <f>IFERROR(__xludf.DUMMYFUNCTION("GOOGLETRANSLATE(B2814, ""zh"", ""en"")"),"Very satisfied, there is a problem then contact follow-up, because you have not installed very satisfied, than I bought the domestic price Kohler, accessories do not know no less, good flash")</f>
        <v>Very satisfied, there is a problem then contact follow-up, because you have not installed very satisfied, than I bought the domestic price Kohler, accessories do not know no less, good flash</v>
      </c>
    </row>
    <row r="2815">
      <c r="A2815" s="1">
        <v>5.0</v>
      </c>
      <c r="B2815" s="1" t="s">
        <v>2808</v>
      </c>
      <c r="C2815" t="str">
        <f>IFERROR(__xludf.DUMMYFUNCTION("GOOGLETRANSLATE(B2815, ""zh"", ""en"")"),"Most comfortable ecco through one pair of good, gray often good, fat feet are also suitable")</f>
        <v>Most comfortable ecco through one pair of good, gray often good, fat feet are also suitable</v>
      </c>
    </row>
    <row r="2816">
      <c r="A2816" s="1">
        <v>5.0</v>
      </c>
      <c r="B2816" s="1" t="s">
        <v>2809</v>
      </c>
      <c r="C2816" t="str">
        <f>IFERROR(__xludf.DUMMYFUNCTION("GOOGLETRANSLATE(B2816, ""zh"", ""en"")"),"Save face and very easy to use, buy expensive it is, the highest single point. And surface easy ah")</f>
        <v>Save face and very easy to use, buy expensive it is, the highest single point. And surface easy ah</v>
      </c>
    </row>
    <row r="2817">
      <c r="A2817" s="1">
        <v>5.0</v>
      </c>
      <c r="B2817" s="1" t="s">
        <v>2810</v>
      </c>
      <c r="C2817" t="str">
        <f>IFERROR(__xludf.DUMMYFUNCTION("GOOGLETRANSLATE(B2817, ""zh"", ""en"")"),"Overseas purchase, I like it! The right size, in 26 yards, to buy uk8! Prices are more appropriate! High cost, after the foot feeling very comfortable! The second double their music shoes! Liked overseas purchase!")</f>
        <v>Overseas purchase, I like it! The right size, in 26 yards, to buy uk8! Prices are more appropriate! High cost, after the foot feeling very comfortable! The second double their music shoes! Liked overseas purchase!</v>
      </c>
    </row>
    <row r="2818">
      <c r="A2818" s="1">
        <v>5.0</v>
      </c>
      <c r="B2818" s="1" t="s">
        <v>2811</v>
      </c>
      <c r="C2818" t="str">
        <f>IFERROR(__xludf.DUMMYFUNCTION("GOOGLETRANSLATE(B2818, ""zh"", ""en"")"),"This is still relatively satisfied with the courier, too slow too slow, too slow, clothes a little big maximum number 186/180, I hope you pay attention, in fact, clothing material is not as ck")</f>
        <v>This is still relatively satisfied with the courier, too slow too slow, too slow, clothes a little big maximum number 186/180, I hope you pay attention, in fact, clothing material is not as ck</v>
      </c>
    </row>
    <row r="2819">
      <c r="A2819" s="1">
        <v>2.0</v>
      </c>
      <c r="B2819" s="1" t="s">
        <v>2812</v>
      </c>
      <c r="C2819" t="str">
        <f>IFERROR(__xludf.DUMMYFUNCTION("GOOGLETRANSLATE(B2819, ""zh"", ""en"")"),"Leading off leakage lax &lt;div id = ""video-block-R19NPJTW9YURXQ"" class = ""a-section a-spacing-small a-spacing-top-mini video-block""&gt; &lt;/ div&gt; &lt;input type = ""hidden"" name = """" value = ""https://images-cn.ssl-images-amazon.com/images/I/A1QA1GTZF9S.mp4"&amp;""" class = ""video-url""&gt; &lt;input type = ""hidden"" name = """" value = ""https://images-cn.ssl-images-amazon.com/images/I/71z0oh+KXOS.png"" class = ""video-slate-img-url""&gt; &amp; nbsp; buy two faucet, a well, a leak shut tight, win the lottery!")</f>
        <v>Leading off leakage lax &lt;div id = "video-block-R19NPJTW9YURXQ" class = "a-section a-spacing-small a-spacing-top-mini video-block"&gt; &lt;/ div&gt; &lt;input type = "hidden" name = "" value = "https://images-cn.ssl-images-amazon.com/images/I/A1QA1GTZF9S.mp4" class = "video-url"&gt; &lt;input type = "hidden" name = "" value = "https://images-cn.ssl-images-amazon.com/images/I/71z0oh+KXOS.png" class = "video-slate-img-url"&gt; &amp; nbsp; buy two faucet, a well, a leak shut tight, win the lottery!</v>
      </c>
    </row>
    <row r="2820">
      <c r="A2820" s="1">
        <v>3.0</v>
      </c>
      <c r="B2820" s="1" t="s">
        <v>2813</v>
      </c>
      <c r="C2820" t="str">
        <f>IFERROR(__xludf.DUMMYFUNCTION("GOOGLETRANSLATE(B2820, ""zh"", ""en"")"),"Old style, great code! Shall not apply to the general population of our country, better customer service suggested I buy a small 12S to 10S as a whole is still the number one inch big. Old style, to wear like Aunt. But the fabric is very comfortable, and "&amp;"there is no smell. Get back more than 50 overseas freight, worth, or give as gifts good.")</f>
        <v>Old style, great code! Shall not apply to the general population of our country, better customer service suggested I buy a small 12S to 10S as a whole is still the number one inch big. Old style, to wear like Aunt. But the fabric is very comfortable, and there is no smell. Get back more than 50 overseas freight, worth, or give as gifts good.</v>
      </c>
    </row>
    <row r="2821">
      <c r="A2821" s="1">
        <v>3.0</v>
      </c>
      <c r="B2821" s="1" t="s">
        <v>2814</v>
      </c>
      <c r="C2821" t="str">
        <f>IFERROR(__xludf.DUMMYFUNCTION("GOOGLETRANSLATE(B2821, ""zh"", ""en"")"),"Cheap price is very cheap, like clothes in general, expand washed after")</f>
        <v>Cheap price is very cheap, like clothes in general, expand washed after</v>
      </c>
    </row>
    <row r="2822">
      <c r="A2822" s="1">
        <v>3.0</v>
      </c>
      <c r="B2822" s="1" t="s">
        <v>2815</v>
      </c>
      <c r="C2822" t="str">
        <f>IFERROR(__xludf.DUMMYFUNCTION("GOOGLETRANSLATE(B2822, ""zh"", ""en"")"),"Validity is not clear enough really big bucket, the only downside is the production date a little fuzzy.")</f>
        <v>Validity is not clear enough really big bucket, the only downside is the production date a little fuzzy.</v>
      </c>
    </row>
    <row r="2823">
      <c r="A2823" s="1">
        <v>1.0</v>
      </c>
      <c r="B2823" s="1" t="s">
        <v>2816</v>
      </c>
      <c r="C2823" t="str">
        <f>IFERROR(__xludf.DUMMYFUNCTION("GOOGLETRANSLATE(B2823, ""zh"", ""en"")"),"Averypoorleatherbelt, thenormalwear willbescrapingflowersandpaintoff very poor a belt, scratches and normal wear will paint out. Averypoorleatherbelt, thenormalwear willbescrapingflowersandpaintoff")</f>
        <v>Averypoorleatherbelt, thenormalwear willbescrapingflowersandpaintoff very poor a belt, scratches and normal wear will paint out. Averypoorleatherbelt, thenormalwear willbescrapingflowersandpaintoff</v>
      </c>
    </row>
    <row r="2824">
      <c r="A2824" s="1">
        <v>1.0</v>
      </c>
      <c r="B2824" s="1" t="s">
        <v>2817</v>
      </c>
      <c r="C2824" t="str">
        <f>IFERROR(__xludf.DUMMYFUNCTION("GOOGLETRANSLATE(B2824, ""zh"", ""en"")"),"Size large, late delivery 7/24 did not receive the goods. Upon receipt already 7/28. The size is much larger than normal xxl. I guess Yao Ming wearing just right.")</f>
        <v>Size large, late delivery 7/24 did not receive the goods. Upon receipt already 7/28. The size is much larger than normal xxl. I guess Yao Ming wearing just right.</v>
      </c>
    </row>
    <row r="2825">
      <c r="A2825" s="1">
        <v>4.0</v>
      </c>
      <c r="B2825" s="1" t="s">
        <v>2818</v>
      </c>
      <c r="C2825" t="str">
        <f>IFERROR(__xludf.DUMMYFUNCTION("GOOGLETRANSLATE(B2825, ""zh"", ""en"")"),"Very satisfied with the packaging is very new, production date is also very new, unlike some comments that are old. Bottle is useful, like to hold the baby to drink, there is little taste.")</f>
        <v>Very satisfied with the packaging is very new, production date is also very new, unlike some comments that are old. Bottle is useful, like to hold the baby to drink, there is little taste.</v>
      </c>
    </row>
    <row r="2826">
      <c r="A2826" s="1">
        <v>4.0</v>
      </c>
      <c r="B2826" s="1" t="s">
        <v>2819</v>
      </c>
      <c r="C2826" t="str">
        <f>IFERROR(__xludf.DUMMYFUNCTION("GOOGLETRANSLATE(B2826, ""zh"", ""en"")"),"Calvin Klein Calvin Klein men's modal boxer briefs black S ... No. logistics faster than imagined, panties get our hands feel very small, just to wear, but have to say that the work is very general, there are two more than 3.4 inside thread , followed by "&amp;"irregular seams, it does not matter, I did not wash directly through the key, which are all wool cloth, get my legs with black spots all private parts, the ground also off the floor black spots. Too disgusting, no way, retire, etc. washed wear, overseas s"&amp;"hopping early experience is not good, not as good as a 30 to block the country's underpants, the quality of God, the horse can only rely on time to detect the")</f>
        <v>Calvin Klein Calvin Klein men's modal boxer briefs black S ... No. logistics faster than imagined, panties get our hands feel very small, just to wear, but have to say that the work is very general, there are two more than 3.4 inside thread , followed by irregular seams, it does not matter, I did not wash directly through the key, which are all wool cloth, get my legs with black spots all private parts, the ground also off the floor black spots. Too disgusting, no way, retire, etc. washed wear, overseas shopping early experience is not good, not as good as a 30 to block the country's underpants, the quality of God, the horse can only rely on time to detect the</v>
      </c>
    </row>
    <row r="2827">
      <c r="A2827" s="1">
        <v>4.0</v>
      </c>
      <c r="B2827" s="1" t="s">
        <v>2820</v>
      </c>
      <c r="C2827" t="str">
        <f>IFERROR(__xludf.DUMMYFUNCTION("GOOGLETRANSLATE(B2827, ""zh"", ""en"")"),"Overall okay than expected to loose some")</f>
        <v>Overall okay than expected to loose some</v>
      </c>
    </row>
    <row r="2828">
      <c r="A2828" s="1">
        <v>4.0</v>
      </c>
      <c r="B2828" s="1" t="s">
        <v>2821</v>
      </c>
      <c r="C2828" t="str">
        <f>IFERROR(__xludf.DUMMYFUNCTION("GOOGLETRANSLATE(B2828, ""zh"", ""en"")"),"Damage something looks good, packing too shabby, damaged when received, very timely deal with the problem")</f>
        <v>Damage something looks good, packing too shabby, damaged when received, very timely deal with the problem</v>
      </c>
    </row>
    <row r="2829">
      <c r="A2829" s="1">
        <v>5.0</v>
      </c>
      <c r="B2829" s="1" t="s">
        <v>2822</v>
      </c>
      <c r="C2829" t="str">
        <f>IFERROR(__xludf.DUMMYFUNCTION("GOOGLETRANSLATE(B2829, ""zh"", ""en"")"),"160/120 satisfaction like to wear very loose S, style is also good-looking, but also to force the price. worth to buy.")</f>
        <v>160/120 satisfaction like to wear very loose S, style is also good-looking, but also to force the price. worth to buy.</v>
      </c>
    </row>
    <row r="2830">
      <c r="A2830" s="1">
        <v>5.0</v>
      </c>
      <c r="B2830" s="1" t="s">
        <v>2823</v>
      </c>
      <c r="C2830" t="str">
        <f>IFERROR(__xludf.DUMMYFUNCTION("GOOGLETRANSLATE(B2830, ""zh"", ""en"")"),"well! This price can buy, it should be said very good value, and Amazon is so low that sometimes discount beyond alike, and no self-fakes.")</f>
        <v>well! This price can buy, it should be said very good value, and Amazon is so low that sometimes discount beyond alike, and no self-fakes.</v>
      </c>
    </row>
    <row r="2831">
      <c r="A2831" s="1">
        <v>5.0</v>
      </c>
      <c r="B2831" s="1" t="s">
        <v>2824</v>
      </c>
      <c r="C2831" t="str">
        <f>IFERROR(__xludf.DUMMYFUNCTION("GOOGLETRANSLATE(B2831, ""zh"", ""en"")"),"Very good once again confirmed that the Amazon shopping experience with customer communication before that I was fast delivery only 5-9 days, but the second I said it was common for customer service delivery to more than 12 days, the result was quickly ge"&amp;"t our hands thank you very much customer service first. If there are enough coupons - plus almost 750 of the Tariff")</f>
        <v>Very good once again confirmed that the Amazon shopping experience with customer communication before that I was fast delivery only 5-9 days, but the second I said it was common for customer service delivery to more than 12 days, the result was quickly get our hands thank you very much customer service first. If there are enough coupons - plus almost 750 of the Tariff</v>
      </c>
    </row>
    <row r="2832">
      <c r="A2832" s="1">
        <v>5.0</v>
      </c>
      <c r="B2832" s="1" t="s">
        <v>2825</v>
      </c>
      <c r="C2832" t="str">
        <f>IFERROR(__xludf.DUMMYFUNCTION("GOOGLETRANSLATE(B2832, ""zh"", ""en"")"),"Cost-effective and so close to the last delivery. Something good use. The price is very cost-effective")</f>
        <v>Cost-effective and so close to the last delivery. Something good use. The price is very cost-effective</v>
      </c>
    </row>
    <row r="2833">
      <c r="A2833" s="1">
        <v>5.0</v>
      </c>
      <c r="B2833" s="1" t="s">
        <v>2826</v>
      </c>
      <c r="C2833" t="str">
        <f>IFERROR(__xludf.DUMMYFUNCTION("GOOGLETRANSLATE(B2833, ""zh"", ""en"")"),"Easy to use thin, can also speed")</f>
        <v>Easy to use thin, can also speed</v>
      </c>
    </row>
    <row r="2834">
      <c r="A2834" s="1">
        <v>5.0</v>
      </c>
      <c r="B2834" s="1" t="s">
        <v>2827</v>
      </c>
      <c r="C2834" t="str">
        <f>IFERROR(__xludf.DUMMYFUNCTION("GOOGLETRANSLATE(B2834, ""zh"", ""en"")"),"The texture is great! Great, good texture! With a steak knife and fork together to buy, very satisfied!")</f>
        <v>The texture is great! Great, good texture! With a steak knife and fork together to buy, very satisfied!</v>
      </c>
    </row>
    <row r="2835">
      <c r="A2835" s="1">
        <v>5.0</v>
      </c>
      <c r="B2835" s="1" t="s">
        <v>2828</v>
      </c>
      <c r="C2835" t="str">
        <f>IFERROR(__xludf.DUMMYFUNCTION("GOOGLETRANSLATE(B2835, ""zh"", ""en"")"),"good looking! good looking! I am just getting a little pressure feet, but wear more like a few days")</f>
        <v>good looking! good looking! I am just getting a little pressure feet, but wear more like a few days</v>
      </c>
    </row>
    <row r="2836">
      <c r="A2836" s="1">
        <v>5.0</v>
      </c>
      <c r="B2836" s="1" t="s">
        <v>2829</v>
      </c>
      <c r="C2836" t="str">
        <f>IFERROR(__xludf.DUMMYFUNCTION("GOOGLETRANSLATE(B2836, ""zh"", ""en"")"),"For your baby out of the stew pot is very beautiful color, about 180 hand, is a little too large capacity, stew soup is very good")</f>
        <v>For your baby out of the stew pot is very beautiful color, about 180 hand, is a little too large capacity, stew soup is very good</v>
      </c>
    </row>
    <row r="2837">
      <c r="A2837" s="1">
        <v>5.0</v>
      </c>
      <c r="B2837" s="1" t="s">
        <v>2830</v>
      </c>
      <c r="C2837" t="str">
        <f>IFERROR(__xludf.DUMMYFUNCTION("GOOGLETRANSLATE(B2837, ""zh"", ""en"")"),"Very good should be genuine! Particularly good")</f>
        <v>Very good should be genuine! Particularly good</v>
      </c>
    </row>
    <row r="2838">
      <c r="A2838" s="1">
        <v>5.0</v>
      </c>
      <c r="B2838" s="1" t="s">
        <v>2831</v>
      </c>
      <c r="C2838" t="str">
        <f>IFERROR(__xludf.DUMMYFUNCTION("GOOGLETRANSLATE(B2838, ""zh"", ""en"")"),"Okay okay I did not set a new awareness of the bones of domestic Pigeon bottle ......")</f>
        <v>Okay okay I did not set a new awareness of the bones of domestic Pigeon bottle ......</v>
      </c>
    </row>
    <row r="2839">
      <c r="A2839" s="1">
        <v>5.0</v>
      </c>
      <c r="B2839" s="1" t="s">
        <v>2832</v>
      </c>
      <c r="C2839" t="str">
        <f>IFERROR(__xludf.DUMMYFUNCTION("GOOGLETRANSLATE(B2839, ""zh"", ""en"")"),"We do not buy cheap goods will not be my ankle u disk to buy for a long time, spent a long time, more than a dozen are one hundred seventy time to buy, then just have the global shopping event. Read speed is not written to run 80m 20-30m can accept those "&amp;"kinds of bad strange rp of their own cheap, do not blame others")</f>
        <v>We do not buy cheap goods will not be my ankle u disk to buy for a long time, spent a long time, more than a dozen are one hundred seventy time to buy, then just have the global shopping event. Read speed is not written to run 80m 20-30m can accept those kinds of bad strange rp of their own cheap, do not blame others</v>
      </c>
    </row>
    <row r="2840">
      <c r="A2840" s="1">
        <v>5.0</v>
      </c>
      <c r="B2840" s="1" t="s">
        <v>2833</v>
      </c>
      <c r="C2840" t="str">
        <f>IFERROR(__xludf.DUMMYFUNCTION("GOOGLETRANSLATE(B2840, ""zh"", ""en"")"),"Cost can be cheaper than Taobao. Corset pants really very comfortable to wear, no sense of restraint, nor the following leg curl, if not more, then stomach meat, the meat will not be pushed above. Postpartum 106 pounds, 163cm, 64 to buy, the feeling is es"&amp;"timated to wear a few days to buy a small yards. Wear thin circle, shaping waist than at the stomach feel better. A little depressed this morning wearing, made in China found written above ~")</f>
        <v>Cost can be cheaper than Taobao. Corset pants really very comfortable to wear, no sense of restraint, nor the following leg curl, if not more, then stomach meat, the meat will not be pushed above. Postpartum 106 pounds, 163cm, 64 to buy, the feeling is estimated to wear a few days to buy a small yards. Wear thin circle, shaping waist than at the stomach feel better. A little depressed this morning wearing, made in China found written above ~</v>
      </c>
    </row>
    <row r="2841">
      <c r="A2841" s="1">
        <v>5.0</v>
      </c>
      <c r="B2841" s="1" t="s">
        <v>2834</v>
      </c>
      <c r="C2841" t="str">
        <f>IFERROR(__xludf.DUMMYFUNCTION("GOOGLETRANSLATE(B2841, ""zh"", ""en"")"),"Read other buyers to buy a small number of decisive recommendations 2, exactly!")</f>
        <v>Read other buyers to buy a small number of decisive recommendations 2, exactly!</v>
      </c>
    </row>
    <row r="2842">
      <c r="A2842" s="1">
        <v>5.0</v>
      </c>
      <c r="B2842" s="1" t="s">
        <v>2835</v>
      </c>
      <c r="C2842" t="str">
        <f>IFERROR(__xludf.DUMMYFUNCTION("GOOGLETRANSLATE(B2842, ""zh"", ""en"")"),"Is leather, do not know resistance is not durable previously bought a few are not used for over a year, this time to buy overseas goods look good is not good Mimi")</f>
        <v>Is leather, do not know resistance is not durable previously bought a few are not used for over a year, this time to buy overseas goods look good is not good Mimi</v>
      </c>
    </row>
    <row r="2843">
      <c r="A2843" s="1">
        <v>5.0</v>
      </c>
      <c r="B2843" s="1" t="s">
        <v>2836</v>
      </c>
      <c r="C2843" t="str">
        <f>IFERROR(__xludf.DUMMYFUNCTION("GOOGLETRANSLATE(B2843, ""zh"", ""en"")"),"One big difference in size again when the Japanese code, small, usually to buy S No. M are small, the proposed purchase")</f>
        <v>One big difference in size again when the Japanese code, small, usually to buy S No. M are small, the proposed purchase</v>
      </c>
    </row>
    <row r="2844">
      <c r="A2844" s="1">
        <v>5.0</v>
      </c>
      <c r="B2844" s="1" t="s">
        <v>2837</v>
      </c>
      <c r="C2844" t="str">
        <f>IFERROR(__xludf.DUMMYFUNCTION("GOOGLETRANSLATE(B2844, ""zh"", ""en"")"),"Size is too large. I 170,80 kg, m code or loose a little. But tolerating freedom, a change too much trouble. Clothes itself is no problem.")</f>
        <v>Size is too large. I 170,80 kg, m code or loose a little. But tolerating freedom, a change too much trouble. Clothes itself is no problem.</v>
      </c>
    </row>
    <row r="2845">
      <c r="A2845" s="1">
        <v>5.0</v>
      </c>
      <c r="B2845" s="1" t="s">
        <v>2838</v>
      </c>
      <c r="C2845" t="str">
        <f>IFERROR(__xludf.DUMMYFUNCTION("GOOGLETRANSLATE(B2845, ""zh"", ""en"")"),"Tiger good cup day Yaping enough.")</f>
        <v>Tiger good cup day Yaping enough.</v>
      </c>
    </row>
    <row r="2846">
      <c r="A2846" s="1">
        <v>5.0</v>
      </c>
      <c r="B2846" s="1" t="s">
        <v>2839</v>
      </c>
      <c r="C2846" t="str">
        <f>IFERROR(__xludf.DUMMYFUNCTION("GOOGLETRANSLATE(B2846, ""zh"", ""en"")"),"Comfortable to wear very good, very comfortable, I height 180 weight 76 slim, wear m very appropriate.")</f>
        <v>Comfortable to wear very good, very comfortable, I height 180 weight 76 slim, wear m very appropriate.</v>
      </c>
    </row>
    <row r="2847">
      <c r="A2847" s="1">
        <v>5.0</v>
      </c>
      <c r="B2847" s="1" t="s">
        <v>2840</v>
      </c>
      <c r="C2847" t="str">
        <f>IFERROR(__xludf.DUMMYFUNCTION("GOOGLETRANSLATE(B2847, ""zh"", ""en"")"),"Very suitable for very pleasant shopping. Clothes, though not big, but the workmanship, material is very good. I bust 95 cm, recommended by the size of the table to buy the L number just ~!")</f>
        <v>Very suitable for very pleasant shopping. Clothes, though not big, but the workmanship, material is very good. I bust 95 cm, recommended by the size of the table to buy the L number just ~!</v>
      </c>
    </row>
    <row r="2848">
      <c r="A2848" s="1">
        <v>5.0</v>
      </c>
      <c r="B2848" s="1" t="s">
        <v>2841</v>
      </c>
      <c r="C2848" t="str">
        <f>IFERROR(__xludf.DUMMYFUNCTION("GOOGLETRANSLATE(B2848, ""zh"", ""en"")"),"This grass has long been worth buying, had wanted the British Asia and other activities when to buy, so do not need a transformer, and the results did not hold back AIU good price. About this machine is the major forum for the various posts I have read a "&amp;"lot, to be honest no one detailed. Some say the US version of the post after a transformer can not fully exert its effect, because the frequency can not be changed after the voltage converter. Many sun single post and does not describe a detailed descript"&amp;"ion on the nameplate of the machine, in fact, the frequency of this machine is written very clearly 50-60 Hz, which means that these two frequencies are applicable. King tournament transformer I bought the whole copper 2000w, and before the house Shun red"&amp;" with for three years, actually quite good, a few hours of continuous use will not heat. The King of the benefits of competition are three output voltage, so that the US and Japan have their own electrical socket. 2000w with mixer is no problem, but the f"&amp;"act still choose a 3000w to facilitate the purchase of high-power electrical appliances with behind. Let me say this cooking machine, high-speed voice of a ten speed comparable to decoration, and good basic juice refining what a minute is sufficient, woul"&amp;"d be acceptable. Frozen bananas can be directly labeled ice cream, delicate taste. A variety of beans cooked in soy milk labeled as very dense, taste Soymilk thrown a few blocks. Soymilk juice machine home cooking machine can be put away, there is a small"&amp;" v enough. Especially in the morning a minute or cold or hot drink fruit juice milk, just too convenient, and good cleaning. Finally Share peanut milk recipes: boiled peanuts a six or seven dates meat, milk and two-thirds of one third of the water, like t"&amp;"o drink cold milk and chilled water are used, like to drink hot. put into hot water by adding milk, a cup body temperature can, because the fight is warming up, and do not need sugar. How to drink? You try to know ^ _ ^")</f>
        <v>This grass has long been worth buying, had wanted the British Asia and other activities when to buy, so do not need a transformer, and the results did not hold back AIU good price. About this machine is the major forum for the various posts I have read a lot, to be honest no one detailed. Some say the US version of the post after a transformer can not fully exert its effect, because the frequency can not be changed after the voltage converter. Many sun single post and does not describe a detailed description on the nameplate of the machine, in fact, the frequency of this machine is written very clearly 50-60 Hz, which means that these two frequencies are applicable. King tournament transformer I bought the whole copper 2000w, and before the house Shun red with for three years, actually quite good, a few hours of continuous use will not heat. The King of the benefits of competition are three output voltage, so that the US and Japan have their own electrical socket. 2000w with mixer is no problem, but the fact still choose a 3000w to facilitate the purchase of high-power electrical appliances with behind. Let me say this cooking machine, high-speed voice of a ten speed comparable to decoration, and good basic juice refining what a minute is sufficient, would be acceptable. Frozen bananas can be directly labeled ice cream, delicate taste. A variety of beans cooked in soy milk labeled as very dense, taste Soymilk thrown a few blocks. Soymilk juice machine home cooking machine can be put away, there is a small v enough. Especially in the morning a minute or cold or hot drink fruit juice milk, just too convenient, and good cleaning. Finally Share peanut milk recipes: boiled peanuts a six or seven dates meat, milk and two-thirds of one third of the water, like to drink cold milk and chilled water are used, like to drink hot. put into hot water by adding milk, a cup body temperature can, because the fight is warming up, and do not need sugar. How to drink? You try to know ^ _ ^</v>
      </c>
    </row>
    <row r="2849">
      <c r="A2849" s="1">
        <v>5.0</v>
      </c>
      <c r="B2849" s="1" t="s">
        <v>2842</v>
      </c>
      <c r="C2849" t="str">
        <f>IFERROR(__xludf.DUMMYFUNCTION("GOOGLETRANSLATE(B2849, ""zh"", ""en"")"),"Too large very comfortable, flexible. It is too large. Large number two")</f>
        <v>Too large very comfortable, flexible. It is too large. Large number two</v>
      </c>
    </row>
    <row r="2850">
      <c r="A2850" s="1">
        <v>2.0</v>
      </c>
      <c r="B2850" s="1" t="s">
        <v>2843</v>
      </c>
      <c r="C2850" t="str">
        <f>IFERROR(__xludf.DUMMYFUNCTION("GOOGLETRANSLATE(B2850, ""zh"", ""en"")"),"Suitable for fat people very friendly size, but not suffocating the abdomen tight. 163,75,84 code")</f>
        <v>Suitable for fat people very friendly size, but not suffocating the abdomen tight. 163,75,84 code</v>
      </c>
    </row>
    <row r="2851">
      <c r="A2851" s="1">
        <v>3.0</v>
      </c>
      <c r="B2851" s="1" t="s">
        <v>2844</v>
      </c>
      <c r="C2851" t="str">
        <f>IFERROR(__xludf.DUMMYFUNCTION("GOOGLETRANSLATE(B2851, ""zh"", ""en"")"),"Good value for money also, inexpensive, because the relationship between the origin of the work is not particularly fine, a little thread.")</f>
        <v>Good value for money also, inexpensive, because the relationship between the origin of the work is not particularly fine, a little thread.</v>
      </c>
    </row>
    <row r="2852">
      <c r="A2852" s="1">
        <v>3.0</v>
      </c>
      <c r="B2852" s="1" t="s">
        <v>2845</v>
      </c>
      <c r="C2852" t="str">
        <f>IFERROR(__xludf.DUMMYFUNCTION("GOOGLETRANSLATE(B2852, ""zh"", ""en"")"),"Mailers or not to force it, or rotten. . . Read before you buy commented that there is no outsourcing tattered box to send over when the goods arrived, but inside the packaging no problem does not affect the use, hesitated again or buy. . . Send goods qui"&amp;"ckly, 5 days of receipt, and there carton outsourcing, however. . . . Probably because of the relatively large weight, after outsourcing has received rotten cardboard boxes, packed inside a large corner also squashed, after opening the two unfortunately c"&amp;"artridge packaging squeezed broken. . . . 3 stars all gave the customer a small brother, very pleasant to communicate, send photos in the past confirmed, then back part of the money, and the rest did not break reclaim it does not affect the use, I hope th"&amp;"e next longer pay attention to commodity products purchased abroad packaging, after all, come across the sea, nothing wrong with some extra cautious. . .")</f>
        <v>Mailers or not to force it, or rotten. . . Read before you buy commented that there is no outsourcing tattered box to send over when the goods arrived, but inside the packaging no problem does not affect the use, hesitated again or buy. . . Send goods quickly, 5 days of receipt, and there carton outsourcing, however. . . . Probably because of the relatively large weight, after outsourcing has received rotten cardboard boxes, packed inside a large corner also squashed, after opening the two unfortunately cartridge packaging squeezed broken. . . . 3 stars all gave the customer a small brother, very pleasant to communicate, send photos in the past confirmed, then back part of the money, and the rest did not break reclaim it does not affect the use, I hope the next longer pay attention to commodity products purchased abroad packaging, after all, come across the sea, nothing wrong with some extra cautious. . .</v>
      </c>
    </row>
    <row r="2853">
      <c r="A2853" s="1">
        <v>1.0</v>
      </c>
      <c r="B2853" s="1" t="s">
        <v>2846</v>
      </c>
      <c r="C2853" t="str">
        <f>IFERROR(__xludf.DUMMYFUNCTION("GOOGLETRANSLATE(B2853, ""zh"", ""en"")"),"Wearing uncomfortable worn on the hand discomfort, uncomfortable. The most angry is, the order is secretly changed, cloth know my PL will not be deleted, suggesting that we choose carefully, especially the HWG, my original order was 130RMB table, and afte"&amp;"r a few days to see progress, become another one table, ah, so no value 103,30. Fortunately, only 30, if I bought a more expensive not worth Kusi. . . Find customer service useless, he said that compensation can only give you $ 10 coupons, it has not. Do "&amp;"not say. Silence. There will be no waste of money and time.")</f>
        <v>Wearing uncomfortable worn on the hand discomfort, uncomfortable. The most angry is, the order is secretly changed, cloth know my PL will not be deleted, suggesting that we choose carefully, especially the HWG, my original order was 130RMB table, and after a few days to see progress, become another one table, ah, so no value 103,30. Fortunately, only 30, if I bought a more expensive not worth Kusi. . . Find customer service useless, he said that compensation can only give you $ 10 coupons, it has not. Do not say. Silence. There will be no waste of money and time.</v>
      </c>
    </row>
    <row r="2854">
      <c r="A2854" s="1">
        <v>1.0</v>
      </c>
      <c r="B2854" s="1" t="s">
        <v>2847</v>
      </c>
      <c r="C2854" t="str">
        <f>IFERROR(__xludf.DUMMYFUNCTION("GOOGLETRANSLATE(B2854, ""zh"", ""en"")"),"Random shipments, obviously buy gold, the price is much more expensive, made a black to me. Linen first overseas purchase, so do not fly. Random shipments, obviously buy gold, the price is much more expensive, made a black to me.")</f>
        <v>Random shipments, obviously buy gold, the price is much more expensive, made a black to me. Linen first overseas purchase, so do not fly. Random shipments, obviously buy gold, the price is much more expensive, made a black to me.</v>
      </c>
    </row>
    <row r="2855">
      <c r="A2855" s="1">
        <v>4.0</v>
      </c>
      <c r="B2855" s="1" t="s">
        <v>2848</v>
      </c>
      <c r="C2855" t="str">
        <f>IFERROR(__xludf.DUMMYFUNCTION("GOOGLETRANSLATE(B2855, ""zh"", ""en"")"),"Very light very soft 602 yuan hand, DHL delivered to their homes at night. The election of the trumpet, tangled a little while change orders XS number, get our hands very appropriate. 162CM choose XS")</f>
        <v>Very light very soft 602 yuan hand, DHL delivered to their homes at night. The election of the trumpet, tangled a little while change orders XS number, get our hands very appropriate. 162CM choose XS</v>
      </c>
    </row>
    <row r="2856">
      <c r="A2856" s="1">
        <v>4.0</v>
      </c>
      <c r="B2856" s="1" t="s">
        <v>2849</v>
      </c>
      <c r="C2856" t="str">
        <f>IFERROR(__xludf.DUMMYFUNCTION("GOOGLETRANSLATE(B2856, ""zh"", ""en"")"),"Ugly, really like behind the clothes as well as color mixing, back")</f>
        <v>Ugly, really like behind the clothes as well as color mixing, back</v>
      </c>
    </row>
    <row r="2857">
      <c r="A2857" s="1">
        <v>4.0</v>
      </c>
      <c r="B2857" s="1" t="s">
        <v>2850</v>
      </c>
      <c r="C2857" t="str">
        <f>IFERROR(__xludf.DUMMYFUNCTION("GOOGLETRANSLATE(B2857, ""zh"", ""en"")"),"Okay this is stronger than what vest style more, do not wear tight, and I was pregnant, according to the usual size to buy, cup slightly larger, if this is certainly usually buy big.")</f>
        <v>Okay this is stronger than what vest style more, do not wear tight, and I was pregnant, according to the usual size to buy, cup slightly larger, if this is certainly usually buy big.</v>
      </c>
    </row>
    <row r="2858">
      <c r="A2858" s="1">
        <v>4.0</v>
      </c>
      <c r="B2858" s="1" t="s">
        <v>2851</v>
      </c>
      <c r="C2858" t="str">
        <f>IFERROR(__xludf.DUMMYFUNCTION("GOOGLETRANSLATE(B2858, ""zh"", ""en"")"),"One buy beats by dimensioning, sleeves or grow 20 cm. Americans are the descendants of Gibbon? Can not wear, go to the tailor to see it someday.")</f>
        <v>One buy beats by dimensioning, sleeves or grow 20 cm. Americans are the descendants of Gibbon? Can not wear, go to the tailor to see it someday.</v>
      </c>
    </row>
    <row r="2859">
      <c r="A2859" s="1">
        <v>4.0</v>
      </c>
      <c r="B2859" s="1" t="s">
        <v>2852</v>
      </c>
      <c r="C2859" t="str">
        <f>IFERROR(__xludf.DUMMYFUNCTION("GOOGLETRANSLATE(B2859, ""zh"", ""en"")"),"Okay okay. Sleeves too long. And easy to play ball.")</f>
        <v>Okay okay. Sleeves too long. And easy to play ball.</v>
      </c>
    </row>
    <row r="2860">
      <c r="A2860" s="1">
        <v>5.0</v>
      </c>
      <c r="B2860" s="1" t="s">
        <v>2853</v>
      </c>
      <c r="C2860" t="str">
        <f>IFERROR(__xludf.DUMMYFUNCTION("GOOGLETRANSLATE(B2860, ""zh"", ""en"")"),"Evaluation of good quality, authentic, like this brand of stuff, the price is a little expensive, the arrival time is not long.")</f>
        <v>Evaluation of good quality, authentic, like this brand of stuff, the price is a little expensive, the arrival time is not long.</v>
      </c>
    </row>
    <row r="2861">
      <c r="A2861" s="1">
        <v>5.0</v>
      </c>
      <c r="B2861" s="1" t="s">
        <v>2854</v>
      </c>
      <c r="C2861" t="str">
        <f>IFERROR(__xludf.DUMMYFUNCTION("GOOGLETRANSLATE(B2861, ""zh"", ""en"")"),"good good")</f>
        <v>good good</v>
      </c>
    </row>
    <row r="2862">
      <c r="A2862" s="1">
        <v>5.0</v>
      </c>
      <c r="B2862" s="1" t="s">
        <v>2855</v>
      </c>
      <c r="C2862" t="str">
        <f>IFERROR(__xludf.DUMMYFUNCTION("GOOGLETRANSLATE(B2862, ""zh"", ""en"")"),"I am more relaxed height 165cm, weight 86kg, Bust 106, buy L No. somewhat wide.")</f>
        <v>I am more relaxed height 165cm, weight 86kg, Bust 106, buy L No. somewhat wide.</v>
      </c>
    </row>
    <row r="2863">
      <c r="A2863" s="1">
        <v>5.0</v>
      </c>
      <c r="B2863" s="1" t="s">
        <v>2856</v>
      </c>
      <c r="C2863" t="str">
        <f>IFERROR(__xludf.DUMMYFUNCTION("GOOGLETRANSLATE(B2863, ""zh"", ""en"")"),"Height 170cm, weight 60kg, Bust 120cm, wearing appropriate. Height 170cm, weight 60kg, Bust 120cm, wearing appropriate.")</f>
        <v>Height 170cm, weight 60kg, Bust 120cm, wearing appropriate. Height 170cm, weight 60kg, Bust 120cm, wearing appropriate.</v>
      </c>
    </row>
    <row r="2864">
      <c r="A2864" s="1">
        <v>5.0</v>
      </c>
      <c r="B2864" s="1" t="s">
        <v>2857</v>
      </c>
      <c r="C2864" t="str">
        <f>IFERROR(__xludf.DUMMYFUNCTION("GOOGLETRANSLATE(B2864, ""zh"", ""en"")"),"Ace Alex paragraph 26.5 good foot. Suitable. 320 bought two pairs, the hand rose to 700 a pair. More fun 😃")</f>
        <v>Ace Alex paragraph 26.5 good foot. Suitable. 320 bought two pairs, the hand rose to 700 a pair. More fun 😃</v>
      </c>
    </row>
    <row r="2865">
      <c r="A2865" s="1">
        <v>5.0</v>
      </c>
      <c r="B2865" s="1" t="s">
        <v>2858</v>
      </c>
      <c r="C2865" t="str">
        <f>IFERROR(__xludf.DUMMYFUNCTION("GOOGLETRANSLATE(B2865, ""zh"", ""en"")"),"Good quality shoes good quality, a large number to shoot, shoe size should be normal number of cross-border returned too much trouble, given away")</f>
        <v>Good quality shoes good quality, a large number to shoot, shoe size should be normal number of cross-border returned too much trouble, given away</v>
      </c>
    </row>
    <row r="2866">
      <c r="A2866" s="1">
        <v>5.0</v>
      </c>
      <c r="B2866" s="1" t="s">
        <v>2859</v>
      </c>
      <c r="C2866" t="str">
        <f>IFERROR(__xludf.DUMMYFUNCTION("GOOGLETRANSLATE(B2866, ""zh"", ""en"")"),"Recommended 174-70 very suitable, comfortable breathable fabric, it is recommended")</f>
        <v>Recommended 174-70 very suitable, comfortable breathable fabric, it is recommended</v>
      </c>
    </row>
    <row r="2867">
      <c r="A2867" s="1">
        <v>5.0</v>
      </c>
      <c r="B2867" s="1" t="s">
        <v>2860</v>
      </c>
      <c r="C2867" t="str">
        <f>IFERROR(__xludf.DUMMYFUNCTION("GOOGLETRANSLATE(B2867, ""zh"", ""en"")"),"Something very good, Sen remember things at home. Something very good, praise Sen remember things at home.")</f>
        <v>Something very good, Sen remember things at home. Something very good, praise Sen remember things at home.</v>
      </c>
    </row>
    <row r="2868">
      <c r="A2868" s="1">
        <v>5.0</v>
      </c>
      <c r="B2868" s="1" t="s">
        <v>2861</v>
      </c>
      <c r="C2868" t="str">
        <f>IFERROR(__xludf.DUMMYFUNCTION("GOOGLETRANSLATE(B2868, ""zh"", ""en"")"),"To the mother to buy, well, there are MSM to the mother to buy, well, there MSM")</f>
        <v>To the mother to buy, well, there are MSM to the mother to buy, well, there MSM</v>
      </c>
    </row>
    <row r="2869">
      <c r="A2869" s="1">
        <v>5.0</v>
      </c>
      <c r="B2869" s="1" t="s">
        <v>2862</v>
      </c>
      <c r="C2869" t="str">
        <f>IFERROR(__xludf.DUMMYFUNCTION("GOOGLETRANSLATE(B2869, ""zh"", ""en"")"),"Waterproof fabrics good results, is genuine. 175 height, normal is to buy M number, because it was set to warm clothes, so L appropriate.")</f>
        <v>Waterproof fabrics good results, is genuine. 175 height, normal is to buy M number, because it was set to warm clothes, so L appropriate.</v>
      </c>
    </row>
    <row r="2870">
      <c r="A2870" s="1">
        <v>5.0</v>
      </c>
      <c r="B2870" s="1" t="s">
        <v>2863</v>
      </c>
      <c r="C2870" t="str">
        <f>IFERROR(__xludf.DUMMYFUNCTION("GOOGLETRANSLATE(B2870, ""zh"", ""en"")"),"Great great clothes")</f>
        <v>Great great clothes</v>
      </c>
    </row>
    <row r="2871">
      <c r="A2871" s="1">
        <v>5.0</v>
      </c>
      <c r="B2871" s="1" t="s">
        <v>2864</v>
      </c>
      <c r="C2871" t="str">
        <f>IFERROR(__xludf.DUMMYFUNCTION("GOOGLETRANSLATE(B2871, ""zh"", ""en"")"),"Yes Overall good but I photographed the August 1 to 375 yuan cheaper now a little disappointed, plastic packaging, there is a refill broken, so you want to express something a little gentle little brother. Feel good good color.")</f>
        <v>Yes Overall good but I photographed the August 1 to 375 yuan cheaper now a little disappointed, plastic packaging, there is a refill broken, so you want to express something a little gentle little brother. Feel good good color.</v>
      </c>
    </row>
    <row r="2872">
      <c r="A2872" s="1">
        <v>5.0</v>
      </c>
      <c r="B2872" s="1" t="s">
        <v>2865</v>
      </c>
      <c r="C2872" t="str">
        <f>IFERROR(__xludf.DUMMYFUNCTION("GOOGLETRANSLATE(B2872, ""zh"", ""en"")"),"Very good very good, but I usually wear other shoes are bought 43 yards of the 9.5EE little big!")</f>
        <v>Very good very good, but I usually wear other shoes are bought 43 yards of the 9.5EE little big!</v>
      </c>
    </row>
    <row r="2873">
      <c r="A2873" s="1">
        <v>5.0</v>
      </c>
      <c r="B2873" s="1" t="s">
        <v>2866</v>
      </c>
      <c r="C2873" t="str">
        <f>IFERROR(__xludf.DUMMYFUNCTION("GOOGLETRANSLATE(B2873, ""zh"", ""en"")"),"Pretty good this estimate is the most common models CK, Mexico production, than buying LEE together almost point, non-wash, there will normally fade over the water, usually 32, the 31 also a big point, but acceptable, low waist straight, models like the c"&amp;"olor, compared to pit father's country store price, too value")</f>
        <v>Pretty good this estimate is the most common models CK, Mexico production, than buying LEE together almost point, non-wash, there will normally fade over the water, usually 32, the 31 also a big point, but acceptable, low waist straight, models like the color, compared to pit father's country store price, too value</v>
      </c>
    </row>
    <row r="2874">
      <c r="A2874" s="1">
        <v>5.0</v>
      </c>
      <c r="B2874" s="1" t="s">
        <v>2867</v>
      </c>
      <c r="C2874" t="str">
        <f>IFERROR(__xludf.DUMMYFUNCTION("GOOGLETRANSLATE(B2874, ""zh"", ""en"")"),"good looks is very small, there is actually 115g, the transmission speed to be tested")</f>
        <v>good looks is very small, there is actually 115g, the transmission speed to be tested</v>
      </c>
    </row>
    <row r="2875">
      <c r="A2875" s="1">
        <v>5.0</v>
      </c>
      <c r="B2875" s="1" t="s">
        <v>2868</v>
      </c>
      <c r="C2875" t="str">
        <f>IFERROR(__xludf.DUMMYFUNCTION("GOOGLETRANSLATE(B2875, ""zh"", ""en"")"),"waiting for too long time waiting for too long time")</f>
        <v>waiting for too long time waiting for too long time</v>
      </c>
    </row>
    <row r="2876">
      <c r="A2876" s="1">
        <v>5.0</v>
      </c>
      <c r="B2876" s="1" t="s">
        <v>2869</v>
      </c>
      <c r="C2876" t="str">
        <f>IFERROR(__xludf.DUMMYFUNCTION("GOOGLETRANSLATE(B2876, ""zh"", ""en"")"),"Very good quality is very good, value for money, worth buying, people trust Amazon.")</f>
        <v>Very good quality is very good, value for money, worth buying, people trust Amazon.</v>
      </c>
    </row>
    <row r="2877">
      <c r="A2877" s="1">
        <v>5.0</v>
      </c>
      <c r="B2877" s="1" t="s">
        <v>2870</v>
      </c>
      <c r="C2877" t="str">
        <f>IFERROR(__xludf.DUMMYFUNCTION("GOOGLETRANSLATE(B2877, ""zh"", ""en"")"),"Amazon shopping experience BRAUN Braun Series 3 300S men's electric shaver / rechargeable electric shaver, quality is very good, shaving interesting.")</f>
        <v>Amazon shopping experience BRAUN Braun Series 3 300S men's electric shaver / rechargeable electric shaver, quality is very good, shaving interesting.</v>
      </c>
    </row>
    <row r="2878">
      <c r="A2878" s="1">
        <v>5.0</v>
      </c>
      <c r="B2878" s="1" t="s">
        <v>2871</v>
      </c>
      <c r="C2878" t="str">
        <f>IFERROR(__xludf.DUMMYFUNCTION("GOOGLETRANSLATE(B2878, ""zh"", ""en"")"),"Shoe size is not very good noise immunity did not expect so soon receive the goods purchased overseas only drawback is not timely logistics information updates. Soft leather shoes are very comfortable to wear, but I was just unlucky to wear a few days to "&amp;"be broken door frame stamp")</f>
        <v>Shoe size is not very good noise immunity did not expect so soon receive the goods purchased overseas only drawback is not timely logistics information updates. Soft leather shoes are very comfortable to wear, but I was just unlucky to wear a few days to be broken door frame stamp</v>
      </c>
    </row>
    <row r="2879">
      <c r="A2879" s="1">
        <v>5.0</v>
      </c>
      <c r="B2879" s="1" t="s">
        <v>2872</v>
      </c>
      <c r="C2879" t="str">
        <f>IFERROR(__xludf.DUMMYFUNCTION("GOOGLETRANSLATE(B2879, ""zh"", ""en"")"),"Very practical stainless steel liner well, do not worry about the high temperature")</f>
        <v>Very practical stainless steel liner well, do not worry about the high temperature</v>
      </c>
    </row>
    <row r="2880">
      <c r="A2880" s="1">
        <v>5.0</v>
      </c>
      <c r="B2880" s="1" t="s">
        <v>2873</v>
      </c>
      <c r="C2880" t="str">
        <f>IFERROR(__xludf.DUMMYFUNCTION("GOOGLETRANSLATE(B2880, ""zh"", ""en"")"),"A pleasant good brand overseas purchase a good quality of the same type")</f>
        <v>A pleasant good brand overseas purchase a good quality of the same type</v>
      </c>
    </row>
    <row r="2881">
      <c r="A2881" s="1">
        <v>5.0</v>
      </c>
      <c r="B2881" s="1" t="s">
        <v>2874</v>
      </c>
      <c r="C2881" t="str">
        <f>IFERROR(__xludf.DUMMYFUNCTION("GOOGLETRANSLATE(B2881, ""zh"", ""en"")"),"This very thin good elasticity, flexibility, size must be considered a good buy because of the size of foreign generally too large two yards.")</f>
        <v>This very thin good elasticity, flexibility, size must be considered a good buy because of the size of foreign generally too large two yards.</v>
      </c>
    </row>
    <row r="2882">
      <c r="A2882" s="1">
        <v>2.0</v>
      </c>
      <c r="B2882" s="1" t="s">
        <v>2875</v>
      </c>
      <c r="C2882" t="str">
        <f>IFERROR(__xludf.DUMMYFUNCTION("GOOGLETRANSLATE(B2882, ""zh"", ""en"")"),"so so few serious comments to wear out more than one hour at the ankle worn on, thinking this is all so-called run-in period did not care. Later, about two shoes carefully compared and found shoe design itself is no problem but the work is really a proble"&amp;"m, the problem does not mean anything more than what the thread of those surface issues, but the key parts of the interior leather ankle seams serious irregularities. Think about it fixed a prominent position and constantly contradict hard leather ankle p"&amp;"rotruding parts can you not see the problem, not the problem left shoe, right shoe problem is serious, this part of the asymmetry on both shoes, which work on this avoided. Because leather is thick protruding parts and fixed dead, at least for now I want "&amp;"to think long-term wear, ""the soft leather wear"" pure nonsense, so if insisted on wearing chances bone can be exposed. In short thick skin looked strong and true, mad rough surface work is understandable, but at the core parts related to the quality of "&amp;"the dress so ""rough mad"" is really difficult to accept. Specifically see, the size distribution of origin: MADE IN DOMINICAN REPUBLIC Dominican spade Oh good")</f>
        <v>so so few serious comments to wear out more than one hour at the ankle worn on, thinking this is all so-called run-in period did not care. Later, about two shoes carefully compared and found shoe design itself is no problem but the work is really a problem, the problem does not mean anything more than what the thread of those surface issues, but the key parts of the interior leather ankle seams serious irregularities. Think about it fixed a prominent position and constantly contradict hard leather ankle protruding parts can you not see the problem, not the problem left shoe, right shoe problem is serious, this part of the asymmetry on both shoes, which work on this avoided. Because leather is thick protruding parts and fixed dead, at least for now I want to think long-term wear, "the soft leather wear" pure nonsense, so if insisted on wearing chances bone can be exposed. In short thick skin looked strong and true, mad rough surface work is understandable, but at the core parts related to the quality of the dress so "rough mad" is really difficult to accept. Specifically see, the size distribution of origin: MADE IN DOMINICAN REPUBLIC Dominican spade Oh good</v>
      </c>
    </row>
    <row r="2883">
      <c r="A2883" s="1">
        <v>3.0</v>
      </c>
      <c r="B2883" s="1" t="s">
        <v>2876</v>
      </c>
      <c r="C2883" t="str">
        <f>IFERROR(__xludf.DUMMYFUNCTION("GOOGLETRANSLATE(B2883, ""zh"", ""en"")"),"Too large, the quality was okay not to wear, the color can be produced in Mauritius. For me, the size is too big, too cumbersome return overseas, go postal asked, it is necessary more than 200 restocking fee, so do not retreat, do a detour. . .")</f>
        <v>Too large, the quality was okay not to wear, the color can be produced in Mauritius. For me, the size is too big, too cumbersome return overseas, go postal asked, it is necessary more than 200 restocking fee, so do not retreat, do a detour. . .</v>
      </c>
    </row>
    <row r="2884">
      <c r="A2884" s="1">
        <v>3.0</v>
      </c>
      <c r="B2884" s="1" t="s">
        <v>2877</v>
      </c>
      <c r="C2884" t="str">
        <f>IFERROR(__xludf.DUMMYFUNCTION("GOOGLETRANSLATE(B2884, ""zh"", ""en"")"),"Feet grinding work or very slightly larger than the solid fat foot wear for estimating a problem lace design reasons all based powerful tightening ankle ankle wrap grinding the lining will cause a thin layer of leather convex grinding surface at the conta"&amp;"ct do not wear ankle top buckle that can make do wear but do not always feel Genjiao")</f>
        <v>Feet grinding work or very slightly larger than the solid fat foot wear for estimating a problem lace design reasons all based powerful tightening ankle ankle wrap grinding the lining will cause a thin layer of leather convex grinding surface at the contact do not wear ankle top buckle that can make do wear but do not always feel Genjiao</v>
      </c>
    </row>
    <row r="2885">
      <c r="A2885" s="1">
        <v>1.0</v>
      </c>
      <c r="B2885" s="1" t="s">
        <v>2878</v>
      </c>
      <c r="C2885" t="str">
        <f>IFERROR(__xludf.DUMMYFUNCTION("GOOGLETRANSLATE(B2885, ""zh"", ""en"")"),"Too big, I wear 40 or 175 normal domestic L. But a large section L, an estimated domestic 44-yard")</f>
        <v>Too big, I wear 40 or 175 normal domestic L. But a large section L, an estimated domestic 44-yard</v>
      </c>
    </row>
    <row r="2886">
      <c r="A2886" s="1">
        <v>1.0</v>
      </c>
      <c r="B2886" s="1" t="s">
        <v>2879</v>
      </c>
      <c r="C2886" t="str">
        <f>IFERROR(__xludf.DUMMYFUNCTION("GOOGLETRANSLATE(B2886, ""zh"", ""en"")"),"bad appearance is possible. Rear shoes studded with iron, so the first time to wear when not ten minutes to go put the ankle ground bleeding. Heavy shoes. Imported goods are expensive return difficult, that we should not blindly buy this boots")</f>
        <v>bad appearance is possible. Rear shoes studded with iron, so the first time to wear when not ten minutes to go put the ankle ground bleeding. Heavy shoes. Imported goods are expensive return difficult, that we should not blindly buy this boots</v>
      </c>
    </row>
    <row r="2887">
      <c r="A2887" s="1">
        <v>1.0</v>
      </c>
      <c r="B2887" s="1" t="s">
        <v>2880</v>
      </c>
      <c r="C2887" t="str">
        <f>IFERROR(__xludf.DUMMYFUNCTION("GOOGLETRANSLATE(B2887, ""zh"", ""en"")"),"Ecco shoes foot card bought a lot of double, and this is the first card foot, heel was torn ~")</f>
        <v>Ecco shoes foot card bought a lot of double, and this is the first card foot, heel was torn ~</v>
      </c>
    </row>
    <row r="2888">
      <c r="A2888" s="1">
        <v>4.0</v>
      </c>
      <c r="B2888" s="1" t="s">
        <v>2881</v>
      </c>
      <c r="C2888" t="str">
        <f>IFERROR(__xludf.DUMMYFUNCTION("GOOGLETRANSLATE(B2888, ""zh"", ""en"")"),"Americans are so fat? Think is so thick jeans, waist circumference and 100 estimate not wearing pants 40, 39 is enough. I want to return to print your own labels, but they can not display images, freight to 125, think about all that trouble ah. It can onl"&amp;"y e-mail contact customer service, not good, after not coming.")</f>
        <v>Americans are so fat? Think is so thick jeans, waist circumference and 100 estimate not wearing pants 40, 39 is enough. I want to return to print your own labels, but they can not display images, freight to 125, think about all that trouble ah. It can only e-mail contact customer service, not good, after not coming.</v>
      </c>
    </row>
    <row r="2889">
      <c r="A2889" s="1">
        <v>4.0</v>
      </c>
      <c r="B2889" s="1" t="s">
        <v>2882</v>
      </c>
      <c r="C2889" t="str">
        <f>IFERROR(__xludf.DUMMYFUNCTION("GOOGLETRANSLATE(B2889, ""zh"", ""en"")"),"Good shoes look good, 39.5 yards, 245mm, length is just right, that is a little pressure instep, imported shoes so be it, I hope Chuan Chuan can loose points")</f>
        <v>Good shoes look good, 39.5 yards, 245mm, length is just right, that is a little pressure instep, imported shoes so be it, I hope Chuan Chuan can loose points</v>
      </c>
    </row>
    <row r="2890">
      <c r="A2890" s="1">
        <v>4.0</v>
      </c>
      <c r="B2890" s="1" t="s">
        <v>2883</v>
      </c>
      <c r="C2890" t="str">
        <f>IFERROR(__xludf.DUMMYFUNCTION("GOOGLETRANSLATE(B2890, ""zh"", ""en"")"),"No glass bottles at ease feeling! A little taste of their own ill-considered, to buy a trumpet of 150 ml, in fact, should directly buy 227 ml of! Small base ...")</f>
        <v>No glass bottles at ease feeling! A little taste of their own ill-considered, to buy a trumpet of 150 ml, in fact, should directly buy 227 ml of! Small base ...</v>
      </c>
    </row>
    <row r="2891">
      <c r="A2891" s="1">
        <v>4.0</v>
      </c>
      <c r="B2891" s="1" t="s">
        <v>2884</v>
      </c>
      <c r="C2891" t="str">
        <f>IFERROR(__xludf.DUMMYFUNCTION("GOOGLETRANSLATE(B2891, ""zh"", ""en"")"),"still alright. Logistics is too slow. Good quality, relatively warm, minus 7 degrees wear out tried it, you can. Code is selected smaller. 173cm, 75 kg, inside a warm shirt, a little small. There is overseas purchase, logistics too slow, 18 days arrival. "&amp;"After returned is not easy, pays return shipping, retreated more than 100 US postage, shopping think twice!")</f>
        <v>still alright. Logistics is too slow. Good quality, relatively warm, minus 7 degrees wear out tried it, you can. Code is selected smaller. 173cm, 75 kg, inside a warm shirt, a little small. There is overseas purchase, logistics too slow, 18 days arrival. After returned is not easy, pays return shipping, retreated more than 100 US postage, shopping think twice!</v>
      </c>
    </row>
    <row r="2892">
      <c r="A2892" s="1">
        <v>4.0</v>
      </c>
      <c r="B2892" s="1" t="s">
        <v>2885</v>
      </c>
      <c r="C2892" t="str">
        <f>IFERROR(__xludf.DUMMYFUNCTION("GOOGLETRANSLATE(B2892, ""zh"", ""en"")"),"Cheap and easy, cheapest, most basic models")</f>
        <v>Cheap and easy, cheapest, most basic models</v>
      </c>
    </row>
    <row r="2893">
      <c r="A2893" s="1">
        <v>5.0</v>
      </c>
      <c r="B2893" s="1" t="s">
        <v>2886</v>
      </c>
      <c r="C2893" t="str">
        <f>IFERROR(__xludf.DUMMYFUNCTION("GOOGLETRANSLATE(B2893, ""zh"", ""en"")"),"Good shoes, half a yard too large Thai production than domestic shoe size half a yard too large, if the foot lean, recommended to buy less than half yards, the shoes work well.")</f>
        <v>Good shoes, half a yard too large Thai production than domestic shoe size half a yard too large, if the foot lean, recommended to buy less than half yards, the shoes work well.</v>
      </c>
    </row>
    <row r="2894">
      <c r="A2894" s="1">
        <v>5.0</v>
      </c>
      <c r="B2894" s="1" t="s">
        <v>2887</v>
      </c>
      <c r="C2894" t="str">
        <f>IFERROR(__xludf.DUMMYFUNCTION("GOOGLETRANSLATE(B2894, ""zh"", ""en"")"),"Timberland Timberland Classic shoes very much, very high price, usually 37 to 37.5 yards wear this 5UK appropriate")</f>
        <v>Timberland Timberland Classic shoes very much, very high price, usually 37 to 37.5 yards wear this 5UK appropriate</v>
      </c>
    </row>
    <row r="2895">
      <c r="A2895" s="1">
        <v>5.0</v>
      </c>
      <c r="B2895" s="1" t="s">
        <v>2888</v>
      </c>
      <c r="C2895" t="str">
        <f>IFERROR(__xludf.DUMMYFUNCTION("GOOGLETRANSLATE(B2895, ""zh"", ""en"")"),"Something good something good logistics is also fast")</f>
        <v>Something good something good logistics is also fast</v>
      </c>
    </row>
    <row r="2896">
      <c r="A2896" s="1">
        <v>5.0</v>
      </c>
      <c r="B2896" s="1" t="s">
        <v>2889</v>
      </c>
      <c r="C2896" t="str">
        <f>IFERROR(__xludf.DUMMYFUNCTION("GOOGLETRANSLATE(B2896, ""zh"", ""en"")"),"Easy to use good, good, good, good quality, but also easy to use")</f>
        <v>Easy to use good, good, good, good quality, but also easy to use</v>
      </c>
    </row>
    <row r="2897">
      <c r="A2897" s="1">
        <v>5.0</v>
      </c>
      <c r="B2897" s="1" t="s">
        <v>2890</v>
      </c>
      <c r="C2897" t="str">
        <f>IFERROR(__xludf.DUMMYFUNCTION("GOOGLETRANSLATE(B2897, ""zh"", ""en"")"),"Very beautiful feeling tired a little number is too large, the quality did not say Bang Bang da, nice color")</f>
        <v>Very beautiful feeling tired a little number is too large, the quality did not say Bang Bang da, nice color</v>
      </c>
    </row>
    <row r="2898">
      <c r="A2898" s="1">
        <v>5.0</v>
      </c>
      <c r="B2898" s="1" t="s">
        <v>2891</v>
      </c>
      <c r="C2898" t="str">
        <f>IFERROR(__xludf.DUMMYFUNCTION("GOOGLETRANSLATE(B2898, ""zh"", ""en"")"),"Satisfying shopping quite good, feeling good value for money! Logistics soon!")</f>
        <v>Satisfying shopping quite good, feeling good value for money! Logistics soon!</v>
      </c>
    </row>
    <row r="2899">
      <c r="A2899" s="1">
        <v>5.0</v>
      </c>
      <c r="B2899" s="1" t="s">
        <v>2892</v>
      </c>
      <c r="C2899" t="str">
        <f>IFERROR(__xludf.DUMMYFUNCTION("GOOGLETRANSLATE(B2899, ""zh"", ""en"")"),"Nice woman, 37 yards, 235cm, 5.5 Ma just. Shoebox no invoice, shipping list, etc., without shoes shoe plug")</f>
        <v>Nice woman, 37 yards, 235cm, 5.5 Ma just. Shoebox no invoice, shipping list, etc., without shoes shoe plug</v>
      </c>
    </row>
    <row r="2900">
      <c r="A2900" s="1">
        <v>5.0</v>
      </c>
      <c r="B2900" s="1" t="s">
        <v>2893</v>
      </c>
      <c r="C2900" t="str">
        <f>IFERROR(__xludf.DUMMYFUNCTION("GOOGLETRANSLATE(B2900, ""zh"", ""en"")"),"Store goods at hand, yes, to prepare the baby")</f>
        <v>Store goods at hand, yes, to prepare the baby</v>
      </c>
    </row>
    <row r="2901">
      <c r="A2901" s="1">
        <v>5.0</v>
      </c>
      <c r="B2901" s="1" t="s">
        <v>2894</v>
      </c>
      <c r="C2901" t="str">
        <f>IFERROR(__xludf.DUMMYFUNCTION("GOOGLETRANSLATE(B2901, ""zh"", ""en"")"),"Standard size, light and comfortable. Physical and picture without color! Standard size, light and comfortable. Physical and picture without color! Quality and cheap! The first because after washing, fade serious, there is order spare again!")</f>
        <v>Standard size, light and comfortable. Physical and picture without color! Standard size, light and comfortable. Physical and picture without color! Quality and cheap! The first because after washing, fade serious, there is order spare again!</v>
      </c>
    </row>
    <row r="2902">
      <c r="A2902" s="1">
        <v>5.0</v>
      </c>
      <c r="B2902" s="1" t="s">
        <v>2895</v>
      </c>
      <c r="C2902" t="str">
        <f>IFERROR(__xludf.DUMMYFUNCTION("GOOGLETRANSLATE(B2902, ""zh"", ""en"")"),"HENBUCUO ~~ ~~ very cool color Zojirushi insulation super good ~ ~")</f>
        <v>HENBUCUO ~~ ~~ very cool color Zojirushi insulation super good ~ ~</v>
      </c>
    </row>
    <row r="2903">
      <c r="A2903" s="1">
        <v>5.0</v>
      </c>
      <c r="B2903" s="1" t="s">
        <v>2896</v>
      </c>
      <c r="C2903" t="str">
        <f>IFERROR(__xludf.DUMMYFUNCTION("GOOGLETRANSLATE(B2903, ""zh"", ""en"")"),"Good very comfortable, no sense of restraint")</f>
        <v>Good very comfortable, no sense of restraint</v>
      </c>
    </row>
    <row r="2904">
      <c r="A2904" s="1">
        <v>5.0</v>
      </c>
      <c r="B2904" s="1" t="s">
        <v>2897</v>
      </c>
      <c r="C2904" t="str">
        <f>IFERROR(__xludf.DUMMYFUNCTION("GOOGLETRANSLATE(B2904, ""zh"", ""en"")"),"Quality buy small, do not know who to send. Well, not from the previous evaluation, I do not know how many wasted points, points can change money now know, they should look carefully evaluated, then I put these words to copy to go, both to earn points, bu"&amp;"t also the easy way, where are copy where, most importantly, do not seriously review, do not think how much worse word, sent directly to it, recommend it to everyone! !")</f>
        <v>Quality buy small, do not know who to send. Well, not from the previous evaluation, I do not know how many wasted points, points can change money now know, they should look carefully evaluated, then I put these words to copy to go, both to earn points, but also the easy way, where are copy where, most importantly, do not seriously review, do not think how much worse word, sent directly to it, recommend it to everyone! !</v>
      </c>
    </row>
    <row r="2905">
      <c r="A2905" s="1">
        <v>5.0</v>
      </c>
      <c r="B2905" s="1" t="s">
        <v>2898</v>
      </c>
      <c r="C2905" t="str">
        <f>IFERROR(__xludf.DUMMYFUNCTION("GOOGLETRANSLATE(B2905, ""zh"", ""en"")"),"Super cute shoes! Just do not wash the dirt ...... basically every day is drunk ......")</f>
        <v>Super cute shoes! Just do not wash the dirt ...... basically every day is drunk ......</v>
      </c>
    </row>
    <row r="2906">
      <c r="A2906" s="1">
        <v>5.0</v>
      </c>
      <c r="B2906" s="1" t="s">
        <v>2899</v>
      </c>
      <c r="C2906" t="str">
        <f>IFERROR(__xludf.DUMMYFUNCTION("GOOGLETRANSLATE(B2906, ""zh"", ""en"")"),"Chinese production, foreign availability, price even cheaper than China. Sound good, made in China by overseas purchase even cheaper than Taobao Lynx really incredible, outside fixed sealing tape wrapped useless, looking after the seller for product safet"&amp;"y can be sealed in shipping.")</f>
        <v>Chinese production, foreign availability, price even cheaper than China. Sound good, made in China by overseas purchase even cheaper than Taobao Lynx really incredible, outside fixed sealing tape wrapped useless, looking after the seller for product safety can be sealed in shipping.</v>
      </c>
    </row>
    <row r="2907">
      <c r="A2907" s="1">
        <v>5.0</v>
      </c>
      <c r="B2907" s="1" t="s">
        <v>2900</v>
      </c>
      <c r="C2907" t="str">
        <f>IFERROR(__xludf.DUMMYFUNCTION("GOOGLETRANSLATE(B2907, ""zh"", ""en"")"),"Clothes clothes Shaopian big elastic, comfortable to wear, according to the usual dress code number to buy, feeling slightly larger than a little satisfaction.")</f>
        <v>Clothes clothes Shaopian big elastic, comfortable to wear, according to the usual dress code number to buy, feeling slightly larger than a little satisfaction.</v>
      </c>
    </row>
    <row r="2908">
      <c r="A2908" s="1">
        <v>5.0</v>
      </c>
      <c r="B2908" s="1" t="s">
        <v>2901</v>
      </c>
      <c r="C2908" t="str">
        <f>IFERROR(__xludf.DUMMYFUNCTION("GOOGLETRANSLATE(B2908, ""zh"", ""en"")"),"It is not like buying ear style, not like the feeling of a stethoscope, this just right, you can listen to for a long time. The first time you connect the phone takes a little time, like back")</f>
        <v>It is not like buying ear style, not like the feeling of a stethoscope, this just right, you can listen to for a long time. The first time you connect the phone takes a little time, like back</v>
      </c>
    </row>
    <row r="2909">
      <c r="A2909" s="1">
        <v>5.0</v>
      </c>
      <c r="B2909" s="1" t="s">
        <v>2902</v>
      </c>
      <c r="C2909" t="str">
        <f>IFERROR(__xludf.DUMMYFUNCTION("GOOGLETRANSLATE(B2909, ""zh"", ""en"")"),"Large benefits like to eat together Bulk two people")</f>
        <v>Large benefits like to eat together Bulk two people</v>
      </c>
    </row>
    <row r="2910">
      <c r="A2910" s="1">
        <v>5.0</v>
      </c>
      <c r="B2910" s="1" t="s">
        <v>2903</v>
      </c>
      <c r="C2910" t="str">
        <f>IFERROR(__xludf.DUMMYFUNCTION("GOOGLETRANSLATE(B2910, ""zh"", ""en"")"),"Thick fabric, fabric thickness Slim Edition, version cultivation, compared to normal T-shirt sleeves partial length")</f>
        <v>Thick fabric, fabric thickness Slim Edition, version cultivation, compared to normal T-shirt sleeves partial length</v>
      </c>
    </row>
    <row r="2911">
      <c r="A2911" s="1">
        <v>5.0</v>
      </c>
      <c r="B2911" s="1" t="s">
        <v>2904</v>
      </c>
      <c r="C2911" t="str">
        <f>IFERROR(__xludf.DUMMYFUNCTION("GOOGLETRANSLATE(B2911, ""zh"", ""en"")"),"Good things last bought five pounds of coffee taste, after exercise, eat this feeling well, but also increases the muscles get a little tight, and put on clothes more type, this time just to see price spike 299 package Post 333, really cheap, very fresh d"&amp;"ate, and so on the first bucket eating again replenishment")</f>
        <v>Good things last bought five pounds of coffee taste, after exercise, eat this feeling well, but also increases the muscles get a little tight, and put on clothes more type, this time just to see price spike 299 package Post 333, really cheap, very fresh date, and so on the first bucket eating again replenishment</v>
      </c>
    </row>
    <row r="2912">
      <c r="A2912" s="1">
        <v>5.0</v>
      </c>
      <c r="B2912" s="1" t="s">
        <v>2905</v>
      </c>
      <c r="C2912" t="str">
        <f>IFERROR(__xludf.DUMMYFUNCTION("GOOGLETRANSLATE(B2912, ""zh"", ""en"")"),"Sea Amoy, plus appropriate duty-paid price than the domestic price low 100 store promotions, size is appropriate, but also for those who wear the foot overweight")</f>
        <v>Sea Amoy, plus appropriate duty-paid price than the domestic price low 100 store promotions, size is appropriate, but also for those who wear the foot overweight</v>
      </c>
    </row>
    <row r="2913">
      <c r="A2913" s="1">
        <v>5.0</v>
      </c>
      <c r="B2913" s="1" t="s">
        <v>2906</v>
      </c>
      <c r="C2913" t="str">
        <f>IFERROR(__xludf.DUMMYFUNCTION("GOOGLETRANSLATE(B2913, ""zh"", ""en"")"),"21k two-tone gold nib tip you deserve to have soft shells, turbulent water")</f>
        <v>21k two-tone gold nib tip you deserve to have soft shells, turbulent water</v>
      </c>
    </row>
    <row r="2914">
      <c r="A2914" s="1">
        <v>5.0</v>
      </c>
      <c r="B2914" s="1" t="s">
        <v>2907</v>
      </c>
      <c r="C2914" t="str">
        <f>IFERROR(__xludf.DUMMYFUNCTION("GOOGLETRANSLATE(B2914, ""zh"", ""en"")"),"Pants are very comfortable when the time to buy, customer service said a little long with my long pants than the amount, but then get the hands, compared to a lower fat pants really a point, but then put on was very fit, really good, Bangladeshi origin, p"&amp;"ants are very suitable.")</f>
        <v>Pants are very comfortable when the time to buy, customer service said a little long with my long pants than the amount, but then get the hands, compared to a lower fat pants really a point, but then put on was very fit, really good, Bangladeshi origin, pants are very suitable.</v>
      </c>
    </row>
    <row r="2915">
      <c r="A2915" s="1">
        <v>2.0</v>
      </c>
      <c r="B2915" s="1" t="s">
        <v>2908</v>
      </c>
      <c r="C2915" t="str">
        <f>IFERROR(__xludf.DUMMYFUNCTION("GOOGLETRANSLATE(B2915, ""zh"", ""en"")"),"Usually do not fly shoes 44 shoes, the wear freshman code 9.5. The sole is really hard ah, Asan family property. Cutting edge missing, shoe friction, untidy. Forefoot that little fold. Simple packaging. In addition to a pair of shoes, Nothing. Two rows of"&amp;" lace holes a little less, followed by no rush times. Return too much trouble, and you wear it, but far through a period of time can become comfortable.")</f>
        <v>Usually do not fly shoes 44 shoes, the wear freshman code 9.5. The sole is really hard ah, Asan family property. Cutting edge missing, shoe friction, untidy. Forefoot that little fold. Simple packaging. In addition to a pair of shoes, Nothing. Two rows of lace holes a little less, followed by no rush times. Return too much trouble, and you wear it, but far through a period of time can become comfortable.</v>
      </c>
    </row>
    <row r="2916">
      <c r="A2916" s="1">
        <v>3.0</v>
      </c>
      <c r="B2916" s="1" t="s">
        <v>2909</v>
      </c>
      <c r="C2916" t="str">
        <f>IFERROR(__xludf.DUMMYFUNCTION("GOOGLETRANSLATE(B2916, ""zh"", ""en"")"),"The fabric is very soft feeling make do, in other words very easily deformed. After two wear, the hem has been distorted. After buying polo, chose relatively durable cotton pique.")</f>
        <v>The fabric is very soft feeling make do, in other words very easily deformed. After two wear, the hem has been distorted. After buying polo, chose relatively durable cotton pique.</v>
      </c>
    </row>
    <row r="2917">
      <c r="A2917" s="1">
        <v>3.0</v>
      </c>
      <c r="B2917" s="1" t="s">
        <v>2910</v>
      </c>
      <c r="C2917" t="str">
        <f>IFERROR(__xludf.DUMMYFUNCTION("GOOGLETRANSLATE(B2917, ""zh"", ""en"")"),"Do not like do not like this color, in-kind color red, so naked. Very thin, not to mention warm.")</f>
        <v>Do not like do not like this color, in-kind color red, so naked. Very thin, not to mention warm.</v>
      </c>
    </row>
    <row r="2918">
      <c r="A2918" s="1">
        <v>3.0</v>
      </c>
      <c r="B2918" s="1" t="s">
        <v>2911</v>
      </c>
      <c r="C2918" t="str">
        <f>IFERROR(__xludf.DUMMYFUNCTION("GOOGLETRANSLATE(B2918, ""zh"", ""en"")"),"It recommended to start the Japanese version. This dress does not recommend these clothes lint more serious .. I bought two are lint lint .. but .. go out velvet warm is not to say (I do not know will not be finished off cashmere will not warm up) I recom"&amp;"mend buying at the line of higher quality .. .. .. though it wants a higher price this dress code is a code number S code L code Japan's own attention ..")</f>
        <v>It recommended to start the Japanese version. This dress does not recommend these clothes lint more serious .. I bought two are lint lint .. but .. go out velvet warm is not to say (I do not know will not be finished off cashmere will not warm up) I recommend buying at the line of higher quality .. .. .. though it wants a higher price this dress code is a code number S code L code Japan's own attention ..</v>
      </c>
    </row>
    <row r="2919">
      <c r="A2919" s="1">
        <v>1.0</v>
      </c>
      <c r="B2919" s="1" t="s">
        <v>2912</v>
      </c>
      <c r="C2919" t="str">
        <f>IFERROR(__xludf.DUMMYFUNCTION("GOOGLETRANSLATE(B2919, ""zh"", ""en"")"),"Not Zeyang fabric is not ye, too hard, uncomfortable, not good shipping 9.9")</f>
        <v>Not Zeyang fabric is not ye, too hard, uncomfortable, not good shipping 9.9</v>
      </c>
    </row>
    <row r="2920">
      <c r="A2920" s="1">
        <v>1.0</v>
      </c>
      <c r="B2920" s="1" t="s">
        <v>2913</v>
      </c>
      <c r="C2920" t="str">
        <f>IFERROR(__xludf.DUMMYFUNCTION("GOOGLETRANSLATE(B2920, ""zh"", ""en"")"),"Very poor quality, do not recommend buying quality brush is very poor, had been able to crack. . . . The figure also do not pass up the first time you send a bad review")</f>
        <v>Very poor quality, do not recommend buying quality brush is very poor, had been able to crack. . . . The figure also do not pass up the first time you send a bad review</v>
      </c>
    </row>
    <row r="2921">
      <c r="A2921" s="1">
        <v>1.0</v>
      </c>
      <c r="B2921" s="1" t="s">
        <v>2914</v>
      </c>
      <c r="C2921" t="str">
        <f>IFERROR(__xludf.DUMMYFUNCTION("GOOGLETRANSLATE(B2921, ""zh"", ""en"")"),"Not recommended to buy quality looks very time, the version loose, no type")</f>
        <v>Not recommended to buy quality looks very time, the version loose, no type</v>
      </c>
    </row>
    <row r="2922">
      <c r="A2922" s="1">
        <v>4.0</v>
      </c>
      <c r="B2922" s="1" t="s">
        <v>2915</v>
      </c>
      <c r="C2922" t="str">
        <f>IFERROR(__xludf.DUMMYFUNCTION("GOOGLETRANSLATE(B2922, ""zh"", ""en"")"),"I want to know how to verify authenticity Man like this simple design style, the price to buy is still very real. Just do not know is not genuine, not sure ah!")</f>
        <v>I want to know how to verify authenticity Man like this simple design style, the price to buy is still very real. Just do not know is not genuine, not sure ah!</v>
      </c>
    </row>
    <row r="2923">
      <c r="A2923" s="1">
        <v>4.0</v>
      </c>
      <c r="B2923" s="1" t="s">
        <v>2916</v>
      </c>
      <c r="C2923" t="str">
        <f>IFERROR(__xludf.DUMMYFUNCTION("GOOGLETRANSLATE(B2923, ""zh"", ""en"")"),"Lightweight portable, recommended by the code buy shoes, I press code to buy NIKE shoes, feet slightly longer on estimates of about 0.5 cm")</f>
        <v>Lightweight portable, recommended by the code buy shoes, I press code to buy NIKE shoes, feet slightly longer on estimates of about 0.5 cm</v>
      </c>
    </row>
    <row r="2924">
      <c r="A2924" s="1">
        <v>4.0</v>
      </c>
      <c r="B2924" s="1" t="s">
        <v>2917</v>
      </c>
      <c r="C2924" t="str">
        <f>IFERROR(__xludf.DUMMYFUNCTION("GOOGLETRANSLATE(B2924, ""zh"", ""en"")"),"[[ASIN: B01D1XC4NI Clarks Women's Orinoco Club Chelsea Boots Brown (Dark Chocolate Leather) 6.5 UK]] for the first time to try this brand of shoes to see if appropriate. I am a student to participate in sports, so relatively thick legs, feet high, the cou"&amp;"ntry being 39 yards (24.5 yards) shoes a little tight, just 39.5 yards a positive, but House counters are expensive, and there was little of this code. The steering United States Code (nine Hee: 8.5 yards wear a few days after the meeting very loose) or y"&amp;"ards (there are six yards pair of sandals, summer wear very tight, just try winter). Now older up, like loose, so buy 40 yards of the. Before looking at the instep commented that might be a little tight, so I bought a big yard, get our hands on a look, ya"&amp;"rds 6.5, United States Code is nine yards (looking at nine yards, feeling he bought a big two yards). Slightly rugged wear in the feet. Jiaogan: very tight at the instep, the width of the front stay sufficiently long enough inner shoe, at the instep stuck"&amp;", not stretched forward, it is still empty front length, like a centimeter. Hope Chuan Chuan will loose a little. I have several pairs of shoes in the first half of the two shoes do not look coordinated, inconsistent. For some reason, these shoes give me "&amp;"this feeling, two are not the same, obviously very close look, but I belong to the careless type, so it let it go. Personal feelings, for reference only")</f>
        <v>[[ASIN: B01D1XC4NI Clarks Women's Orinoco Club Chelsea Boots Brown (Dark Chocolate Leather) 6.5 UK]] for the first time to try this brand of shoes to see if appropriate. I am a student to participate in sports, so relatively thick legs, feet high, the country being 39 yards (24.5 yards) shoes a little tight, just 39.5 yards a positive, but House counters are expensive, and there was little of this code. The steering United States Code (nine Hee: 8.5 yards wear a few days after the meeting very loose) or yards (there are six yards pair of sandals, summer wear very tight, just try winter). Now older up, like loose, so buy 40 yards of the. Before looking at the instep commented that might be a little tight, so I bought a big yard, get our hands on a look, yards 6.5, United States Code is nine yards (looking at nine yards, feeling he bought a big two yards). Slightly rugged wear in the feet. Jiaogan: very tight at the instep, the width of the front stay sufficiently long enough inner shoe, at the instep stuck, not stretched forward, it is still empty front length, like a centimeter. Hope Chuan Chuan will loose a little. I have several pairs of shoes in the first half of the two shoes do not look coordinated, inconsistent. For some reason, these shoes give me this feeling, two are not the same, obviously very close look, but I belong to the careless type, so it let it go. Personal feelings, for reference only</v>
      </c>
    </row>
    <row r="2925">
      <c r="A2925" s="1">
        <v>4.0</v>
      </c>
      <c r="B2925" s="1" t="s">
        <v>2918</v>
      </c>
      <c r="C2925" t="str">
        <f>IFERROR(__xludf.DUMMYFUNCTION("GOOGLETRANSLATE(B2925, ""zh"", ""en"")"),"Reviews good shoes, but the interface a bit Ge feet, slightly fade shoes ~")</f>
        <v>Reviews good shoes, but the interface a bit Ge feet, slightly fade shoes ~</v>
      </c>
    </row>
    <row r="2926">
      <c r="A2926" s="1">
        <v>4.0</v>
      </c>
      <c r="B2926" s="1" t="s">
        <v>2919</v>
      </c>
      <c r="C2926" t="str">
        <f>IFERROR(__xludf.DUMMYFUNCTION("GOOGLETRANSLATE(B2926, ""zh"", ""en"")"),"High waist not as good as expected, relatively loose, easy to play ball.")</f>
        <v>High waist not as good as expected, relatively loose, easy to play ball.</v>
      </c>
    </row>
    <row r="2927">
      <c r="A2927" s="1">
        <v>5.0</v>
      </c>
      <c r="B2927" s="1" t="s">
        <v>2920</v>
      </c>
      <c r="C2927" t="str">
        <f>IFERROR(__xludf.DUMMYFUNCTION("GOOGLETRANSLATE(B2927, ""zh"", ""en"")"),"Overseas purchase offer big, like, classic shoes, the color is also very positive preferential purchase of overseas big, like, classic shoes, the color is also very positive")</f>
        <v>Overseas purchase offer big, like, classic shoes, the color is also very positive preferential purchase of overseas big, like, classic shoes, the color is also very positive</v>
      </c>
    </row>
    <row r="2928">
      <c r="A2928" s="1">
        <v>5.0</v>
      </c>
      <c r="B2928" s="1" t="s">
        <v>2921</v>
      </c>
      <c r="C2928" t="str">
        <f>IFERROR(__xludf.DUMMYFUNCTION("GOOGLETRANSLATE(B2928, ""zh"", ""en"")"),"Recommended to buy very much! Color, style, size, they are in line with their requirements. 160/60, buy S, very loose, length is just overshadowed the ass. Running is just right, not too hot. Recommend purchase!")</f>
        <v>Recommended to buy very much! Color, style, size, they are in line with their requirements. 160/60, buy S, very loose, length is just overshadowed the ass. Running is just right, not too hot. Recommend purchase!</v>
      </c>
    </row>
    <row r="2929">
      <c r="A2929" s="1">
        <v>5.0</v>
      </c>
      <c r="B2929" s="1" t="s">
        <v>2922</v>
      </c>
      <c r="C2929" t="str">
        <f>IFERROR(__xludf.DUMMYFUNCTION("GOOGLETRANSLATE(B2929, ""zh"", ""en"")"),"Hey, did not look carefully, made domestically, the Netherlands produced this price is not enough")</f>
        <v>Hey, did not look carefully, made domestically, the Netherlands produced this price is not enough</v>
      </c>
    </row>
    <row r="2930">
      <c r="A2930" s="1">
        <v>5.0</v>
      </c>
      <c r="B2930" s="1" t="s">
        <v>2923</v>
      </c>
      <c r="C2930" t="str">
        <f>IFERROR(__xludf.DUMMYFUNCTION("GOOGLETRANSLATE(B2930, ""zh"", ""en"")"),"He bought the most satisfying piece of clothing quality is very good, work well, 173,68, shoulder 41, a little strong, the election of S, very fit. I like this version, when preferential 550 + 80 into the black, very good value. While filling material is "&amp;"polyester fiber, but really warm ah, hot day 10 degrees death of me would like to ask, how cell phone send pictures ah Amazon")</f>
        <v>He bought the most satisfying piece of clothing quality is very good, work well, 173,68, shoulder 41, a little strong, the election of S, very fit. I like this version, when preferential 550 + 80 into the black, very good value. While filling material is polyester fiber, but really warm ah, hot day 10 degrees death of me would like to ask, how cell phone send pictures ah Amazon</v>
      </c>
    </row>
    <row r="2931">
      <c r="A2931" s="1">
        <v>5.0</v>
      </c>
      <c r="B2931" s="1" t="s">
        <v>2924</v>
      </c>
      <c r="C2931" t="str">
        <f>IFERROR(__xludf.DUMMYFUNCTION("GOOGLETRANSLATE(B2931, ""zh"", ""en"")"),"Real good look at it like this color.")</f>
        <v>Real good look at it like this color.</v>
      </c>
    </row>
    <row r="2932">
      <c r="A2932" s="1">
        <v>5.0</v>
      </c>
      <c r="B2932" s="1" t="s">
        <v>2925</v>
      </c>
      <c r="C2932" t="str">
        <f>IFERROR(__xludf.DUMMYFUNCTION("GOOGLETRANSLATE(B2932, ""zh"", ""en"")"),"Fabric is very comfortable to see comments that tight version, buy a bigger size, just the upper body, really comfortable fabrics")</f>
        <v>Fabric is very comfortable to see comments that tight version, buy a bigger size, just the upper body, really comfortable fabrics</v>
      </c>
    </row>
    <row r="2933">
      <c r="A2933" s="1">
        <v>5.0</v>
      </c>
      <c r="B2933" s="1" t="s">
        <v>2926</v>
      </c>
      <c r="C2933" t="str">
        <f>IFERROR(__xludf.DUMMYFUNCTION("GOOGLETRANSLATE(B2933, ""zh"", ""en"")"),"Cost-effective soft leather, good type, my wife liked")</f>
        <v>Cost-effective soft leather, good type, my wife liked</v>
      </c>
    </row>
    <row r="2934">
      <c r="A2934" s="1">
        <v>5.0</v>
      </c>
      <c r="B2934" s="1" t="s">
        <v>2927</v>
      </c>
      <c r="C2934" t="str">
        <f>IFERROR(__xludf.DUMMYFUNCTION("GOOGLETRANSLATE(B2934, ""zh"", ""en"")"),"Like a very light, thermal insulation effect is good, slow delivery did not imagine, very good.")</f>
        <v>Like a very light, thermal insulation effect is good, slow delivery did not imagine, very good.</v>
      </c>
    </row>
    <row r="2935">
      <c r="A2935" s="1">
        <v>5.0</v>
      </c>
      <c r="B2935" s="1" t="s">
        <v>2928</v>
      </c>
      <c r="C2935" t="str">
        <f>IFERROR(__xludf.DUMMYFUNCTION("GOOGLETRANSLATE(B2935, ""zh"", ""en"")"),"High price is still more than a thousand before buying and domestic Colombia is not the same, feeling almost workmanship and on foot, but the price is also what the bike.")</f>
        <v>High price is still more than a thousand before buying and domestic Colombia is not the same, feeling almost workmanship and on foot, but the price is also what the bike.</v>
      </c>
    </row>
    <row r="2936">
      <c r="A2936" s="1">
        <v>5.0</v>
      </c>
      <c r="B2936" s="1" t="s">
        <v>2929</v>
      </c>
      <c r="C2936" t="str">
        <f>IFERROR(__xludf.DUMMYFUNCTION("GOOGLETRANSLATE(B2936, ""zh"", ""en"")"),"Very comfortable recommended repurchase of products, good quality, engage in activities co-author of more than 50 one, two packaging, large size fat people wear, very comfortable feeling very insecure all hugged, not thin, but does not cover the on, not i"&amp;"n low rise waist, anyway, that I feel very comfortable, recommended. Made in China")</f>
        <v>Very comfortable recommended repurchase of products, good quality, engage in activities co-author of more than 50 one, two packaging, large size fat people wear, very comfortable feeling very insecure all hugged, not thin, but does not cover the on, not in low rise waist, anyway, that I feel very comfortable, recommended. Made in China</v>
      </c>
    </row>
    <row r="2937">
      <c r="A2937" s="1">
        <v>5.0</v>
      </c>
      <c r="B2937" s="1" t="s">
        <v>2930</v>
      </c>
      <c r="C2937" t="str">
        <f>IFERROR(__xludf.DUMMYFUNCTION("GOOGLETRANSLATE(B2937, ""zh"", ""en"")"),"No. 2 is too small to buy before they can wear")</f>
        <v>No. 2 is too small to buy before they can wear</v>
      </c>
    </row>
    <row r="2938">
      <c r="A2938" s="1">
        <v>5.0</v>
      </c>
      <c r="B2938" s="1" t="s">
        <v>2931</v>
      </c>
      <c r="C2938" t="str">
        <f>IFERROR(__xludf.DUMMYFUNCTION("GOOGLETRANSLATE(B2938, ""zh"", ""en"")"),"Good quality, but the product description is not clear double-sided belts, air, looked good. Unfortunately, the lack of detail description of the goods, hand only to find width is 3.5cm wide, the length of the M number sense enough to have 110cm, 2-foot-5"&amp;", 6 back no problem, more like men belts. Just before the return of the three without a belt, this time do not want to toss.")</f>
        <v>Good quality, but the product description is not clear double-sided belts, air, looked good. Unfortunately, the lack of detail description of the goods, hand only to find width is 3.5cm wide, the length of the M number sense enough to have 110cm, 2-foot-5, 6 back no problem, more like men belts. Just before the return of the three without a belt, this time do not want to toss.</v>
      </c>
    </row>
    <row r="2939">
      <c r="A2939" s="1">
        <v>5.0</v>
      </c>
      <c r="B2939" s="1" t="s">
        <v>2932</v>
      </c>
      <c r="C2939" t="str">
        <f>IFERROR(__xludf.DUMMYFUNCTION("GOOGLETRANSLATE(B2939, ""zh"", ""en"")"),"Sea Amoy belt more reliable quality is very good, the price is very affordable.")</f>
        <v>Sea Amoy belt more reliable quality is very good, the price is very affordable.</v>
      </c>
    </row>
    <row r="2940">
      <c r="A2940" s="1">
        <v>5.0</v>
      </c>
      <c r="B2940" s="1" t="s">
        <v>2933</v>
      </c>
      <c r="C2940" t="str">
        <f>IFERROR(__xludf.DUMMYFUNCTION("GOOGLETRANSLATE(B2940, ""zh"", ""en"")"),"This product has enjoyed more than a month using this product, read and write speed quickly.")</f>
        <v>This product has enjoyed more than a month using this product, read and write speed quickly.</v>
      </c>
    </row>
    <row r="2941">
      <c r="A2941" s="1">
        <v>5.0</v>
      </c>
      <c r="B2941" s="1" t="s">
        <v>2934</v>
      </c>
      <c r="C2941" t="str">
        <f>IFERROR(__xludf.DUMMYFUNCTION("GOOGLETRANSLATE(B2941, ""zh"", ""en"")"),"Comfort, fit, cost-effective mass may be comfortable, slightly darker color point. But the overall satisfaction!")</f>
        <v>Comfort, fit, cost-effective mass may be comfortable, slightly darker color point. But the overall satisfaction!</v>
      </c>
    </row>
    <row r="2942">
      <c r="A2942" s="1">
        <v>5.0</v>
      </c>
      <c r="B2942" s="1" t="s">
        <v>2935</v>
      </c>
      <c r="C2942" t="str">
        <f>IFERROR(__xludf.DUMMYFUNCTION("GOOGLETRANSLATE(B2942, ""zh"", ""en"")"),"feels good! Something good, very comfortable to wear, but my height 170, size 36 slightly larger point, other logistics quickly, more satisfied!")</f>
        <v>feels good! Something good, very comfortable to wear, but my height 170, size 36 slightly larger point, other logistics quickly, more satisfied!</v>
      </c>
    </row>
    <row r="2943">
      <c r="A2943" s="1">
        <v>5.0</v>
      </c>
      <c r="B2943" s="1" t="s">
        <v>2936</v>
      </c>
      <c r="C2943" t="str">
        <f>IFERROR(__xludf.DUMMYFUNCTION("GOOGLETRANSLATE(B2943, ""zh"", ""en"")"),"Pants good praise, size is accurate, good pants")</f>
        <v>Pants good praise, size is accurate, good pants</v>
      </c>
    </row>
    <row r="2944">
      <c r="A2944" s="1">
        <v>5.0</v>
      </c>
      <c r="B2944" s="1" t="s">
        <v>2937</v>
      </c>
      <c r="C2944" t="str">
        <f>IFERROR(__xludf.DUMMYFUNCTION("GOOGLETRANSLATE(B2944, ""zh"", ""en"")"),"Very good ankle that wear off a little tight, shoes are not too thick, sub-zero cold may, of course, have different personal experiences, but after all, a good pair of shoes.")</f>
        <v>Very good ankle that wear off a little tight, shoes are not too thick, sub-zero cold may, of course, have different personal experiences, but after all, a good pair of shoes.</v>
      </c>
    </row>
    <row r="2945">
      <c r="A2945" s="1">
        <v>5.0</v>
      </c>
      <c r="B2945" s="1" t="s">
        <v>2938</v>
      </c>
      <c r="C2945" t="str">
        <f>IFERROR(__xludf.DUMMYFUNCTION("GOOGLETRANSLATE(B2945, ""zh"", ""en"")"),"170cm is recommended to buy the best clothes 170/72 s code m code is too small, do not know how to wear them down")</f>
        <v>170cm is recommended to buy the best clothes 170/72 s code m code is too small, do not know how to wear them down</v>
      </c>
    </row>
    <row r="2946">
      <c r="A2946" s="1">
        <v>5.0</v>
      </c>
      <c r="B2946" s="1" t="s">
        <v>2939</v>
      </c>
      <c r="C2946" t="str">
        <f>IFERROR(__xludf.DUMMYFUNCTION("GOOGLETRANSLATE(B2946, ""zh"", ""en"")"),"Gteat Awesome item")</f>
        <v>Gteat Awesome item</v>
      </c>
    </row>
    <row r="2947">
      <c r="A2947" s="1">
        <v>5.0</v>
      </c>
      <c r="B2947" s="1" t="s">
        <v>2940</v>
      </c>
      <c r="C2947" t="str">
        <f>IFERROR(__xludf.DUMMYFUNCTION("GOOGLETRANSLATE(B2947, ""zh"", ""en"")"),"The point is too large clothes we buy clothes to trust their own body, do not buy big")</f>
        <v>The point is too large clothes we buy clothes to trust their own body, do not buy big</v>
      </c>
    </row>
    <row r="2948">
      <c r="A2948" s="1">
        <v>5.0</v>
      </c>
      <c r="B2948" s="1" t="s">
        <v>2941</v>
      </c>
      <c r="C2948" t="str">
        <f>IFERROR(__xludf.DUMMYFUNCTION("GOOGLETRANSLATE(B2948, ""zh"", ""en"")"),"India production, quality is also good to take advantage of the former prime members expire buy a single, this model is Trunk NP2167O, and slightly longer than the low rise, place of origin is India, the color is blue three, although there is no AIU cheap"&amp;"er, but lower than the domestic platform to buy or offer too much.")</f>
        <v>India production, quality is also good to take advantage of the former prime members expire buy a single, this model is Trunk NP2167O, and slightly longer than the low rise, place of origin is India, the color is blue three, although there is no AIU cheaper, but lower than the domestic platform to buy or offer too much.</v>
      </c>
    </row>
    <row r="2949">
      <c r="A2949" s="1">
        <v>2.0</v>
      </c>
      <c r="B2949" s="1" t="s">
        <v>2942</v>
      </c>
      <c r="C2949" t="str">
        <f>IFERROR(__xludf.DUMMYFUNCTION("GOOGLETRANSLATE(B2949, ""zh"", ""en"")"),"No underwear areola area does not have a design problem, two raised, wearing T-shirts see two Dodo, what logic do not recommend buying")</f>
        <v>No underwear areola area does not have a design problem, two raised, wearing T-shirts see two Dodo, what logic do not recommend buying</v>
      </c>
    </row>
    <row r="2950">
      <c r="A2950" s="1">
        <v>3.0</v>
      </c>
      <c r="B2950" s="1" t="s">
        <v>2943</v>
      </c>
      <c r="C2950" t="str">
        <f>IFERROR(__xludf.DUMMYFUNCTION("GOOGLETRANSLATE(B2950, ""zh"", ""en"")"),"Size is too small because of cotton, so there is no flexibility, waist circumference 2 feet 2 chose this uncomfortable to wear, only stood up ......")</f>
        <v>Size is too small because of cotton, so there is no flexibility, waist circumference 2 feet 2 chose this uncomfortable to wear, only stood up ......</v>
      </c>
    </row>
    <row r="2951">
      <c r="A2951" s="1">
        <v>3.0</v>
      </c>
      <c r="B2951" s="1" t="s">
        <v>2944</v>
      </c>
      <c r="C2951" t="str">
        <f>IFERROR(__xludf.DUMMYFUNCTION("GOOGLETRANSLATE(B2951, ""zh"", ""en"")"),"After using the additional time to feel - each received only about a sticker, the packaging is no problem, inside a white plastic damaged. Stickers feeling a long time no firm paste is also possible, not always used, or to see how it kind of machine. But "&amp;"it was also the flagship store comments received second-hand goods with hair, I feel this subtle brand of quality control. Overseas purchase aftermarket is very troublesome, it is recommended that other budget brands. Customer service said, then refused t"&amp;"o worry about shipping reclaim taxes, has received second-hand with alcohol cotton to clean it. By three times, really effective ~")</f>
        <v>After using the additional time to feel - each received only about a sticker, the packaging is no problem, inside a white plastic damaged. Stickers feeling a long time no firm paste is also possible, not always used, or to see how it kind of machine. But it was also the flagship store comments received second-hand goods with hair, I feel this subtle brand of quality control. Overseas purchase aftermarket is very troublesome, it is recommended that other budget brands. Customer service said, then refused to worry about shipping reclaim taxes, has received second-hand with alcohol cotton to clean it. By three times, really effective ~</v>
      </c>
    </row>
    <row r="2952">
      <c r="A2952" s="1">
        <v>1.0</v>
      </c>
      <c r="B2952" s="1" t="s">
        <v>2945</v>
      </c>
      <c r="C2952" t="str">
        <f>IFERROR(__xludf.DUMMYFUNCTION("GOOGLETRANSLATE(B2952, ""zh"", ""en"")"),"Worthwhile, mostly crayons, the bottom layer is repeated two rows of crayons mostly drawer bottom two rows of the same color, cost is not high")</f>
        <v>Worthwhile, mostly crayons, the bottom layer is repeated two rows of crayons mostly drawer bottom two rows of the same color, cost is not high</v>
      </c>
    </row>
    <row r="2953">
      <c r="A2953" s="1">
        <v>1.0</v>
      </c>
      <c r="B2953" s="1" t="s">
        <v>2946</v>
      </c>
      <c r="C2953" t="str">
        <f>IFERROR(__xludf.DUMMYFUNCTION("GOOGLETRANSLATE(B2953, ""zh"", ""en"")"),"Quality problems have quality problems, the power plug and links to send special speaker, basically one will come off")</f>
        <v>Quality problems have quality problems, the power plug and links to send special speaker, basically one will come off</v>
      </c>
    </row>
    <row r="2954">
      <c r="A2954" s="1">
        <v>4.0</v>
      </c>
      <c r="B2954" s="1" t="s">
        <v>2947</v>
      </c>
      <c r="C2954" t="str">
        <f>IFERROR(__xludf.DUMMYFUNCTION("GOOGLETRANSLATE(B2954, ""zh"", ""en"")"),"Poor workmanship, thread and more. Pants work hard to describe, thread too much, and there are very many details Zaoxin, but for the price it was cheaper discount, this money can be spent not quite true value. Suitable touches abnormal size, pant loose tr"&amp;"ousers that is partial, and waist, but a single buckle if the buckle double very steady. Buy shoes take very ok. Hair SF, SF this feeling a bit slow.")</f>
        <v>Poor workmanship, thread and more. Pants work hard to describe, thread too much, and there are very many details Zaoxin, but for the price it was cheaper discount, this money can be spent not quite true value. Suitable touches abnormal size, pant loose trousers that is partial, and waist, but a single buckle if the buckle double very steady. Buy shoes take very ok. Hair SF, SF this feeling a bit slow.</v>
      </c>
    </row>
    <row r="2955">
      <c r="A2955" s="1">
        <v>4.0</v>
      </c>
      <c r="B2955" s="1" t="s">
        <v>2948</v>
      </c>
      <c r="C2955" t="str">
        <f>IFERROR(__xludf.DUMMYFUNCTION("GOOGLETRANSLATE(B2955, ""zh"", ""en"")"),"Also 8 years old baby with a more appropriate! Made in China!")</f>
        <v>Also 8 years old baby with a more appropriate! Made in China!</v>
      </c>
    </row>
    <row r="2956">
      <c r="A2956" s="1">
        <v>4.0</v>
      </c>
      <c r="B2956" s="1" t="s">
        <v>2949</v>
      </c>
      <c r="C2956" t="str">
        <f>IFERROR(__xludf.DUMMYFUNCTION("GOOGLETRANSLATE(B2956, ""zh"", ""en"")"),"Quality is slightly smaller number did not have to say, hin good. But this code Woguo feeling relatively small. Fortunately, you can wear. 165,59km, m code")</f>
        <v>Quality is slightly smaller number did not have to say, hin good. But this code Woguo feeling relatively small. Fortunately, you can wear. 165,59km, m code</v>
      </c>
    </row>
    <row r="2957">
      <c r="A2957" s="1">
        <v>4.0</v>
      </c>
      <c r="B2957" s="1" t="s">
        <v>2950</v>
      </c>
      <c r="C2957" t="str">
        <f>IFERROR(__xludf.DUMMYFUNCTION("GOOGLETRANSLATE(B2957, ""zh"", ""en"")"),"7 minutes usage also can use it later specialized milk")</f>
        <v>7 minutes usage also can use it later specialized milk</v>
      </c>
    </row>
    <row r="2958">
      <c r="A2958" s="1">
        <v>5.0</v>
      </c>
      <c r="B2958" s="1" t="s">
        <v>2951</v>
      </c>
      <c r="C2958" t="str">
        <f>IFERROR(__xludf.DUMMYFUNCTION("GOOGLETRANSLATE(B2958, ""zh"", ""en"")"),"Look forward to stockpile buy recommendation to buy, ha ha ha Wu Chun same paragraph, more than 60 two good benefits")</f>
        <v>Look forward to stockpile buy recommendation to buy, ha ha ha Wu Chun same paragraph, more than 60 two good benefits</v>
      </c>
    </row>
    <row r="2959">
      <c r="A2959" s="1">
        <v>5.0</v>
      </c>
      <c r="B2959" s="1" t="s">
        <v>2952</v>
      </c>
      <c r="C2959" t="str">
        <f>IFERROR(__xludf.DUMMYFUNCTION("GOOGLETRANSLATE(B2959, ""zh"", ""en"")"),"Used although it is bought for a long time, I had a meat cutter. Speed ​​dynamics are very good. Minced meat will soon be broken. But even if the dish will turn into vegetable juice. 😅")</f>
        <v>Used although it is bought for a long time, I had a meat cutter. Speed ​​dynamics are very good. Minced meat will soon be broken. But even if the dish will turn into vegetable juice. 😅</v>
      </c>
    </row>
    <row r="2960">
      <c r="A2960" s="1">
        <v>5.0</v>
      </c>
      <c r="B2960" s="1" t="s">
        <v>2953</v>
      </c>
      <c r="C2960" t="str">
        <f>IFERROR(__xludf.DUMMYFUNCTION("GOOGLETRANSLATE(B2960, ""zh"", ""en"")"),"Good quality version of the type well, that is a little bigger next time you buy a smaller size to buy big, but you can give it away not want to change, good quality, the version is also very good, the price is right")</f>
        <v>Good quality version of the type well, that is a little bigger next time you buy a smaller size to buy big, but you can give it away not want to change, good quality, the version is also very good, the price is right</v>
      </c>
    </row>
    <row r="2961">
      <c r="A2961" s="1">
        <v>5.0</v>
      </c>
      <c r="B2961" s="1" t="s">
        <v>2954</v>
      </c>
      <c r="C2961" t="str">
        <f>IFERROR(__xludf.DUMMYFUNCTION("GOOGLETRANSLATE(B2961, ""zh"", ""en"")"),"Very very powerful peacetime election 10M, 44, can be, just good, very comfortable to wear")</f>
        <v>Very very powerful peacetime election 10M, 44, can be, just good, very comfortable to wear</v>
      </c>
    </row>
    <row r="2962">
      <c r="A2962" s="1">
        <v>5.0</v>
      </c>
      <c r="B2962" s="1" t="s">
        <v>2955</v>
      </c>
      <c r="C2962" t="str">
        <f>IFERROR(__xludf.DUMMYFUNCTION("GOOGLETRANSLATE(B2962, ""zh"", ""en"")"),"After artifact warm winter wear to the office so hot, I can meet the requirements of thin and warm")</f>
        <v>After artifact warm winter wear to the office so hot, I can meet the requirements of thin and warm</v>
      </c>
    </row>
    <row r="2963">
      <c r="A2963" s="1">
        <v>5.0</v>
      </c>
      <c r="B2963" s="1" t="s">
        <v>2956</v>
      </c>
      <c r="C2963" t="str">
        <f>IFERROR(__xludf.DUMMYFUNCTION("GOOGLETRANSLATE(B2963, ""zh"", ""en"")"),"Socks good price beautiful Nichia perfect package, along with four pairs over one hundred price is right")</f>
        <v>Socks good price beautiful Nichia perfect package, along with four pairs over one hundred price is right</v>
      </c>
    </row>
    <row r="2964">
      <c r="A2964" s="1">
        <v>5.0</v>
      </c>
      <c r="B2964" s="1" t="s">
        <v>2957</v>
      </c>
      <c r="C2964" t="str">
        <f>IFERROR(__xludf.DUMMYFUNCTION("GOOGLETRANSLATE(B2964, ""zh"", ""en"")"),"Comfortable start some hard, soften it too comfortable, casual commuters are good, suitable for long wear. Thank you Amazon brings bargains")</f>
        <v>Comfortable start some hard, soften it too comfortable, casual commuters are good, suitable for long wear. Thank you Amazon brings bargains</v>
      </c>
    </row>
    <row r="2965">
      <c r="A2965" s="1">
        <v>5.0</v>
      </c>
      <c r="B2965" s="1" t="s">
        <v>2958</v>
      </c>
      <c r="C2965" t="str">
        <f>IFERROR(__xludf.DUMMYFUNCTION("GOOGLETRANSLATE(B2965, ""zh"", ""en"")"),"And as cheap in the store, but cheaper a lot of it. However, breastfed babies are less likely to bottle, with the hope that the baby can drink milk bar")</f>
        <v>And as cheap in the store, but cheaper a lot of it. However, breastfed babies are less likely to bottle, with the hope that the baby can drink milk bar</v>
      </c>
    </row>
    <row r="2966">
      <c r="A2966" s="1">
        <v>5.0</v>
      </c>
      <c r="B2966" s="1" t="s">
        <v>2959</v>
      </c>
      <c r="C2966" t="str">
        <f>IFERROR(__xludf.DUMMYFUNCTION("GOOGLETRANSLATE(B2966, ""zh"", ""en"")"),"Good good, cheap")</f>
        <v>Good good, cheap</v>
      </c>
    </row>
    <row r="2967">
      <c r="A2967" s="1">
        <v>5.0</v>
      </c>
      <c r="B2967" s="1" t="s">
        <v>2960</v>
      </c>
      <c r="C2967" t="str">
        <f>IFERROR(__xludf.DUMMYFUNCTION("GOOGLETRANSLATE(B2967, ""zh"", ""en"")"),"Received clothes is very good, but small half yards, make do with it.")</f>
        <v>Received clothes is very good, but small half yards, make do with it.</v>
      </c>
    </row>
    <row r="2968">
      <c r="A2968" s="1">
        <v>5.0</v>
      </c>
      <c r="B2968" s="1" t="s">
        <v>2961</v>
      </c>
      <c r="C2968" t="str">
        <f>IFERROR(__xludf.DUMMYFUNCTION("GOOGLETRANSLATE(B2968, ""zh"", ""en"")"),"Lodge Los pole manufacturing company Cast iron pan finally solve the problem of a grilled steak! Uniform heating.")</f>
        <v>Lodge Los pole manufacturing company Cast iron pan finally solve the problem of a grilled steak! Uniform heating.</v>
      </c>
    </row>
    <row r="2969">
      <c r="A2969" s="1">
        <v>5.0</v>
      </c>
      <c r="B2969" s="1" t="s">
        <v>2962</v>
      </c>
      <c r="C2969" t="str">
        <f>IFERROR(__xludf.DUMMYFUNCTION("GOOGLETRANSLATE(B2969, ""zh"", ""en"")"),"Quality very good ventilation, more transparent white")</f>
        <v>Quality very good ventilation, more transparent white</v>
      </c>
    </row>
    <row r="2970">
      <c r="A2970" s="1">
        <v>5.0</v>
      </c>
      <c r="B2970" s="1" t="s">
        <v>2963</v>
      </c>
      <c r="C2970" t="str">
        <f>IFERROR(__xludf.DUMMYFUNCTION("GOOGLETRANSLATE(B2970, ""zh"", ""en"")"),"Inexpensive, comfortable and generous inexpensive.")</f>
        <v>Inexpensive, comfortable and generous inexpensive.</v>
      </c>
    </row>
    <row r="2971">
      <c r="A2971" s="1">
        <v>5.0</v>
      </c>
      <c r="B2971" s="1" t="s">
        <v>2964</v>
      </c>
      <c r="C2971" t="str">
        <f>IFERROR(__xludf.DUMMYFUNCTION("GOOGLETRANSLATE(B2971, ""zh"", ""en"")"),"11 Such a price to pay lee quality is also OK, very satisfied!")</f>
        <v>11 Such a price to pay lee quality is also OK, very satisfied!</v>
      </c>
    </row>
    <row r="2972">
      <c r="A2972" s="1">
        <v>5.0</v>
      </c>
      <c r="B2972" s="1" t="s">
        <v>2965</v>
      </c>
      <c r="C2972" t="str">
        <f>IFERROR(__xludf.DUMMYFUNCTION("GOOGLETRANSLATE(B2972, ""zh"", ""en"")"),"Price beautiful, normal size normal size buy on line, the usual anti-Kee Di 37-37.5, 38 to buy this little big, but tied the laces or wear thick socks will do. No flaws, you can.")</f>
        <v>Price beautiful, normal size normal size buy on line, the usual anti-Kee Di 37-37.5, 38 to buy this little big, but tied the laces or wear thick socks will do. No flaws, you can.</v>
      </c>
    </row>
    <row r="2973">
      <c r="A2973" s="1">
        <v>5.0</v>
      </c>
      <c r="B2973" s="1" t="s">
        <v>2966</v>
      </c>
      <c r="C2973" t="str">
        <f>IFERROR(__xludf.DUMMYFUNCTION("GOOGLETRANSLATE(B2973, ""zh"", ""en"")"),"Awesome, and kosspp temporarily not sense much difference, after all, value for money, only 99 I really could not help but praise first, logistics ultra-fast, from Los Angeles to Changzhou, Zhenjiang, Jiangsu, only seven days ah, I received! I do not beli"&amp;"eve ah, this is comparable to the speed of delivery to the mainland Xinjiang ah, hoping to fire up the Amazon, do so carefully electricity supplier, worthy of our attention and encouragement! , The headset is very good, and it sounds almost koss pp, price"&amp;" only 99, many people feel does not look good shape, it is flawed, but I do not care! I was listening to the sound! Ha ha ha ha, happy!")</f>
        <v>Awesome, and kosspp temporarily not sense much difference, after all, value for money, only 99 I really could not help but praise first, logistics ultra-fast, from Los Angeles to Changzhou, Zhenjiang, Jiangsu, only seven days ah, I received! I do not believe ah, this is comparable to the speed of delivery to the mainland Xinjiang ah, hoping to fire up the Amazon, do so carefully electricity supplier, worthy of our attention and encouragement! , The headset is very good, and it sounds almost koss pp, price only 99, many people feel does not look good shape, it is flawed, but I do not care! I was listening to the sound! Ha ha ha ha, happy!</v>
      </c>
    </row>
    <row r="2974">
      <c r="A2974" s="1">
        <v>5.0</v>
      </c>
      <c r="B2974" s="1" t="s">
        <v>2967</v>
      </c>
      <c r="C2974" t="str">
        <f>IFERROR(__xludf.DUMMYFUNCTION("GOOGLETRANSLATE(B2974, ""zh"", ""en"")"),"Price or can we have pictures, I not on the map, the sound quality is better than the original Apple white, could tell a lot of details, but the feeling did not improve much with Direct Push mobile phones and computers, better sound insulation, never used"&amp;" other ear, anyway, this is not very comfortable, there is the line looks good cheap ah, I feel a withdrawal will be off, closing the office is very serious effect, it should be a common problem for all ear ear")</f>
        <v>Price or can we have pictures, I not on the map, the sound quality is better than the original Apple white, could tell a lot of details, but the feeling did not improve much with Direct Push mobile phones and computers, better sound insulation, never used other ear, anyway, this is not very comfortable, there is the line looks good cheap ah, I feel a withdrawal will be off, closing the office is very serious effect, it should be a common problem for all ear ear</v>
      </c>
    </row>
    <row r="2975">
      <c r="A2975" s="1">
        <v>5.0</v>
      </c>
      <c r="B2975" s="1" t="s">
        <v>2968</v>
      </c>
      <c r="C2975" t="str">
        <f>IFERROR(__xludf.DUMMYFUNCTION("GOOGLETRANSLATE(B2975, ""zh"", ""en"")"),"Very easy to use very satisfied")</f>
        <v>Very easy to use very satisfied</v>
      </c>
    </row>
    <row r="2976">
      <c r="A2976" s="1">
        <v>5.0</v>
      </c>
      <c r="B2976" s="1" t="s">
        <v>2969</v>
      </c>
      <c r="C2976" t="str">
        <f>IFERROR(__xludf.DUMMYFUNCTION("GOOGLETRANSLATE(B2976, ""zh"", ""en"")"),"Value for money fabric is soft and delicate, summer wear breathable comfort")</f>
        <v>Value for money fabric is soft and delicate, summer wear breathable comfort</v>
      </c>
    </row>
    <row r="2977">
      <c r="A2977" s="1">
        <v>5.0</v>
      </c>
      <c r="B2977" s="1" t="s">
        <v>2970</v>
      </c>
      <c r="C2977" t="str">
        <f>IFERROR(__xludf.DUMMYFUNCTION("GOOGLETRANSLATE(B2977, ""zh"", ""en"")"),"Clothes quite good, though not cotton, but the texture is soft and comfortable to wear, I am more fat, short stature, clothes Length, seems a little mast.")</f>
        <v>Clothes quite good, though not cotton, but the texture is soft and comfortable to wear, I am more fat, short stature, clothes Length, seems a little mast.</v>
      </c>
    </row>
    <row r="2978">
      <c r="A2978" s="1">
        <v>5.0</v>
      </c>
      <c r="B2978" s="1" t="s">
        <v>2971</v>
      </c>
      <c r="C2978" t="str">
        <f>IFERROR(__xludf.DUMMYFUNCTION("GOOGLETRANSLATE(B2978, ""zh"", ""en"")"),"Good walking very comfortable")</f>
        <v>Good walking very comfortable</v>
      </c>
    </row>
    <row r="2979">
      <c r="A2979" s="1">
        <v>5.0</v>
      </c>
      <c r="B2979" s="1" t="s">
        <v>2972</v>
      </c>
      <c r="C2979" t="str">
        <f>IFERROR(__xludf.DUMMYFUNCTION("GOOGLETRANSLATE(B2979, ""zh"", ""en"")"),"Although not 10061, is also a good section rhubarb boots, though not 10061, but also models good boots rhubarb")</f>
        <v>Although not 10061, is also a good section rhubarb boots, though not 10061, but also models good boots rhubarb</v>
      </c>
    </row>
    <row r="2980">
      <c r="A2980" s="1">
        <v>2.0</v>
      </c>
      <c r="B2980" s="1" t="s">
        <v>2973</v>
      </c>
      <c r="C2980" t="str">
        <f>IFERROR(__xludf.DUMMYFUNCTION("GOOGLETRANSLATE(B2980, ""zh"", ""en"")"),"Not recommended to buy the right size, just kind of relatively ugly")</f>
        <v>Not recommended to buy the right size, just kind of relatively ugly</v>
      </c>
    </row>
    <row r="2981">
      <c r="A2981" s="1">
        <v>3.0</v>
      </c>
      <c r="B2981" s="1" t="s">
        <v>2974</v>
      </c>
      <c r="C2981" t="str">
        <f>IFERROR(__xludf.DUMMYFUNCTION("GOOGLETRANSLATE(B2981, ""zh"", ""en"")"),"Omission less spoon and animal signs, another picture induce people, has two cups and bags there, next time be sure to look carefully, customer service and omission are still to discuss.")</f>
        <v>Omission less spoon and animal signs, another picture induce people, has two cups and bags there, next time be sure to look carefully, customer service and omission are still to discuss.</v>
      </c>
    </row>
    <row r="2982">
      <c r="A2982" s="1">
        <v>3.0</v>
      </c>
      <c r="B2982" s="1" t="s">
        <v>2975</v>
      </c>
      <c r="C2982" t="str">
        <f>IFERROR(__xludf.DUMMYFUNCTION("GOOGLETRANSLATE(B2982, ""zh"", ""en"")"),"General can also buy carefully, but not so much Chinese food with a wok is enough")</f>
        <v>General can also buy carefully, but not so much Chinese food with a wok is enough</v>
      </c>
    </row>
    <row r="2983">
      <c r="A2983" s="1">
        <v>1.0</v>
      </c>
      <c r="B2983" s="1" t="s">
        <v>2976</v>
      </c>
      <c r="C2983" t="str">
        <f>IFERROR(__xludf.DUMMYFUNCTION("GOOGLETRANSLATE(B2983, ""zh"", ""en"")"),"Fade packaging is very bad, with only a plastic bag wrapped. The most angry is fading. Wash several times still fade. I'd like to return. It was found that the process is very cumbersome.")</f>
        <v>Fade packaging is very bad, with only a plastic bag wrapped. The most angry is fading. Wash several times still fade. I'd like to return. It was found that the process is very cumbersome.</v>
      </c>
    </row>
    <row r="2984">
      <c r="A2984" s="1">
        <v>1.0</v>
      </c>
      <c r="B2984" s="1" t="s">
        <v>2977</v>
      </c>
      <c r="C2984" t="str">
        <f>IFERROR(__xludf.DUMMYFUNCTION("GOOGLETRANSLATE(B2984, ""zh"", ""en"")"),"Deer too obvious glitches, Ken Ken child cry, estimated tie mouth. Deer too obvious glitches, Ken Ken child began to cry.")</f>
        <v>Deer too obvious glitches, Ken Ken child cry, estimated tie mouth. Deer too obvious glitches, Ken Ken child began to cry.</v>
      </c>
    </row>
    <row r="2985">
      <c r="A2985" s="1">
        <v>4.0</v>
      </c>
      <c r="B2985" s="1" t="s">
        <v>2978</v>
      </c>
      <c r="C2985" t="str">
        <f>IFERROR(__xludf.DUMMYFUNCTION("GOOGLETRANSLATE(B2985, ""zh"", ""en"")"),"I like to wear very good 168cm, 57kg woman wants oversize sense to buy m-long sleeves super sloppy actually m s also possible to wear very little girl feels recommendation to buy or wear s my friend M 173,88kg m refer to the appropriate cable head a littl"&amp;"e hair loss but this very affordable price point of view within the inner tube down very skin-friendly")</f>
        <v>I like to wear very good 168cm, 57kg woman wants oversize sense to buy m-long sleeves super sloppy actually m s also possible to wear very little girl feels recommendation to buy or wear s my friend M 173,88kg m refer to the appropriate cable head a little hair loss but this very affordable price point of view within the inner tube down very skin-friendly</v>
      </c>
    </row>
    <row r="2986">
      <c r="A2986" s="1">
        <v>4.0</v>
      </c>
      <c r="B2986" s="1" t="s">
        <v>2979</v>
      </c>
      <c r="C2986" t="str">
        <f>IFERROR(__xludf.DUMMYFUNCTION("GOOGLETRANSLATE(B2986, ""zh"", ""en"")"),"Pants look good 31x30 Height 173cm 70kg suitable version is also good-looking")</f>
        <v>Pants look good 31x30 Height 173cm 70kg suitable version is also good-looking</v>
      </c>
    </row>
    <row r="2987">
      <c r="A2987" s="1">
        <v>4.0</v>
      </c>
      <c r="B2987" s="1" t="s">
        <v>2980</v>
      </c>
      <c r="C2987" t="str">
        <f>IFERROR(__xludf.DUMMYFUNCTION("GOOGLETRANSLATE(B2987, ""zh"", ""en"")"),"Can hang on for a long time after orders waiting four weeks before delivery, almost one month hand, the noise is okay, write speed is very general, just get to hear a hundred special to qi, unhappy")</f>
        <v>Can hang on for a long time after orders waiting four weeks before delivery, almost one month hand, the noise is okay, write speed is very general, just get to hear a hundred special to qi, unhappy</v>
      </c>
    </row>
    <row r="2988">
      <c r="A2988" s="1">
        <v>4.0</v>
      </c>
      <c r="B2988" s="1" t="s">
        <v>2981</v>
      </c>
      <c r="C2988" t="str">
        <f>IFERROR(__xludf.DUMMYFUNCTION("GOOGLETRANSLATE(B2988, ""zh"", ""en"")"),"Fade color models, the version fit, wash the fly in the ointment is the beginning of serious color, generally sub-blue water, perhaps in the future are afraid to put a washing machine.")</f>
        <v>Fade color models, the version fit, wash the fly in the ointment is the beginning of serious color, generally sub-blue water, perhaps in the future are afraid to put a washing machine.</v>
      </c>
    </row>
    <row r="2989">
      <c r="A2989" s="1">
        <v>4.0</v>
      </c>
      <c r="B2989" s="1" t="s">
        <v>2982</v>
      </c>
      <c r="C2989" t="str">
        <f>IFERROR(__xludf.DUMMYFUNCTION("GOOGLETRANSLATE(B2989, ""zh"", ""en"")"),"Affordable prices right size, the price is very affordable, I am feeling a little thin some")</f>
        <v>Affordable prices right size, the price is very affordable, I am feeling a little thin some</v>
      </c>
    </row>
    <row r="2990">
      <c r="A2990" s="1">
        <v>5.0</v>
      </c>
      <c r="B2990" s="1" t="s">
        <v>2983</v>
      </c>
      <c r="C2990" t="str">
        <f>IFERROR(__xludf.DUMMYFUNCTION("GOOGLETRANSLATE(B2990, ""zh"", ""en"")"),"The first purchase of CK style is very common but very comfortable to wear, satisfied.")</f>
        <v>The first purchase of CK style is very common but very comfortable to wear, satisfied.</v>
      </c>
    </row>
    <row r="2991">
      <c r="A2991" s="1">
        <v>5.0</v>
      </c>
      <c r="B2991" s="1" t="s">
        <v>2984</v>
      </c>
      <c r="C2991" t="str">
        <f>IFERROR(__xludf.DUMMYFUNCTION("GOOGLETRANSLATE(B2991, ""zh"", ""en"")"),"Good to wear good to wear before in the United States bought nearly style")</f>
        <v>Good to wear good to wear before in the United States bought nearly style</v>
      </c>
    </row>
    <row r="2992">
      <c r="A2992" s="1">
        <v>5.0</v>
      </c>
      <c r="B2992" s="1" t="s">
        <v>2985</v>
      </c>
      <c r="C2992" t="str">
        <f>IFERROR(__xludf.DUMMYFUNCTION("GOOGLETRANSLATE(B2992, ""zh"", ""en"")"),"Work can be a lot bigger")</f>
        <v>Work can be a lot bigger</v>
      </c>
    </row>
    <row r="2993">
      <c r="A2993" s="1">
        <v>5.0</v>
      </c>
      <c r="B2993" s="1" t="s">
        <v>2986</v>
      </c>
      <c r="C2993" t="str">
        <f>IFERROR(__xludf.DUMMYFUNCTION("GOOGLETRANSLATE(B2993, ""zh"", ""en"")"),"Good very good")</f>
        <v>Good very good</v>
      </c>
    </row>
    <row r="2994">
      <c r="A2994" s="1">
        <v>5.0</v>
      </c>
      <c r="B2994" s="1" t="s">
        <v>2987</v>
      </c>
      <c r="C2994" t="str">
        <f>IFERROR(__xludf.DUMMYFUNCTION("GOOGLETRANSLATE(B2994, ""zh"", ""en"")"),"The right size, good quality and I 182,80 kg, just buy M, mainly looked at the front of friends that number is too large, did not dare to buy large, this time just for a friend to buy later reference.")</f>
        <v>The right size, good quality and I 182,80 kg, just buy M, mainly looked at the front of friends that number is too large, did not dare to buy large, this time just for a friend to buy later reference.</v>
      </c>
    </row>
    <row r="2995">
      <c r="A2995" s="1">
        <v>5.0</v>
      </c>
      <c r="B2995" s="1" t="s">
        <v>2988</v>
      </c>
      <c r="C2995" t="str">
        <f>IFERROR(__xludf.DUMMYFUNCTION("GOOGLETRANSLATE(B2995, ""zh"", ""en"")"),"Good good good ah, very soft bottle. Well, not from the previous evaluation, I do not know how many wasted points, points can change money now know, they should look carefully evaluated, then I put these words to copy to go, both to earn points, but also "&amp;"the easy way, where are copy where, most importantly, do not seriously review, do not think how much worse word, sent directly to it, recommend it to everyone! !")</f>
        <v>Good good good ah, very soft bottle. Well, not from the previous evaluation, I do not know how many wasted points, points can change money now know, they should look carefully evaluated, then I put these words to copy to go, both to earn points, but also the easy way, where are copy where, most importantly, do not seriously review, do not think how much worse word, sent directly to it, recommend it to everyone! !</v>
      </c>
    </row>
    <row r="2996">
      <c r="A2996" s="1">
        <v>5.0</v>
      </c>
      <c r="B2996" s="1" t="s">
        <v>2989</v>
      </c>
      <c r="C2996" t="str">
        <f>IFERROR(__xludf.DUMMYFUNCTION("GOOGLETRANSLATE(B2996, ""zh"", ""en"")"),"What to wear when wearing sports or summer vacation at home or wear a very leisurely pace")</f>
        <v>What to wear when wearing sports or summer vacation at home or wear a very leisurely pace</v>
      </c>
    </row>
    <row r="2997">
      <c r="A2997" s="1">
        <v>5.0</v>
      </c>
      <c r="B2997" s="1" t="s">
        <v>2990</v>
      </c>
      <c r="C2997" t="str">
        <f>IFERROR(__xludf.DUMMYFUNCTION("GOOGLETRANSLATE(B2997, ""zh"", ""en"")"),"These trousers good elasticity good, very flexible feet jeans, 185,185 to buy a 34 × 32 size just right.")</f>
        <v>These trousers good elasticity good, very flexible feet jeans, 185,185 to buy a 34 × 32 size just right.</v>
      </c>
    </row>
    <row r="2998">
      <c r="A2998" s="1">
        <v>5.0</v>
      </c>
      <c r="B2998" s="1" t="s">
        <v>2991</v>
      </c>
      <c r="C2998" t="str">
        <f>IFERROR(__xludf.DUMMYFUNCTION("GOOGLETRANSLATE(B2998, ""zh"", ""en"")"),"Sound good headphones sound good! Price beautiful! Dongguan production")</f>
        <v>Sound good headphones sound good! Price beautiful! Dongguan production</v>
      </c>
    </row>
    <row r="2999">
      <c r="A2999" s="1">
        <v>5.0</v>
      </c>
      <c r="B2999" s="1" t="s">
        <v>2992</v>
      </c>
      <c r="C2999" t="str">
        <f>IFERROR(__xludf.DUMMYFUNCTION("GOOGLETRANSLATE(B2999, ""zh"", ""en"")"),"biom is comfortable comfortable, comfortable, comfortable. biom is comfortable")</f>
        <v>biom is comfortable comfortable, comfortable, comfortable. biom is comfortable</v>
      </c>
    </row>
    <row r="3000">
      <c r="A3000" s="1">
        <v>5.0</v>
      </c>
      <c r="B3000" s="1" t="s">
        <v>2993</v>
      </c>
      <c r="C3000" t="str">
        <f>IFERROR(__xludf.DUMMYFUNCTION("GOOGLETRANSLATE(B3000, ""zh"", ""en"")"),"Good very good, work well, the right thickness")</f>
        <v>Good very good, work well, the right thickness</v>
      </c>
    </row>
    <row r="3001">
      <c r="A3001" s="1">
        <v>5.0</v>
      </c>
      <c r="B3001" s="1" t="s">
        <v>2994</v>
      </c>
      <c r="C3001" t="str">
        <f>IFERROR(__xludf.DUMMYFUNCTION("GOOGLETRANSLATE(B3001, ""zh"", ""en"")"),"Wants to help match people who want to buy and expectations, the material feels good 170,75, s code fit")</f>
        <v>Wants to help match people who want to buy and expectations, the material feels good 170,75, s code fit</v>
      </c>
    </row>
    <row r="3002">
      <c r="A3002" s="1">
        <v>5.0</v>
      </c>
      <c r="B3002" s="1" t="s">
        <v>2995</v>
      </c>
      <c r="C3002" t="str">
        <f>IFERROR(__xludf.DUMMYFUNCTION("GOOGLETRANSLATE(B3002, ""zh"", ""en"")"),"Size is too large a bit big")</f>
        <v>Size is too large a bit big</v>
      </c>
    </row>
    <row r="3003">
      <c r="A3003" s="1">
        <v>5.0</v>
      </c>
      <c r="B3003" s="1" t="s">
        <v>2996</v>
      </c>
      <c r="C3003" t="str">
        <f>IFERROR(__xludf.DUMMYFUNCTION("GOOGLETRANSLATE(B3003, ""zh"", ""en"")"),"Very good 3637 feet to buy 6.5 widened, just winter wear thick socks, thin socks pines, and there do not take the shoelace tightening ankle will not card, the price is right, and tax increases like 560")</f>
        <v>Very good 3637 feet to buy 6.5 widened, just winter wear thick socks, thin socks pines, and there do not take the shoelace tightening ankle will not card, the price is right, and tax increases like 560</v>
      </c>
    </row>
    <row r="3004">
      <c r="A3004" s="1">
        <v>5.0</v>
      </c>
      <c r="B3004" s="1" t="s">
        <v>2997</v>
      </c>
      <c r="C3004" t="str">
        <f>IFERROR(__xludf.DUMMYFUNCTION("GOOGLETRANSLATE(B3004, ""zh"", ""en"")"),"Quality is very good quality is very good, every day is throwing children, did not damage the insulation effect is also very good.")</f>
        <v>Quality is very good quality is very good, every day is throwing children, did not damage the insulation effect is also very good.</v>
      </c>
    </row>
    <row r="3005">
      <c r="A3005" s="1">
        <v>5.0</v>
      </c>
      <c r="B3005" s="1" t="s">
        <v>2998</v>
      </c>
      <c r="C3005" t="str">
        <f>IFERROR(__xludf.DUMMYFUNCTION("GOOGLETRANSLATE(B3005, ""zh"", ""en"")"),"Well, work is also good shoes, good quality, old people like to give, warm winter wear that is also waterproof. Cost is also high.")</f>
        <v>Well, work is also good shoes, good quality, old people like to give, warm winter wear that is also waterproof. Cost is also high.</v>
      </c>
    </row>
    <row r="3006">
      <c r="A3006" s="1">
        <v>5.0</v>
      </c>
      <c r="B3006" s="1" t="s">
        <v>2999</v>
      </c>
      <c r="C3006" t="str">
        <f>IFERROR(__xludf.DUMMYFUNCTION("GOOGLETRANSLATE(B3006, ""zh"", ""en"")"),"Good sound quality, less demanding users should start normally on the quality requirements are not too high, but usually more conference calls, this headset very comfortable, the sound quality is also good.")</f>
        <v>Good sound quality, less demanding users should start normally on the quality requirements are not too high, but usually more conference calls, this headset very comfortable, the sound quality is also good.</v>
      </c>
    </row>
    <row r="3007">
      <c r="A3007" s="1">
        <v>5.0</v>
      </c>
      <c r="B3007" s="1" t="s">
        <v>3000</v>
      </c>
      <c r="C3007" t="str">
        <f>IFERROR(__xludf.DUMMYFUNCTION("GOOGLETRANSLATE(B3007, ""zh"", ""en"")"),"Very good collection of pants for some time, look at the number of pants, bought a number of 38x30 (1,76 m, 85kg, waist 100cm). Wearing just winter wear if not more so. Pants fabric than domestic buy soften. Logistics 10 days, overall very satisfied.")</f>
        <v>Very good collection of pants for some time, look at the number of pants, bought a number of 38x30 (1,76 m, 85kg, waist 100cm). Wearing just winter wear if not more so. Pants fabric than domestic buy soften. Logistics 10 days, overall very satisfied.</v>
      </c>
    </row>
    <row r="3008">
      <c r="A3008" s="1">
        <v>5.0</v>
      </c>
      <c r="B3008" s="1" t="s">
        <v>3001</v>
      </c>
      <c r="C3008" t="str">
        <f>IFERROR(__xludf.DUMMYFUNCTION("GOOGLETRANSLATE(B3008, ""zh"", ""en"")"),"Cheap hard disk storage March 11 Kusakabe single, on March 16 we received. For storing a video file, the transmission speed from 130-200 mb / sec. When a shock is relatively large, the standby time is very quiet. Open read, helium disk, hoping durable.")</f>
        <v>Cheap hard disk storage March 11 Kusakabe single, on March 16 we received. For storing a video file, the transmission speed from 130-200 mb / sec. When a shock is relatively large, the standby time is very quiet. Open read, helium disk, hoping durable.</v>
      </c>
    </row>
    <row r="3009">
      <c r="A3009" s="1">
        <v>5.0</v>
      </c>
      <c r="B3009" s="1" t="s">
        <v>3002</v>
      </c>
      <c r="C3009" t="str">
        <f>IFERROR(__xludf.DUMMYFUNCTION("GOOGLETRANSLATE(B3009, ""zh"", ""en"")"),"Body material generally similar short hand long shoulder belt hidden off heat sportswear material generally")</f>
        <v>Body material generally similar short hand long shoulder belt hidden off heat sportswear material generally</v>
      </c>
    </row>
    <row r="3010">
      <c r="A3010" s="1">
        <v>5.0</v>
      </c>
      <c r="B3010" s="1" t="s">
        <v>3003</v>
      </c>
      <c r="C3010" t="str">
        <f>IFERROR(__xludf.DUMMYFUNCTION("GOOGLETRANSLATE(B3010, ""zh"", ""en"")"),"Oh Oh, a little too big!")</f>
        <v>Oh Oh, a little too big!</v>
      </c>
    </row>
    <row r="3011">
      <c r="A3011" s="1">
        <v>2.0</v>
      </c>
      <c r="B3011" s="1" t="s">
        <v>3004</v>
      </c>
      <c r="C3011" t="str">
        <f>IFERROR(__xludf.DUMMYFUNCTION("GOOGLETRANSLATE(B3011, ""zh"", ""en"")"),"Amazon Amazon is not the self-employed are not self-employed, buy some time to look at! Before did not see, the seller does not give back, do not bother to toss")</f>
        <v>Amazon Amazon is not the self-employed are not self-employed, buy some time to look at! Before did not see, the seller does not give back, do not bother to toss</v>
      </c>
    </row>
    <row r="3012">
      <c r="A3012" s="1">
        <v>3.0</v>
      </c>
      <c r="B3012" s="1" t="s">
        <v>3005</v>
      </c>
      <c r="C3012" t="str">
        <f>IFERROR(__xludf.DUMMYFUNCTION("GOOGLETRANSLATE(B3012, ""zh"", ""en"")"),"Warm small yards, suitable to wear in my yard. 30% off start with, a good deal.")</f>
        <v>Warm small yards, suitable to wear in my yard. 30% off start with, a good deal.</v>
      </c>
    </row>
    <row r="3013">
      <c r="A3013" s="1">
        <v>3.0</v>
      </c>
      <c r="B3013" s="1" t="s">
        <v>3006</v>
      </c>
      <c r="C3013" t="str">
        <f>IFERROR(__xludf.DUMMYFUNCTION("GOOGLETRANSLATE(B3013, ""zh"", ""en"")"),"Slightly rough and domestic code size almost, although it is cotton, but feeling uncomfortable fabrics, elastic parts slightly rough, do not recommend purchase")</f>
        <v>Slightly rough and domestic code size almost, although it is cotton, but feeling uncomfortable fabrics, elastic parts slightly rough, do not recommend purchase</v>
      </c>
    </row>
    <row r="3014">
      <c r="A3014" s="1">
        <v>1.0</v>
      </c>
      <c r="B3014" s="1" t="s">
        <v>3007</v>
      </c>
      <c r="C3014" t="str">
        <f>IFERROR(__xludf.DUMMYFUNCTION("GOOGLETRANSLATE(B3014, ""zh"", ""en"")"),"Feeling damaged before shipment will be ruined, the lid did not fall, but get our hands on the side of the lid has come off the latch. . . Fortunately, with them, have not used other bad comparison, just think of a file will be a little hurt.")</f>
        <v>Feeling damaged before shipment will be ruined, the lid did not fall, but get our hands on the side of the lid has come off the latch. . . Fortunately, with them, have not used other bad comparison, just think of a file will be a little hurt.</v>
      </c>
    </row>
    <row r="3015">
      <c r="A3015" s="1">
        <v>1.0</v>
      </c>
      <c r="B3015" s="1" t="s">
        <v>3008</v>
      </c>
      <c r="C3015" t="str">
        <f>IFERROR(__xludf.DUMMYFUNCTION("GOOGLETRANSLATE(B3015, ""zh"", ""en"")"),"Not satisfied with the number 12 single, this morning arrived, so fast that normal? Makes me very angry is to buy more than a few days on the price, so no one really have any comment? Pen not useful, I do not know really easy to use, anyway, which was irr"&amp;"itating")</f>
        <v>Not satisfied with the number 12 single, this morning arrived, so fast that normal? Makes me very angry is to buy more than a few days on the price, so no one really have any comment? Pen not useful, I do not know really easy to use, anyway, which was irritating</v>
      </c>
    </row>
    <row r="3016">
      <c r="A3016" s="1">
        <v>1.0</v>
      </c>
      <c r="B3016" s="1" t="s">
        <v>3009</v>
      </c>
      <c r="C3016" t="str">
        <f>IFERROR(__xludf.DUMMYFUNCTION("GOOGLETRANSLATE(B3016, ""zh"", ""en"")"),"This version really not babble this version, ugly! Disappointed")</f>
        <v>This version really not babble this version, ugly! Disappointed</v>
      </c>
    </row>
    <row r="3017">
      <c r="A3017" s="1">
        <v>4.0</v>
      </c>
      <c r="B3017" s="1" t="s">
        <v>3010</v>
      </c>
      <c r="C3017" t="str">
        <f>IFERROR(__xludf.DUMMYFUNCTION("GOOGLETRANSLATE(B3017, ""zh"", ""en"")"),"Color pinkish pinkish color, good quality, if cheaper just fine")</f>
        <v>Color pinkish pinkish color, good quality, if cheaper just fine</v>
      </c>
    </row>
    <row r="3018">
      <c r="A3018" s="1">
        <v>4.0</v>
      </c>
      <c r="B3018" s="1" t="s">
        <v>3011</v>
      </c>
      <c r="C3018" t="str">
        <f>IFERROR(__xludf.DUMMYFUNCTION("GOOGLETRANSLATE(B3018, ""zh"", ""en"")"),"Good cup does not smell very cute assure the quality of the insulation effect is general but also to the children with it")</f>
        <v>Good cup does not smell very cute assure the quality of the insulation effect is general but also to the children with it</v>
      </c>
    </row>
    <row r="3019">
      <c r="A3019" s="1">
        <v>4.0</v>
      </c>
      <c r="B3019" s="1" t="s">
        <v>3012</v>
      </c>
      <c r="C3019" t="str">
        <f>IFERROR(__xludf.DUMMYFUNCTION("GOOGLETRANSLATE(B3019, ""zh"", ""en"")"),"It is not easy to follow the trend to buy, not easy to use.")</f>
        <v>It is not easy to follow the trend to buy, not easy to use.</v>
      </c>
    </row>
    <row r="3020">
      <c r="A3020" s="1">
        <v>4.0</v>
      </c>
      <c r="B3020" s="1" t="s">
        <v>3013</v>
      </c>
      <c r="C3020" t="str">
        <f>IFERROR(__xludf.DUMMYFUNCTION("GOOGLETRANSLATE(B3020, ""zh"", ""en"")"),"Suitable shoes prefer")</f>
        <v>Suitable shoes prefer</v>
      </c>
    </row>
    <row r="3021">
      <c r="A3021" s="1">
        <v>4.0</v>
      </c>
      <c r="B3021" s="1" t="s">
        <v>3014</v>
      </c>
      <c r="C3021" t="str">
        <f>IFERROR(__xludf.DUMMYFUNCTION("GOOGLETRANSLATE(B3021, ""zh"", ""en"")"),"Good, worth having. Yes, sports watches, outdoor worth having. Children as a birthday gift to send good. . . .")</f>
        <v>Good, worth having. Yes, sports watches, outdoor worth having. Children as a birthday gift to send good. . . .</v>
      </c>
    </row>
    <row r="3022">
      <c r="A3022" s="1">
        <v>5.0</v>
      </c>
      <c r="B3022" s="1" t="s">
        <v>3015</v>
      </c>
      <c r="C3022" t="str">
        <f>IFERROR(__xludf.DUMMYFUNCTION("GOOGLETRANSLATE(B3022, ""zh"", ""en"")"),"Refer a friend very much. Recommended")</f>
        <v>Refer a friend very much. Recommended</v>
      </c>
    </row>
    <row r="3023">
      <c r="A3023" s="1">
        <v>5.0</v>
      </c>
      <c r="B3023" s="1" t="s">
        <v>3016</v>
      </c>
      <c r="C3023" t="str">
        <f>IFERROR(__xludf.DUMMYFUNCTION("GOOGLETRANSLATE(B3023, ""zh"", ""en"")"),"Good quality and more brilliant color than the picture some very thick, the quality looks good")</f>
        <v>Good quality and more brilliant color than the picture some very thick, the quality looks good</v>
      </c>
    </row>
    <row r="3024">
      <c r="A3024" s="1">
        <v>5.0</v>
      </c>
      <c r="B3024" s="1" t="s">
        <v>2340</v>
      </c>
      <c r="C3024" t="str">
        <f>IFERROR(__xludf.DUMMYFUNCTION("GOOGLETRANSLATE(B3024, ""zh"", ""en"")"),"A nice baby baby good use, is the need for a converter to use with super-easy baby, there is no juice tool, coupled with hopes for even more perfect")</f>
        <v>A nice baby baby good use, is the need for a converter to use with super-easy baby, there is no juice tool, coupled with hopes for even more perfect</v>
      </c>
    </row>
    <row r="3025">
      <c r="A3025" s="1">
        <v>5.0</v>
      </c>
      <c r="B3025" s="1" t="s">
        <v>3017</v>
      </c>
      <c r="C3025" t="str">
        <f>IFERROR(__xludf.DUMMYFUNCTION("GOOGLETRANSLATE(B3025, ""zh"", ""en"")"),"Good good good affordable, very warm")</f>
        <v>Good good good affordable, very warm</v>
      </c>
    </row>
    <row r="3026">
      <c r="A3026" s="1">
        <v>5.0</v>
      </c>
      <c r="B3026" s="1" t="s">
        <v>3018</v>
      </c>
      <c r="C3026" t="str">
        <f>IFERROR(__xludf.DUMMYFUNCTION("GOOGLETRANSLATE(B3026, ""zh"", ""en"")"),"Dark color just received, good quality, wide sidewalks on foot this shoe a little bit thinner")</f>
        <v>Dark color just received, good quality, wide sidewalks on foot this shoe a little bit thinner</v>
      </c>
    </row>
    <row r="3027">
      <c r="A3027" s="1">
        <v>5.0</v>
      </c>
      <c r="B3027" s="1" t="s">
        <v>3019</v>
      </c>
      <c r="C3027" t="str">
        <f>IFERROR(__xludf.DUMMYFUNCTION("GOOGLETRANSLATE(B3027, ""zh"", ""en"")"),"Well, as always, well, the right size, cotton")</f>
        <v>Well, as always, well, the right size, cotton</v>
      </c>
    </row>
    <row r="3028">
      <c r="A3028" s="1">
        <v>5.0</v>
      </c>
      <c r="B3028" s="1" t="s">
        <v>2708</v>
      </c>
      <c r="C3028" t="str">
        <f>IFERROR(__xludf.DUMMYFUNCTION("GOOGLETRANSLATE(B3028, ""zh"", ""en"")"),"I can buy 166cm, weight 104 pounds, wearing s yards just right.")</f>
        <v>I can buy 166cm, weight 104 pounds, wearing s yards just right.</v>
      </c>
    </row>
    <row r="3029">
      <c r="A3029" s="1">
        <v>5.0</v>
      </c>
      <c r="B3029" s="1" t="s">
        <v>3020</v>
      </c>
      <c r="C3029" t="str">
        <f>IFERROR(__xludf.DUMMYFUNCTION("GOOGLETRANSLATE(B3029, ""zh"", ""en"")"),"Work can be cost-effective sweater, thickness moderate, prices are much cheaper than the Lynx")</f>
        <v>Work can be cost-effective sweater, thickness moderate, prices are much cheaper than the Lynx</v>
      </c>
    </row>
    <row r="3030">
      <c r="A3030" s="1">
        <v>5.0</v>
      </c>
      <c r="B3030" s="1" t="s">
        <v>3021</v>
      </c>
      <c r="C3030" t="str">
        <f>IFERROR(__xludf.DUMMYFUNCTION("GOOGLETRANSLATE(B3030, ""zh"", ""en"")"),"Like - well, cheaper than the domestic price ah, but also seem to support the IWS.")</f>
        <v>Like - well, cheaper than the domestic price ah, but also seem to support the IWS.</v>
      </c>
    </row>
    <row r="3031">
      <c r="A3031" s="1">
        <v>5.0</v>
      </c>
      <c r="B3031" s="1" t="s">
        <v>3022</v>
      </c>
      <c r="C3031" t="str">
        <f>IFERROR(__xludf.DUMMYFUNCTION("GOOGLETRANSLATE(B3031, ""zh"", ""en"")"),"Good texture fabric feel good workmanship. It is a little bit big. well")</f>
        <v>Good texture fabric feel good workmanship. It is a little bit big. well</v>
      </c>
    </row>
    <row r="3032">
      <c r="A3032" s="1">
        <v>5.0</v>
      </c>
      <c r="B3032" s="1" t="s">
        <v>3023</v>
      </c>
      <c r="C3032" t="str">
        <f>IFERROR(__xludf.DUMMYFUNCTION("GOOGLETRANSLATE(B3032, ""zh"", ""en"")"),"Good use is not sticky bubble gum flavor, color strip particularly attractive to children, I tried once before to use children as adults, micro taste cool, non-stick bubble delicate mouth, pump-type extrusion molding interesting children like to use it to"&amp;" brush your teeth -")</f>
        <v>Good use is not sticky bubble gum flavor, color strip particularly attractive to children, I tried once before to use children as adults, micro taste cool, non-stick bubble delicate mouth, pump-type extrusion molding interesting children like to use it to brush your teeth -</v>
      </c>
    </row>
    <row r="3033">
      <c r="A3033" s="1">
        <v>5.0</v>
      </c>
      <c r="B3033" s="1" t="s">
        <v>3024</v>
      </c>
      <c r="C3033" t="str">
        <f>IFERROR(__xludf.DUMMYFUNCTION("GOOGLETRANSLATE(B3033, ""zh"", ""en"")"),"Tight Bust 104, weight 76, around 38.5 does not exercise the arm, L No. upper body a little tight, maybe a bigger upper body is more relaxed. More delicate material, very comfortable wearing stickers, color positive, and the same picture shows (with the m"&amp;"oney to buy two, 1 blue 1 gray clothes in this paragraph did not take pictures, upload the picture is gray models, texture and size version exactly the same)")</f>
        <v>Tight Bust 104, weight 76, around 38.5 does not exercise the arm, L No. upper body a little tight, maybe a bigger upper body is more relaxed. More delicate material, very comfortable wearing stickers, color positive, and the same picture shows (with the money to buy two, 1 blue 1 gray clothes in this paragraph did not take pictures, upload the picture is gray models, texture and size version exactly the same)</v>
      </c>
    </row>
    <row r="3034">
      <c r="A3034" s="1">
        <v>5.0</v>
      </c>
      <c r="B3034" s="1" t="s">
        <v>3025</v>
      </c>
      <c r="C3034" t="str">
        <f>IFERROR(__xludf.DUMMYFUNCTION("GOOGLETRANSLATE(B3034, ""zh"", ""en"")"),"It looks good looks good, cold day, wearing")</f>
        <v>It looks good looks good, cold day, wearing</v>
      </c>
    </row>
    <row r="3035">
      <c r="A3035" s="1">
        <v>5.0</v>
      </c>
      <c r="B3035" s="1" t="s">
        <v>3026</v>
      </c>
      <c r="C3035" t="str">
        <f>IFERROR(__xludf.DUMMYFUNCTION("GOOGLETRANSLATE(B3035, ""zh"", ""en"")"),"DW5600E-1V previously used the Shuangshi automatic watch, but not waterproof shockproof, so they want to change a waterproof shockproof. In a package, a cat, an East looked for a long time, also in Central Asia for a long time, think it CASIO G-table only"&amp;" for me, but the price is high. This model has been added to the cart did not order. On the 20th of November AIU few or more than three, they are ready to give up, did not think to a big pro, just over one hundred and eighty, quickly orders. From a single"&amp;" number Nov. 27, at noon today to hand, a full two weeks! At noon today, the Central Asian courier phoned me and said goods to (the day before yesterday received the goods when another said to him, thanks to the local Central Asian deliveryman Wangxiang B"&amp;"ing Again, this is a very responsible person, he had several contacts with years). The watch with almost expected, is more rigid strap point. 3229, domestic, Malaysia printed specification no Chinese, generally there is no strap tag. Simple setup operatio"&amp;"n, according to more than two out on Baidu library on the familiar. Simple, elegant, durable and should be reflected in the core, it is a classic. Related evaluation, the Internet can find a lot, there is no need to do a repeat.")</f>
        <v>DW5600E-1V previously used the Shuangshi automatic watch, but not waterproof shockproof, so they want to change a waterproof shockproof. In a package, a cat, an East looked for a long time, also in Central Asia for a long time, think it CASIO G-table only for me, but the price is high. This model has been added to the cart did not order. On the 20th of November AIU few or more than three, they are ready to give up, did not think to a big pro, just over one hundred and eighty, quickly orders. From a single number Nov. 27, at noon today to hand, a full two weeks! At noon today, the Central Asian courier phoned me and said goods to (the day before yesterday received the goods when another said to him, thanks to the local Central Asian deliveryman Wangxiang Bing Again, this is a very responsible person, he had several contacts with years). The watch with almost expected, is more rigid strap point. 3229, domestic, Malaysia printed specification no Chinese, generally there is no strap tag. Simple setup operation, according to more than two out on Baidu library on the familiar. Simple, elegant, durable and should be reflected in the core, it is a classic. Related evaluation, the Internet can find a lot, there is no need to do a repeat.</v>
      </c>
    </row>
    <row r="3036">
      <c r="A3036" s="1">
        <v>5.0</v>
      </c>
      <c r="B3036" s="1" t="s">
        <v>3027</v>
      </c>
      <c r="C3036" t="str">
        <f>IFERROR(__xludf.DUMMYFUNCTION("GOOGLETRANSLATE(B3036, ""zh"", ""en"")"),"Very easy to use, children like to bite, biting several, and there with straw, very good, so do not buy a cup.")</f>
        <v>Very easy to use, children like to bite, biting several, and there with straw, very good, so do not buy a cup.</v>
      </c>
    </row>
    <row r="3037">
      <c r="A3037" s="1">
        <v>5.0</v>
      </c>
      <c r="B3037" s="1" t="s">
        <v>3028</v>
      </c>
      <c r="C3037" t="str">
        <f>IFERROR(__xludf.DUMMYFUNCTION("GOOGLETRANSLATE(B3037, ""zh"", ""en"")"),"Very good value three shoes, in line with expectations. Usually such anti-Kee Di wear shoes 41, which store Clarks specifically to double again found to be more appropriate to 40 yards, and domestic really sent over the same size, cheap price can be close"&amp;" to half, of considerable value. This disadvantage is the shoe sole is relatively hard, ground gas to walk too, is not suitable for long distances when wearing.")</f>
        <v>Very good value three shoes, in line with expectations. Usually such anti-Kee Di wear shoes 41, which store Clarks specifically to double again found to be more appropriate to 40 yards, and domestic really sent over the same size, cheap price can be close to half, of considerable value. This disadvantage is the shoe sole is relatively hard, ground gas to walk too, is not suitable for long distances when wearing.</v>
      </c>
    </row>
    <row r="3038">
      <c r="A3038" s="1">
        <v>5.0</v>
      </c>
      <c r="B3038" s="1" t="s">
        <v>3029</v>
      </c>
      <c r="C3038" t="str">
        <f>IFERROR(__xludf.DUMMYFUNCTION("GOOGLETRANSLATE(B3038, ""zh"", ""en"")"),"This cost-effective price, quality very good. Mailed soon. Off water can also, very good")</f>
        <v>This cost-effective price, quality very good. Mailed soon. Off water can also, very good</v>
      </c>
    </row>
    <row r="3039">
      <c r="A3039" s="1">
        <v>5.0</v>
      </c>
      <c r="B3039" s="1" t="s">
        <v>3030</v>
      </c>
      <c r="C3039" t="str">
        <f>IFERROR(__xludf.DUMMYFUNCTION("GOOGLETRANSLATE(B3039, ""zh"", ""en"")"),"Something good ~ Asian 180.75KG M number just fine")</f>
        <v>Something good ~ Asian 180.75KG M number just fine</v>
      </c>
    </row>
    <row r="3040">
      <c r="A3040" s="1">
        <v>5.0</v>
      </c>
      <c r="B3040" s="1" t="s">
        <v>3031</v>
      </c>
      <c r="C3040" t="str">
        <f>IFERROR(__xludf.DUMMYFUNCTION("GOOGLETRANSLATE(B3040, ""zh"", ""en"")"),"No longer have to worry about the hard drive is not enough hard drive never have to worry not enough")</f>
        <v>No longer have to worry about the hard drive is not enough hard drive never have to worry not enough</v>
      </c>
    </row>
    <row r="3041">
      <c r="A3041" s="1">
        <v>5.0</v>
      </c>
      <c r="B3041" s="1" t="s">
        <v>3032</v>
      </c>
      <c r="C3041" t="str">
        <f>IFERROR(__xludf.DUMMYFUNCTION("GOOGLETRANSLATE(B3041, ""zh"", ""en"")"),"The only drawback too much space to good use, but it is cumbersome to use its own power supply. Ruoguo can comes with WIFI wireless transmission of data is perfect.")</f>
        <v>The only drawback too much space to good use, but it is cumbersome to use its own power supply. Ruoguo can comes with WIFI wireless transmission of data is perfect.</v>
      </c>
    </row>
    <row r="3042">
      <c r="A3042" s="1">
        <v>5.0</v>
      </c>
      <c r="B3042" s="1" t="s">
        <v>3033</v>
      </c>
      <c r="C3042" t="str">
        <f>IFERROR(__xludf.DUMMYFUNCTION("GOOGLETRANSLATE(B3042, ""zh"", ""en"")"),"Yes inevitably freight, a little loss")</f>
        <v>Yes inevitably freight, a little loss</v>
      </c>
    </row>
    <row r="3043">
      <c r="A3043" s="1">
        <v>5.0</v>
      </c>
      <c r="B3043" s="1" t="s">
        <v>3034</v>
      </c>
      <c r="C3043" t="str">
        <f>IFERROR(__xludf.DUMMYFUNCTION("GOOGLETRANSLATE(B3043, ""zh"", ""en"")"),"Recommended to buy very comfortable to wear, do not wear the same feeling, soft! The only downside is that the rear end of sewing is not very sophisticated, Egypt production")</f>
        <v>Recommended to buy very comfortable to wear, do not wear the same feeling, soft! The only downside is that the rear end of sewing is not very sophisticated, Egypt production</v>
      </c>
    </row>
    <row r="3044">
      <c r="A3044" s="1">
        <v>2.0</v>
      </c>
      <c r="B3044" s="1" t="s">
        <v>3035</v>
      </c>
      <c r="C3044" t="str">
        <f>IFERROR(__xludf.DUMMYFUNCTION("GOOGLETRANSLATE(B3044, ""zh"", ""en"")"),"Why fade serious disappointment is bought expensive clothes fade? And hanging up towels also stained 😠 really fade very serious!")</f>
        <v>Why fade serious disappointment is bought expensive clothes fade? And hanging up towels also stained 😠 really fade very serious!</v>
      </c>
    </row>
    <row r="3045">
      <c r="A3045" s="1">
        <v>3.0</v>
      </c>
      <c r="B3045" s="1" t="s">
        <v>3036</v>
      </c>
      <c r="C3045" t="str">
        <f>IFERROR(__xludf.DUMMYFUNCTION("GOOGLETRANSLATE(B3045, ""zh"", ""en"")"),"Do not buy do not buy a good home, a sense of too much vibration")</f>
        <v>Do not buy do not buy a good home, a sense of too much vibration</v>
      </c>
    </row>
    <row r="3046">
      <c r="A3046" s="1">
        <v>3.0</v>
      </c>
      <c r="B3046" s="1" t="s">
        <v>3037</v>
      </c>
      <c r="C3046" t="str">
        <f>IFERROR(__xludf.DUMMYFUNCTION("GOOGLETRANSLATE(B3046, ""zh"", ""en"")"),"Poor fade lint, Biandema Mom")</f>
        <v>Poor fade lint, Biandema Mom</v>
      </c>
    </row>
    <row r="3047">
      <c r="A3047" s="1">
        <v>3.0</v>
      </c>
      <c r="B3047" s="1" t="s">
        <v>3038</v>
      </c>
      <c r="C3047" t="str">
        <f>IFERROR(__xludf.DUMMYFUNCTION("GOOGLETRANSLATE(B3047, ""zh"", ""en"")"),"Yan than practical value because a shoe store tried before, so shoes are still appropriate. The advantage is the appearance of good-looking, very literary, very soft leather, the shoe is very light; shortcomings are obvious, Great Northern dust, dirt very"&amp;" white, and that the cortex stained with dirt difficult to clean. The sole is thin, relatively hard, walking very uncomfortable, must matched with a relatively soft insole. Permeability is very good, not very hot day wearing a sweat, in short, can experie"&amp;"nce three shoes, you should not buy. Look at this structure, it is estimated not to wear long to scrap it.")</f>
        <v>Yan than practical value because a shoe store tried before, so shoes are still appropriate. The advantage is the appearance of good-looking, very literary, very soft leather, the shoe is very light; shortcomings are obvious, Great Northern dust, dirt very white, and that the cortex stained with dirt difficult to clean. The sole is thin, relatively hard, walking very uncomfortable, must matched with a relatively soft insole. Permeability is very good, not very hot day wearing a sweat, in short, can experience three shoes, you should not buy. Look at this structure, it is estimated not to wear long to scrap it.</v>
      </c>
    </row>
    <row r="3048">
      <c r="A3048" s="1">
        <v>1.0</v>
      </c>
      <c r="B3048" s="1" t="s">
        <v>3039</v>
      </c>
      <c r="C3048" t="str">
        <f>IFERROR(__xludf.DUMMYFUNCTION("GOOGLETRANSLATE(B3048, ""zh"", ""en"")"),"Poor, poor. Poor, poor. Poor, poor. Poor, poor. Poor, poor. Poor, poor. Poor, poor.")</f>
        <v>Poor, poor. Poor, poor. Poor, poor. Poor, poor. Poor, poor. Poor, poor. Poor, poor.</v>
      </c>
    </row>
    <row r="3049">
      <c r="A3049" s="1">
        <v>1.0</v>
      </c>
      <c r="B3049" s="1" t="s">
        <v>3040</v>
      </c>
      <c r="C3049" t="str">
        <f>IFERROR(__xludf.DUMMYFUNCTION("GOOGLETRANSLATE(B3049, ""zh"", ""en"")"),"Suspected to be fake second-hand goods are ykk zipper, and brass buttons also rust, as well as disinfectant taste, no x-ray on the logo. Fake, second-hand. Pay me.")</f>
        <v>Suspected to be fake second-hand goods are ykk zipper, and brass buttons also rust, as well as disinfectant taste, no x-ray on the logo. Fake, second-hand. Pay me.</v>
      </c>
    </row>
    <row r="3050">
      <c r="A3050" s="1">
        <v>1.0</v>
      </c>
      <c r="B3050" s="1" t="s">
        <v>3041</v>
      </c>
      <c r="C3050" t="str">
        <f>IFERROR(__xludf.DUMMYFUNCTION("GOOGLETRANSLATE(B3050, ""zh"", ""en"")"),"Packaging blanket big hole, but fortunately the pen is still negative feedback to the packaging, a thin blanket most of the mouth of the box, to be scary ah! Shoes are deformed zygote, zygote pen and stick together, but fortunately Modiu!")</f>
        <v>Packaging blanket big hole, but fortunately the pen is still negative feedback to the packaging, a thin blanket most of the mouth of the box, to be scary ah! Shoes are deformed zygote, zygote pen and stick together, but fortunately Modiu!</v>
      </c>
    </row>
    <row r="3051">
      <c r="A3051" s="1">
        <v>4.0</v>
      </c>
      <c r="B3051" s="1" t="s">
        <v>3042</v>
      </c>
      <c r="C3051" t="str">
        <f>IFERROR(__xludf.DUMMYFUNCTION("GOOGLETRANSLATE(B3051, ""zh"", ""en"")"),"Note the size of 172cm / 70kg, buy m, to wear a lot of big, long length sleeves. And Amazon UK only retreat does not change, and have to go to their own post office returned the Amazon.")</f>
        <v>Note the size of 172cm / 70kg, buy m, to wear a lot of big, long length sleeves. And Amazon UK only retreat does not change, and have to go to their own post office returned the Amazon.</v>
      </c>
    </row>
    <row r="3052">
      <c r="A3052" s="1">
        <v>4.0</v>
      </c>
      <c r="B3052" s="1" t="s">
        <v>3043</v>
      </c>
      <c r="C3052" t="str">
        <f>IFERROR(__xludf.DUMMYFUNCTION("GOOGLETRANSLATE(B3052, ""zh"", ""en"")"),"kvl8320s product fast delivery, but the opening of the box, the machine is new!")</f>
        <v>kvl8320s product fast delivery, but the opening of the box, the machine is new!</v>
      </c>
    </row>
    <row r="3053">
      <c r="A3053" s="1">
        <v>4.0</v>
      </c>
      <c r="B3053" s="1" t="s">
        <v>3044</v>
      </c>
      <c r="C3053" t="str">
        <f>IFERROR(__xludf.DUMMYFUNCTION("GOOGLETRANSLATE(B3053, ""zh"", ""en"")"),"Slightly larger, good quality and can be used as a cheap version of the Red Wings. I wear Asics, New Balance us8 No. 42, this time to buy a large number us8 somewhat, that does not affect. You can wear thick socks or cushion insole. Good quality, thick an"&amp;"d strong. Rough mad, Emotion")</f>
        <v>Slightly larger, good quality and can be used as a cheap version of the Red Wings. I wear Asics, New Balance us8 No. 42, this time to buy a large number us8 somewhat, that does not affect. You can wear thick socks or cushion insole. Good quality, thick and strong. Rough mad, Emotion</v>
      </c>
    </row>
    <row r="3054">
      <c r="A3054" s="1">
        <v>4.0</v>
      </c>
      <c r="B3054" s="1" t="s">
        <v>3045</v>
      </c>
      <c r="C3054" t="str">
        <f>IFERROR(__xludf.DUMMYFUNCTION("GOOGLETRANSLATE(B3054, ""zh"", ""en"")"),"182/70 kg too much, too much wear L, M almost, foreigner's size is large")</f>
        <v>182/70 kg too much, too much wear L, M almost, foreigner's size is large</v>
      </c>
    </row>
    <row r="3055">
      <c r="A3055" s="1">
        <v>4.0</v>
      </c>
      <c r="B3055" s="1" t="s">
        <v>3046</v>
      </c>
      <c r="C3055" t="str">
        <f>IFERROR(__xludf.DUMMYFUNCTION("GOOGLETRANSLATE(B3055, ""zh"", ""en"")"),"Dress shirt price is good, hem long, can only tie to wear pants")</f>
        <v>Dress shirt price is good, hem long, can only tie to wear pants</v>
      </c>
    </row>
    <row r="3056">
      <c r="A3056" s="1">
        <v>5.0</v>
      </c>
      <c r="B3056" s="1" t="s">
        <v>3047</v>
      </c>
      <c r="C3056" t="str">
        <f>IFERROR(__xludf.DUMMYFUNCTION("GOOGLETRANSLATE(B3056, ""zh"", ""en"")"),"Buy small overestimate yourself - try a little bit country 36 5.5 general election, but smaller. You should buy 6 / 6.5 or higher. The usual 36.5 feet - to be a reference")</f>
        <v>Buy small overestimate yourself - try a little bit country 36 5.5 general election, but smaller. You should buy 6 / 6.5 or higher. The usual 36.5 feet - to be a reference</v>
      </c>
    </row>
    <row r="3057">
      <c r="A3057" s="1">
        <v>5.0</v>
      </c>
      <c r="B3057" s="1" t="s">
        <v>3048</v>
      </c>
      <c r="C3057" t="str">
        <f>IFERROR(__xludf.DUMMYFUNCTION("GOOGLETRANSLATE(B3057, ""zh"", ""en"")"),"How 170,64kg, M just, very satisfied")</f>
        <v>How 170,64kg, M just, very satisfied</v>
      </c>
    </row>
    <row r="3058">
      <c r="A3058" s="1">
        <v>5.0</v>
      </c>
      <c r="B3058" s="1" t="s">
        <v>3049</v>
      </c>
      <c r="C3058" t="str">
        <f>IFERROR(__xludf.DUMMYFUNCTION("GOOGLETRANSLATE(B3058, ""zh"", ""en"")"),"Pick up a bottle with a bottle of this child, this is not bad!")</f>
        <v>Pick up a bottle with a bottle of this child, this is not bad!</v>
      </c>
    </row>
    <row r="3059">
      <c r="A3059" s="1">
        <v>5.0</v>
      </c>
      <c r="B3059" s="1" t="s">
        <v>3050</v>
      </c>
      <c r="C3059" t="str">
        <f>IFERROR(__xludf.DUMMYFUNCTION("GOOGLETRANSLATE(B3059, ""zh"", ""en"")"),"Nice experience, very good! Really surprising excellent experience, only music around you while background noise are cancelled.")</f>
        <v>Nice experience, very good! Really surprising excellent experience, only music around you while background noise are cancelled.</v>
      </c>
    </row>
    <row r="3060">
      <c r="A3060" s="1">
        <v>5.0</v>
      </c>
      <c r="B3060" s="1" t="s">
        <v>3051</v>
      </c>
      <c r="C3060" t="str">
        <f>IFERROR(__xludf.DUMMYFUNCTION("GOOGLETRANSLATE(B3060, ""zh"", ""en"")"),"Calvin Klein Men's Regular Fit Non Iron color, style and quality are good, worthy of CK brand.")</f>
        <v>Calvin Klein Men's Regular Fit Non Iron color, style and quality are good, worthy of CK brand.</v>
      </c>
    </row>
    <row r="3061">
      <c r="A3061" s="1">
        <v>5.0</v>
      </c>
      <c r="B3061" s="1" t="s">
        <v>3052</v>
      </c>
      <c r="C3061" t="str">
        <f>IFERROR(__xludf.DUMMYFUNCTION("GOOGLETRANSLATE(B3061, ""zh"", ""en"")"),"Insulation effect. Insulation effect, 24 hours after the water is generally still a little hot.")</f>
        <v>Insulation effect. Insulation effect, 24 hours after the water is generally still a little hot.</v>
      </c>
    </row>
    <row r="3062">
      <c r="A3062" s="1">
        <v>5.0</v>
      </c>
      <c r="B3062" s="1" t="s">
        <v>3053</v>
      </c>
      <c r="C3062" t="str">
        <f>IFERROR(__xludf.DUMMYFUNCTION("GOOGLETRANSLATE(B3062, ""zh"", ""en"")"),"I packed always liked to buy things on Amazon, very tricky. Packaging particularly good, not to use it, should be good!")</f>
        <v>I packed always liked to buy things on Amazon, very tricky. Packaging particularly good, not to use it, should be good!</v>
      </c>
    </row>
    <row r="3063">
      <c r="A3063" s="1">
        <v>5.0</v>
      </c>
      <c r="B3063" s="1" t="s">
        <v>3054</v>
      </c>
      <c r="C3063" t="str">
        <f>IFERROR(__xludf.DUMMYFUNCTION("GOOGLETRANSLATE(B3063, ""zh"", ""en"")"),"Choice of soft soles, usually wear very suitable for walking")</f>
        <v>Choice of soft soles, usually wear very suitable for walking</v>
      </c>
    </row>
    <row r="3064">
      <c r="A3064" s="1">
        <v>5.0</v>
      </c>
      <c r="B3064" s="1" t="s">
        <v>3055</v>
      </c>
      <c r="C3064" t="str">
        <f>IFERROR(__xludf.DUMMYFUNCTION("GOOGLETRANSLATE(B3064, ""zh"", ""en"")"),"This wave can logistics speed very quickly, watch feel good, that is a bit hard strap")</f>
        <v>This wave can logistics speed very quickly, watch feel good, that is a bit hard strap</v>
      </c>
    </row>
    <row r="3065">
      <c r="A3065" s="1">
        <v>5.0</v>
      </c>
      <c r="B3065" s="1" t="s">
        <v>3056</v>
      </c>
      <c r="C3065" t="str">
        <f>IFERROR(__xludf.DUMMYFUNCTION("GOOGLETRANSLATE(B3065, ""zh"", ""en"")"),"Fit is very comfortable fit for everyday wear this number is exactly 627 may be selected if it matters No. 4")</f>
        <v>Fit is very comfortable fit for everyday wear this number is exactly 627 may be selected if it matters No. 4</v>
      </c>
    </row>
    <row r="3066">
      <c r="A3066" s="1">
        <v>5.0</v>
      </c>
      <c r="B3066" s="1" t="s">
        <v>3057</v>
      </c>
      <c r="C3066" t="str">
        <f>IFERROR(__xludf.DUMMYFUNCTION("GOOGLETRANSLATE(B3066, ""zh"", ""en"")"),"Something good packaging intact! Things do not have any damage, perfect! Accurate travel time! Delivery time is long, November 6 Kusakabe single, only to receive a No. 19 November.")</f>
        <v>Something good packaging intact! Things do not have any damage, perfect! Accurate travel time! Delivery time is long, November 6 Kusakabe single, only to receive a No. 19 November.</v>
      </c>
    </row>
    <row r="3067">
      <c r="A3067" s="1">
        <v>5.0</v>
      </c>
      <c r="B3067" s="1" t="s">
        <v>3058</v>
      </c>
      <c r="C3067" t="str">
        <f>IFERROR(__xludf.DUMMYFUNCTION("GOOGLETRANSLATE(B3067, ""zh"", ""en"")"),"Good size slightly larger, relatively high cost.")</f>
        <v>Good size slightly larger, relatively high cost.</v>
      </c>
    </row>
    <row r="3068">
      <c r="A3068" s="1">
        <v>5.0</v>
      </c>
      <c r="B3068" s="1" t="s">
        <v>3059</v>
      </c>
      <c r="C3068" t="str">
        <f>IFERROR(__xludf.DUMMYFUNCTION("GOOGLETRANSLATE(B3068, ""zh"", ""en"")"),"Very comfortable and fashionable chic, sophisticated materials, very comfortable to wear")</f>
        <v>Very comfortable and fashionable chic, sophisticated materials, very comfortable to wear</v>
      </c>
    </row>
    <row r="3069">
      <c r="A3069" s="1">
        <v>5.0</v>
      </c>
      <c r="B3069" s="1" t="s">
        <v>1514</v>
      </c>
      <c r="C3069" t="str">
        <f>IFERROR(__xludf.DUMMYFUNCTION("GOOGLETRANSLATE(B3069, ""zh"", ""en"")"),"Good Good")</f>
        <v>Good Good</v>
      </c>
    </row>
    <row r="3070">
      <c r="A3070" s="1">
        <v>5.0</v>
      </c>
      <c r="B3070" s="1" t="s">
        <v>3060</v>
      </c>
      <c r="C3070" t="str">
        <f>IFERROR(__xludf.DUMMYFUNCTION("GOOGLETRANSLATE(B3070, ""zh"", ""en"")"),"Very satisfied with customer service, good attitude, positive solution to the problem, headphone received, the general feeling, it seems I was the wood ear")</f>
        <v>Very satisfied with customer service, good attitude, positive solution to the problem, headphone received, the general feeling, it seems I was the wood ear</v>
      </c>
    </row>
    <row r="3071">
      <c r="A3071" s="1">
        <v>5.0</v>
      </c>
      <c r="B3071" s="1" t="s">
        <v>3061</v>
      </c>
      <c r="C3071" t="str">
        <f>IFERROR(__xludf.DUMMYFUNCTION("GOOGLETRANSLATE(B3071, ""zh"", ""en"")"),"Good pen, f sharp extremely smooth great texture, great weight, is the packaging simple point, but nothing, good pen is a pen,")</f>
        <v>Good pen, f sharp extremely smooth great texture, great weight, is the packaging simple point, but nothing, good pen is a pen,</v>
      </c>
    </row>
    <row r="3072">
      <c r="A3072" s="1">
        <v>5.0</v>
      </c>
      <c r="B3072" s="1" t="s">
        <v>3062</v>
      </c>
      <c r="C3072" t="str">
        <f>IFERROR(__xludf.DUMMYFUNCTION("GOOGLETRANSLATE(B3072, ""zh"", ""en"")"),"Good things will come back to buy some good quality size is just right")</f>
        <v>Good things will come back to buy some good quality size is just right</v>
      </c>
    </row>
    <row r="3073">
      <c r="A3073" s="1">
        <v>5.0</v>
      </c>
      <c r="B3073" s="1" t="s">
        <v>3063</v>
      </c>
      <c r="C3073" t="str">
        <f>IFERROR(__xludf.DUMMYFUNCTION("GOOGLETRANSLATE(B3073, ""zh"", ""en"")"),"Equipment not yet begun with a straw, can not be installed straw, can only drink straight")</f>
        <v>Equipment not yet begun with a straw, can not be installed straw, can only drink straight</v>
      </c>
    </row>
    <row r="3074">
      <c r="A3074" s="1">
        <v>5.0</v>
      </c>
      <c r="B3074" s="1" t="s">
        <v>3064</v>
      </c>
      <c r="C3074" t="str">
        <f>IFERROR(__xludf.DUMMYFUNCTION("GOOGLETRANSLATE(B3074, ""zh"", ""en"")"),"Ah style looks good, it is a little big")</f>
        <v>Ah style looks good, it is a little big</v>
      </c>
    </row>
    <row r="3075">
      <c r="A3075" s="1">
        <v>5.0</v>
      </c>
      <c r="B3075" s="1" t="s">
        <v>3065</v>
      </c>
      <c r="C3075" t="str">
        <f>IFERROR(__xludf.DUMMYFUNCTION("GOOGLETRANSLATE(B3075, ""zh"", ""en"")"),"Praise good, really like Zai Zai, good workmanship")</f>
        <v>Praise good, really like Zai Zai, good workmanship</v>
      </c>
    </row>
    <row r="3076">
      <c r="A3076" s="1">
        <v>5.0</v>
      </c>
      <c r="B3076" s="1" t="s">
        <v>3066</v>
      </c>
      <c r="C3076" t="str">
        <f>IFERROR(__xludf.DUMMYFUNCTION("GOOGLETRANSLATE(B3076, ""zh"", ""en"")"),"Massive color of lead ah well, fine!")</f>
        <v>Massive color of lead ah well, fine!</v>
      </c>
    </row>
    <row r="3077">
      <c r="A3077" s="1">
        <v>5.0</v>
      </c>
      <c r="B3077" s="1" t="s">
        <v>3067</v>
      </c>
      <c r="C3077" t="str">
        <f>IFERROR(__xludf.DUMMYFUNCTION("GOOGLETRANSLATE(B3077, ""zh"", ""en"")"),"Value for money! I read a lot of comments on this type of monitor speakers, finally decided to order, because the price is too tempting. Shipping soon, the next day they received, in fact, no more than 24 hours. No packaging, no damage to the original pac"&amp;"kaging, also posted a seal. Speakers examined the moment, there is no trace of damage, medium size, of a dozen square meters of space is appropriate. Then try each connection port and sound quality, the interface is simple, just enough. After a little tur"&amp;"ned slightly mute the noise, close to the ear will hear, perfectly acceptable. It should be said that value for money, especially when playing lossless music formats, the effect is very good, more than expected, the price of this speaker, there is such a "&amp;"good sound performance, really very satisfied. Speakers praise for this point 👍")</f>
        <v>Value for money! I read a lot of comments on this type of monitor speakers, finally decided to order, because the price is too tempting. Shipping soon, the next day they received, in fact, no more than 24 hours. No packaging, no damage to the original packaging, also posted a seal. Speakers examined the moment, there is no trace of damage, medium size, of a dozen square meters of space is appropriate. Then try each connection port and sound quality, the interface is simple, just enough. After a little turned slightly mute the noise, close to the ear will hear, perfectly acceptable. It should be said that value for money, especially when playing lossless music formats, the effect is very good, more than expected, the price of this speaker, there is such a good sound performance, really very satisfied. Speakers praise for this point 👍</v>
      </c>
    </row>
    <row r="3078">
      <c r="A3078" s="1">
        <v>2.0</v>
      </c>
      <c r="B3078" s="1" t="s">
        <v>3068</v>
      </c>
      <c r="C3078" t="str">
        <f>IFERROR(__xludf.DUMMYFUNCTION("GOOGLETRANSLATE(B3078, ""zh"", ""en"")"),"Hair loss is very serious for many years I have never worn fade (out of black hair) such a serious black panties. Manual smile. A toilet, can not bear to look directly at the hair loss.")</f>
        <v>Hair loss is very serious for many years I have never worn fade (out of black hair) such a serious black panties. Manual smile. A toilet, can not bear to look directly at the hair loss.</v>
      </c>
    </row>
    <row r="3079">
      <c r="A3079" s="1">
        <v>3.0</v>
      </c>
      <c r="B3079" s="1" t="s">
        <v>3069</v>
      </c>
      <c r="C3079" t="str">
        <f>IFERROR(__xludf.DUMMYFUNCTION("GOOGLETRANSLATE(B3079, ""zh"", ""en"")"),"General-colored like generally like it, feel good material feels thin")</f>
        <v>General-colored like generally like it, feel good material feels thin</v>
      </c>
    </row>
    <row r="3080">
      <c r="A3080" s="1">
        <v>3.0</v>
      </c>
      <c r="B3080" s="1" t="s">
        <v>3070</v>
      </c>
      <c r="C3080" t="str">
        <f>IFERROR(__xludf.DUMMYFUNCTION("GOOGLETRANSLATE(B3080, ""zh"", ""en"")"),"Suggest that you buy the Japanese version, the US version is very general at this price this quality might as well buy domestic products, great ass aliens should not it? Height 175 Weight 58Kg buy S code feel tight hem, neck and shoulder but where exactly"&amp;", but rather long clothes, feeling very strange version. At the same time purchased a Japanese version is three times the price of many, but the quality is much better, according to the domestic Japanese version of normal size to buy, no longer afraid to "&amp;"buy the US version of a very general")</f>
        <v>Suggest that you buy the Japanese version, the US version is very general at this price this quality might as well buy domestic products, great ass aliens should not it? Height 175 Weight 58Kg buy S code feel tight hem, neck and shoulder but where exactly, but rather long clothes, feeling very strange version. At the same time purchased a Japanese version is three times the price of many, but the quality is much better, according to the domestic Japanese version of normal size to buy, no longer afraid to buy the US version of a very general</v>
      </c>
    </row>
    <row r="3081">
      <c r="A3081" s="1">
        <v>3.0</v>
      </c>
      <c r="B3081" s="1" t="s">
        <v>3071</v>
      </c>
      <c r="C3081" t="str">
        <f>IFERROR(__xludf.DUMMYFUNCTION("GOOGLETRANSLATE(B3081, ""zh"", ""en"")"),"Not worth the price compare with domestic stores there are still differences, clothes twice deformation")</f>
        <v>Not worth the price compare with domestic stores there are still differences, clothes twice deformation</v>
      </c>
    </row>
    <row r="3082">
      <c r="A3082" s="1">
        <v>1.0</v>
      </c>
      <c r="B3082" s="1" t="s">
        <v>3072</v>
      </c>
      <c r="C3082" t="str">
        <f>IFERROR(__xludf.DUMMYFUNCTION("GOOGLETRANSLATE(B3082, ""zh"", ""en"")"),"Do not fly the logistics shipped over the packaging has been opened, you can easily come up with, two bottles of package bags have been torn, is not to transfer package is not known, not very reliable.")</f>
        <v>Do not fly the logistics shipped over the packaging has been opened, you can easily come up with, two bottles of package bags have been torn, is not to transfer package is not known, not very reliable.</v>
      </c>
    </row>
    <row r="3083">
      <c r="A3083" s="1">
        <v>1.0</v>
      </c>
      <c r="B3083" s="1" t="s">
        <v>3073</v>
      </c>
      <c r="C3083" t="str">
        <f>IFERROR(__xludf.DUMMYFUNCTION("GOOGLETRANSLATE(B3083, ""zh"", ""en"")"),"Light clothes, integrity is more important! Always liked this brand of clothes, this dress style and color are good, but the size of the discrepancy in size and clothes, the most important is the receipt of the clothes still do not dare to wear, strong ch"&amp;"emical smell is very pungent, washed still does. Disappointing shopping experience hard to describe. Would like to see this comment supplier recall examination and treatment odor on clothes sold, such as the presence of hazardous substances will also allo"&amp;"w loyal customers from being hurt.")</f>
        <v>Light clothes, integrity is more important! Always liked this brand of clothes, this dress style and color are good, but the size of the discrepancy in size and clothes, the most important is the receipt of the clothes still do not dare to wear, strong chemical smell is very pungent, washed still does. Disappointing shopping experience hard to describe. Would like to see this comment supplier recall examination and treatment odor on clothes sold, such as the presence of hazardous substances will also allow loyal customers from being hurt.</v>
      </c>
    </row>
    <row r="3084">
      <c r="A3084" s="1">
        <v>4.0</v>
      </c>
      <c r="B3084" s="1" t="s">
        <v>3074</v>
      </c>
      <c r="C3084" t="str">
        <f>IFERROR(__xludf.DUMMYFUNCTION("GOOGLETRANSLATE(B3084, ""zh"", ""en"")"),"It looks genuine fake")</f>
        <v>It looks genuine fake</v>
      </c>
    </row>
    <row r="3085">
      <c r="A3085" s="1">
        <v>4.0</v>
      </c>
      <c r="B3085" s="1" t="s">
        <v>3075</v>
      </c>
      <c r="C3085" t="str">
        <f>IFERROR(__xludf.DUMMYFUNCTION("GOOGLETRANSLATE(B3085, ""zh"", ""en"")"),". A little big, it will be a bad")</f>
        <v>. A little big, it will be a bad</v>
      </c>
    </row>
    <row r="3086">
      <c r="A3086" s="1">
        <v>4.0</v>
      </c>
      <c r="B3086" s="1" t="s">
        <v>3076</v>
      </c>
      <c r="C3086" t="str">
        <f>IFERROR(__xludf.DUMMYFUNCTION("GOOGLETRANSLATE(B3086, ""zh"", ""en"")"),"A good pair of shoes, all are rather satisfied, very comfortable to wear a little big, but work a little rough spot, outside PRO standard slightly crooked, but overall good, the price is much cheaper than a monopoly, such as more than 10 days worth of int"&amp;"ernational express .")</f>
        <v>A good pair of shoes, all are rather satisfied, very comfortable to wear a little big, but work a little rough spot, outside PRO standard slightly crooked, but overall good, the price is much cheaper than a monopoly, such as more than 10 days worth of international express .</v>
      </c>
    </row>
    <row r="3087">
      <c r="A3087" s="1">
        <v>4.0</v>
      </c>
      <c r="B3087" s="1" t="s">
        <v>3077</v>
      </c>
      <c r="C3087" t="str">
        <f>IFERROR(__xludf.DUMMYFUNCTION("GOOGLETRANSLATE(B3087, ""zh"", ""en"")"),"CK brand new product casual jogging pants")</f>
        <v>CK brand new product casual jogging pants</v>
      </c>
    </row>
    <row r="3088">
      <c r="A3088" s="1">
        <v>4.0</v>
      </c>
      <c r="B3088" s="1" t="s">
        <v>3078</v>
      </c>
      <c r="C3088" t="str">
        <f>IFERROR(__xludf.DUMMYFUNCTION("GOOGLETRANSLATE(B3088, ""zh"", ""en"")"),"Vamp is narrow, there are 38 foot mark, buy 5UK, shoes just right, it is recommended to buy thin legs, a number of dark shoe marks on the surface, the feeling is defective, over four hundred shoes will not bother to retire the")</f>
        <v>Vamp is narrow, there are 38 foot mark, buy 5UK, shoes just right, it is recommended to buy thin legs, a number of dark shoe marks on the surface, the feeling is defective, over four hundred shoes will not bother to retire the</v>
      </c>
    </row>
    <row r="3089">
      <c r="A3089" s="1">
        <v>5.0</v>
      </c>
      <c r="B3089" s="1" t="s">
        <v>3079</v>
      </c>
      <c r="C3089" t="str">
        <f>IFERROR(__xludf.DUMMYFUNCTION("GOOGLETRANSLATE(B3089, ""zh"", ""en"")"),"It is recommended to buy another two seasons, just covered with a thin 4.5, 10.5 for 21 degrees in a heated room Heating no heating of the house, the dough warm quilt, no sound and drill hair, it is recommended, work is almost. Studied for a long time to "&amp;"buy the size, the size of the photo to everyone reference")</f>
        <v>It is recommended to buy another two seasons, just covered with a thin 4.5, 10.5 for 21 degrees in a heated room Heating no heating of the house, the dough warm quilt, no sound and drill hair, it is recommended, work is almost. Studied for a long time to buy the size, the size of the photo to everyone reference</v>
      </c>
    </row>
    <row r="3090">
      <c r="A3090" s="1">
        <v>5.0</v>
      </c>
      <c r="B3090" s="1" t="s">
        <v>3080</v>
      </c>
      <c r="C3090" t="str">
        <f>IFERROR(__xludf.DUMMYFUNCTION("GOOGLETRANSLATE(B3090, ""zh"", ""en"")"),"Put the cart perfect shoes for a long time, until finally drop dozens of black five blocks, and feeling finally cheap, and immediately orders, receipt try just felt perfect, really want to buy one pair ^ _ ^ ^ _ ^ good love good love")</f>
        <v>Put the cart perfect shoes for a long time, until finally drop dozens of black five blocks, and feeling finally cheap, and immediately orders, receipt try just felt perfect, really want to buy one pair ^ _ ^ ^ _ ^ good love good love</v>
      </c>
    </row>
    <row r="3091">
      <c r="A3091" s="1">
        <v>5.0</v>
      </c>
      <c r="B3091" s="1" t="s">
        <v>3081</v>
      </c>
      <c r="C3091" t="str">
        <f>IFERROR(__xludf.DUMMYFUNCTION("GOOGLETRANSLATE(B3091, ""zh"", ""en"")"),"Good, price is also OK, logistics is a bit long, after all, can understand direct mail from the United States, praise! Good, price is also OK, logistics is a bit long, after all, can understand direct mail from the United States, praise!")</f>
        <v>Good, price is also OK, logistics is a bit long, after all, can understand direct mail from the United States, praise! Good, price is also OK, logistics is a bit long, after all, can understand direct mail from the United States, praise!</v>
      </c>
    </row>
    <row r="3092">
      <c r="A3092" s="1">
        <v>5.0</v>
      </c>
      <c r="B3092" s="1" t="s">
        <v>3082</v>
      </c>
      <c r="C3092" t="str">
        <f>IFERROR(__xludf.DUMMYFUNCTION("GOOGLETRANSLATE(B3092, ""zh"", ""en"")"),"Omnivorous headphones to listen to any type of music song will do, omnivorous, very fierce low frequency")</f>
        <v>Omnivorous headphones to listen to any type of music song will do, omnivorous, very fierce low frequency</v>
      </c>
    </row>
    <row r="3093">
      <c r="A3093" s="1">
        <v>5.0</v>
      </c>
      <c r="B3093" s="1" t="s">
        <v>3083</v>
      </c>
      <c r="C3093" t="str">
        <f>IFERROR(__xludf.DUMMYFUNCTION("GOOGLETRANSLATE(B3093, ""zh"", ""en"")"),"k240s a headphone sound very positive, less coloration real human voice, still burning ~~")</f>
        <v>k240s a headphone sound very positive, less coloration real human voice, still burning ~~</v>
      </c>
    </row>
    <row r="3094">
      <c r="A3094" s="1">
        <v>5.0</v>
      </c>
      <c r="B3094" s="1" t="s">
        <v>3084</v>
      </c>
      <c r="C3094" t="str">
        <f>IFERROR(__xludf.DUMMYFUNCTION("GOOGLETRANSLATE(B3094, ""zh"", ""en"")"),"ecco soles very good soft, good shoes, slip resistant")</f>
        <v>ecco soles very good soft, good shoes, slip resistant</v>
      </c>
    </row>
    <row r="3095">
      <c r="A3095" s="1">
        <v>5.0</v>
      </c>
      <c r="B3095" s="1" t="s">
        <v>3085</v>
      </c>
      <c r="C3095" t="str">
        <f>IFERROR(__xludf.DUMMYFUNCTION("GOOGLETRANSLATE(B3095, ""zh"", ""en"")"),"159.48kg 159 48kg wear m code suitable. Suitable for the autumn and thin clothes. Overall liberal bias, but very narrow sleeves, my arm is considered the kind of thin, and that was very close to the sleeves. Textured fabrics are very good.")</f>
        <v>159.48kg 159 48kg wear m code suitable. Suitable for the autumn and thin clothes. Overall liberal bias, but very narrow sleeves, my arm is considered the kind of thin, and that was very close to the sleeves. Textured fabrics are very good.</v>
      </c>
    </row>
    <row r="3096">
      <c r="A3096" s="1">
        <v>5.0</v>
      </c>
      <c r="B3096" s="1" t="s">
        <v>3086</v>
      </c>
      <c r="C3096" t="str">
        <f>IFERROR(__xludf.DUMMYFUNCTION("GOOGLETRANSLATE(B3096, ""zh"", ""en"")"),"Well this is the star product, first-rate quality.")</f>
        <v>Well this is the star product, first-rate quality.</v>
      </c>
    </row>
    <row r="3097">
      <c r="A3097" s="1">
        <v>5.0</v>
      </c>
      <c r="B3097" s="1" t="s">
        <v>3087</v>
      </c>
      <c r="C3097" t="str">
        <f>IFERROR(__xludf.DUMMYFUNCTION("GOOGLETRANSLATE(B3097, ""zh"", ""en"")"),"Pelvic girdle very good very good, with the also very convenient")</f>
        <v>Pelvic girdle very good very good, with the also very convenient</v>
      </c>
    </row>
    <row r="3098">
      <c r="A3098" s="1">
        <v>5.0</v>
      </c>
      <c r="B3098" s="1" t="s">
        <v>3088</v>
      </c>
      <c r="C3098" t="str">
        <f>IFERROR(__xludf.DUMMYFUNCTION("GOOGLETRANSLATE(B3098, ""zh"", ""en"")"),"Very, very good, never went before the evaluation, I do not know how many wasted points, points can change money now know, they should look carefully evaluated, then I put these words to copy to go, both to earn points, but also the easy way to go where c"&amp;"opy where, most importantly, do not seriously review, do not think how much worse word, made directly on it")</f>
        <v>Very, very good, never went before the evaluation,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made directly on it</v>
      </c>
    </row>
    <row r="3099">
      <c r="A3099" s="1">
        <v>5.0</v>
      </c>
      <c r="B3099" s="1" t="s">
        <v>3089</v>
      </c>
      <c r="C3099" t="str">
        <f>IFERROR(__xludf.DUMMYFUNCTION("GOOGLETRANSLATE(B3099, ""zh"", ""en"")"),"Good workmanship white look good, work is also possible, leading very heavy, good")</f>
        <v>Good workmanship white look good, work is also possible, leading very heavy, good</v>
      </c>
    </row>
    <row r="3100">
      <c r="A3100" s="1">
        <v>5.0</v>
      </c>
      <c r="B3100" s="1" t="s">
        <v>3090</v>
      </c>
      <c r="C3100" t="str">
        <f>IFERROR(__xludf.DUMMYFUNCTION("GOOGLETRANSLATE(B3100, ""zh"", ""en"")"),"Recommended to buy a large two yards comments we read is not very good, but still bought two. It is not cheap, but the style is good, and I think the day is not too bad quality of Mulan. Get the goods, packaging really simple, belts a little rough, but it"&amp;" is consistent with the style of outdoor ah. Belt is not very thick but very wide, anyway, I feel good. The price, I bought it re-election.")</f>
        <v>Recommended to buy a large two yards comments we read is not very good, but still bought two. It is not cheap, but the style is good, and I think the day is not too bad quality of Mulan. Get the goods, packaging really simple, belts a little rough, but it is consistent with the style of outdoor ah. Belt is not very thick but very wide, anyway, I feel good. The price, I bought it re-election.</v>
      </c>
    </row>
    <row r="3101">
      <c r="A3101" s="1">
        <v>5.0</v>
      </c>
      <c r="B3101" s="1" t="s">
        <v>3091</v>
      </c>
      <c r="C3101" t="str">
        <f>IFERROR(__xludf.DUMMYFUNCTION("GOOGLETRANSLATE(B3101, ""zh"", ""en"")"),"Inexpensive sound reduction true, tri-band are good, especially the bass elastic strong! Ear soft ~")</f>
        <v>Inexpensive sound reduction true, tri-band are good, especially the bass elastic strong! Ear soft ~</v>
      </c>
    </row>
    <row r="3102">
      <c r="A3102" s="1">
        <v>5.0</v>
      </c>
      <c r="B3102" s="1" t="s">
        <v>3092</v>
      </c>
      <c r="C3102" t="str">
        <f>IFERROR(__xludf.DUMMYFUNCTION("GOOGLETRANSLATE(B3102, ""zh"", ""en"")"),"Bang Bang da very good value for money and especially heavy")</f>
        <v>Bang Bang da very good value for money and especially heavy</v>
      </c>
    </row>
    <row r="3103">
      <c r="A3103" s="1">
        <v>5.0</v>
      </c>
      <c r="B3103" s="1" t="s">
        <v>3093</v>
      </c>
      <c r="C3103" t="str">
        <f>IFERROR(__xludf.DUMMYFUNCTION("GOOGLETRANSLATE(B3103, ""zh"", ""en"")"),"Dutch production, the price is a little expensive, this is a Dutch production can be determined")</f>
        <v>Dutch production, the price is a little expensive, this is a Dutch production can be determined</v>
      </c>
    </row>
    <row r="3104">
      <c r="A3104" s="1">
        <v>5.0</v>
      </c>
      <c r="B3104" s="1" t="s">
        <v>3094</v>
      </c>
      <c r="C3104" t="str">
        <f>IFERROR(__xludf.DUMMYFUNCTION("GOOGLETRANSLATE(B3104, ""zh"", ""en"")"),"Suitable quasi waist size 32, going to change a bit length of the trousers.")</f>
        <v>Suitable quasi waist size 32, going to change a bit length of the trousers.</v>
      </c>
    </row>
    <row r="3105">
      <c r="A3105" s="1">
        <v>5.0</v>
      </c>
      <c r="B3105" s="1" t="s">
        <v>3095</v>
      </c>
      <c r="C3105" t="str">
        <f>IFERROR(__xludf.DUMMYFUNCTION("GOOGLETRANSLATE(B3105, ""zh"", ""en"")"),"A little small, but fortunately I have a small head color punctuality, beautiful, love")</f>
        <v>A little small, but fortunately I have a small head color punctuality, beautiful, love</v>
      </c>
    </row>
    <row r="3106">
      <c r="A3106" s="1">
        <v>5.0</v>
      </c>
      <c r="B3106" s="1" t="s">
        <v>3096</v>
      </c>
      <c r="C3106" t="str">
        <f>IFERROR(__xludf.DUMMYFUNCTION("GOOGLETRANSLATE(B3106, ""zh"", ""en"")"),"181,80, wear L is not made in China fit, 181,80, L fit to wear. The same paragraph, made in China probably 500+ counters in the European fold.")</f>
        <v>181,80, wear L is not made in China fit, 181,80, L fit to wear. The same paragraph, made in China probably 500+ counters in the European fold.</v>
      </c>
    </row>
    <row r="3107">
      <c r="A3107" s="1">
        <v>5.0</v>
      </c>
      <c r="B3107" s="1" t="s">
        <v>3097</v>
      </c>
      <c r="C3107" t="str">
        <f>IFERROR(__xludf.DUMMYFUNCTION("GOOGLETRANSLATE(B3107, ""zh"", ""en"")"),"Really good hard drive, run also quiet ~ ~ ~ This is a really good hard, run too quiet ~ ~ ~ shipping and packaging are more satisfied with the package which is the other electric providers to learn the ~~~")</f>
        <v>Really good hard drive, run also quiet ~ ~ ~ This is a really good hard, run too quiet ~ ~ ~ shipping and packaging are more satisfied with the package which is the other electric providers to learn the ~~~</v>
      </c>
    </row>
    <row r="3108">
      <c r="A3108" s="1">
        <v>5.0</v>
      </c>
      <c r="B3108" s="1" t="s">
        <v>3098</v>
      </c>
      <c r="C3108" t="str">
        <f>IFERROR(__xludf.DUMMYFUNCTION("GOOGLETRANSLATE(B3108, ""zh"", ""en"")"),"This is a good like good, cheap right size, male vote 180,140 L Zhuang upper body just right")</f>
        <v>This is a good like good, cheap right size, male vote 180,140 L Zhuang upper body just right</v>
      </c>
    </row>
    <row r="3109">
      <c r="A3109" s="1">
        <v>5.0</v>
      </c>
      <c r="B3109" s="1" t="s">
        <v>3099</v>
      </c>
      <c r="C3109" t="str">
        <f>IFERROR(__xludf.DUMMYFUNCTION("GOOGLETRANSLATE(B3109, ""zh"", ""en"")"),"Like really like, do not care about the so-called assessment. Since it is loaded to force, saying it is not good that bad, 3W or less listen to a sound and so on. . . Better to follow the simplest sense, they like. .")</f>
        <v>Like really like, do not care about the so-called assessment. Since it is loaded to force, saying it is not good that bad, 3W or less listen to a sound and so on. . . Better to follow the simplest sense, they like. .</v>
      </c>
    </row>
    <row r="3110">
      <c r="A3110" s="1">
        <v>5.0</v>
      </c>
      <c r="B3110" s="1" t="s">
        <v>3100</v>
      </c>
      <c r="C3110" t="str">
        <f>IFERROR(__xludf.DUMMYFUNCTION("GOOGLETRANSLATE(B3110, ""zh"", ""en"")"),"Wear more comfortable shoes usually wear in the country of 41.5, buy the EU42, the right size, wear more comfortable")</f>
        <v>Wear more comfortable shoes usually wear in the country of 41.5, buy the EU42, the right size, wear more comfortable</v>
      </c>
    </row>
    <row r="3111">
      <c r="A3111" s="1">
        <v>2.0</v>
      </c>
      <c r="B3111" s="1" t="s">
        <v>3101</v>
      </c>
      <c r="C3111" t="str">
        <f>IFERROR(__xludf.DUMMYFUNCTION("GOOGLETRANSLATE(B3111, ""zh"", ""en"")"),"Measured white than black freshman code 172 / 75kg buy is the same s, fitness, like Slim models bottoming close, tight-fitting white good just to wear, black and white than the very small one yard like Le xs, I found also broke x black back. Recommended b"&amp;"ody like the loose buy m code.")</f>
        <v>Measured white than black freshman code 172 / 75kg buy is the same s, fitness, like Slim models bottoming close, tight-fitting white good just to wear, black and white than the very small one yard like Le xs, I found also broke x black back. Recommended body like the loose buy m code.</v>
      </c>
    </row>
    <row r="3112">
      <c r="A3112" s="1">
        <v>3.0</v>
      </c>
      <c r="B3112" s="1" t="s">
        <v>3102</v>
      </c>
      <c r="C3112" t="str">
        <f>IFERROR(__xludf.DUMMYFUNCTION("GOOGLETRANSLATE(B3112, ""zh"", ""en"")"),"Table strike, do not go with less than two weeks is not gone, do not know no electricity, bad luck.")</f>
        <v>Table strike, do not go with less than two weeks is not gone, do not know no electricity, bad luck.</v>
      </c>
    </row>
    <row r="3113">
      <c r="A3113" s="1">
        <v>3.0</v>
      </c>
      <c r="B3113" s="1" t="s">
        <v>3103</v>
      </c>
      <c r="C3113" t="str">
        <f>IFERROR(__xludf.DUMMYFUNCTION("GOOGLETRANSLATE(B3113, ""zh"", ""en"")"),"Overseas suspect not buy a little thick socks, the quality looks okay, but the delivery receipt with only three days, a little doubt whether it is overseas purchase slightly")</f>
        <v>Overseas suspect not buy a little thick socks, the quality looks okay, but the delivery receipt with only three days, a little doubt whether it is overseas purchase slightly</v>
      </c>
    </row>
    <row r="3114">
      <c r="A3114" s="1">
        <v>1.0</v>
      </c>
      <c r="B3114" s="1" t="s">
        <v>3104</v>
      </c>
      <c r="C3114" t="str">
        <f>IFERROR(__xludf.DUMMYFUNCTION("GOOGLETRANSLATE(B3114, ""zh"", ""en"")"),"No purchase sale overseas, buy something good or bad depends on luck. Receiving two whole months, not a few times using the electric charge can not, tried several nice line can not be charged, it is not, ask the customer service overseas goods purchased c"&amp;"an be returned within 30 days of receipt, over 30 days on the matter, there is no sale, read what they say is the case for return instructions to ensure product integrity does not affect the secondary sales can be returned within 30 days, if something is "&amp;"bad is not just bad luck? It seems Amazon is no after-sales overseas purchase, which is in line with the relevant rules?")</f>
        <v>No purchase sale overseas, buy something good or bad depends on luck. Receiving two whole months, not a few times using the electric charge can not, tried several nice line can not be charged, it is not, ask the customer service overseas goods purchased can be returned within 30 days of receipt, over 30 days on the matter, there is no sale, read what they say is the case for return instructions to ensure product integrity does not affect the secondary sales can be returned within 30 days, if something is bad is not just bad luck? It seems Amazon is no after-sales overseas purchase, which is in line with the relevant rules?</v>
      </c>
    </row>
    <row r="3115">
      <c r="A3115" s="1">
        <v>1.0</v>
      </c>
      <c r="B3115" s="1" t="s">
        <v>3105</v>
      </c>
      <c r="C3115" t="str">
        <f>IFERROR(__xludf.DUMMYFUNCTION("GOOGLETRANSLATE(B3115, ""zh"", ""en"")"),"Fake fake, country bars are painted black pen, bought four bottles, two bottles of eating only to find, weighs, can not eat, can not return")</f>
        <v>Fake fake, country bars are painted black pen, bought four bottles, two bottles of eating only to find, weighs, can not eat, can not return</v>
      </c>
    </row>
    <row r="3116">
      <c r="A3116" s="1">
        <v>1.0</v>
      </c>
      <c r="B3116" s="1" t="s">
        <v>3106</v>
      </c>
      <c r="C3116" t="str">
        <f>IFERROR(__xludf.DUMMYFUNCTION("GOOGLETRANSLATE(B3116, ""zh"", ""en"")"),"The general quality of the general quality, fade, wear it once and lost the thread, rubber band belts are broken")</f>
        <v>The general quality of the general quality, fade, wear it once and lost the thread, rubber band belts are broken</v>
      </c>
    </row>
    <row r="3117">
      <c r="A3117" s="1">
        <v>4.0</v>
      </c>
      <c r="B3117" s="1" t="s">
        <v>3107</v>
      </c>
      <c r="C3117" t="str">
        <f>IFERROR(__xludf.DUMMYFUNCTION("GOOGLETRANSLATE(B3117, ""zh"", ""en"")"),"After the collar washed 2 times larger gray water, the collar becomes abnormally large ah, absolutely not type, a bit embarrassed. Black looks okay. White has not washed, to be tested")</f>
        <v>After the collar washed 2 times larger gray water, the collar becomes abnormally large ah, absolutely not type, a bit embarrassed. Black looks okay. White has not washed, to be tested</v>
      </c>
    </row>
    <row r="3118">
      <c r="A3118" s="1">
        <v>4.0</v>
      </c>
      <c r="B3118" s="1" t="s">
        <v>3108</v>
      </c>
      <c r="C3118" t="str">
        <f>IFERROR(__xludf.DUMMYFUNCTION("GOOGLETRANSLATE(B3118, ""zh"", ""en"")"),"Very affordable very good goods oh! For market use. And on average, the price is even cheaper than in the domestic commonly used electronic business platform.")</f>
        <v>Very affordable very good goods oh! For market use. And on average, the price is even cheaper than in the domestic commonly used electronic business platform.</v>
      </c>
    </row>
    <row r="3119">
      <c r="A3119" s="1">
        <v>4.0</v>
      </c>
      <c r="B3119" s="1" t="s">
        <v>3109</v>
      </c>
      <c r="C3119" t="str">
        <f>IFERROR(__xludf.DUMMYFUNCTION("GOOGLETRANSLATE(B3119, ""zh"", ""en"")"),"Good buy big a yard, just right, good workmanship, worth the price.")</f>
        <v>Good buy big a yard, just right, good workmanship, worth the price.</v>
      </c>
    </row>
    <row r="3120">
      <c r="A3120" s="1">
        <v>4.0</v>
      </c>
      <c r="B3120" s="1" t="s">
        <v>3110</v>
      </c>
      <c r="C3120" t="str">
        <f>IFERROR(__xludf.DUMMYFUNCTION("GOOGLETRANSLATE(B3120, ""zh"", ""en"")"),"Satisfaction date code will be a bit small, but nice style, very satisfied")</f>
        <v>Satisfaction date code will be a bit small, but nice style, very satisfied</v>
      </c>
    </row>
    <row r="3121">
      <c r="A3121" s="1">
        <v>5.0</v>
      </c>
      <c r="B3121" s="1" t="s">
        <v>3111</v>
      </c>
      <c r="C3121" t="str">
        <f>IFERROR(__xludf.DUMMYFUNCTION("GOOGLETRANSLATE(B3121, ""zh"", ""en"")"),"Very satisfied with the shopping is very good, the right size, is genuine")</f>
        <v>Very satisfied with the shopping is very good, the right size, is genuine</v>
      </c>
    </row>
    <row r="3122">
      <c r="A3122" s="1">
        <v>5.0</v>
      </c>
      <c r="B3122" s="1" t="s">
        <v>3112</v>
      </c>
      <c r="C3122" t="str">
        <f>IFERROR(__xludf.DUMMYFUNCTION("GOOGLETRANSLATE(B3122, ""zh"", ""en"")"),"Very good product, very hard worry overseas purchase very easy to use, the transmission speed is maintained at 80m-110m, heat and noise are very low. Hard voice almost inaudible, plugged into the computer all day, only a little hot compact, less than two "&amp;"ordinary cigarette box size, red and black colors seem simple not play, but also very eye-catching, easy to find. This is the best I've ever used a hard drive.")</f>
        <v>Very good product, very hard worry overseas purchase very easy to use, the transmission speed is maintained at 80m-110m, heat and noise are very low. Hard voice almost inaudible, plugged into the computer all day, only a little hot compact, less than two ordinary cigarette box size, red and black colors seem simple not play, but also very eye-catching, easy to find. This is the best I've ever used a hard drive.</v>
      </c>
    </row>
    <row r="3123">
      <c r="A3123" s="1">
        <v>5.0</v>
      </c>
      <c r="B3123" s="1" t="s">
        <v>3113</v>
      </c>
      <c r="C3123" t="str">
        <f>IFERROR(__xludf.DUMMYFUNCTION("GOOGLETRANSLATE(B3123, ""zh"", ""en"")"),"Ease of use is very convenient. Drink a glass of pure taste of espresso within 3 minutes. Office of the artifact.")</f>
        <v>Ease of use is very convenient. Drink a glass of pure taste of espresso within 3 minutes. Office of the artifact.</v>
      </c>
    </row>
    <row r="3124">
      <c r="A3124" s="1">
        <v>5.0</v>
      </c>
      <c r="B3124" s="1" t="s">
        <v>3114</v>
      </c>
      <c r="C3124" t="str">
        <f>IFERROR(__xludf.DUMMYFUNCTION("GOOGLETRANSLATE(B3124, ""zh"", ""en"")"),"+ Milk with milk protein powder brewing, very tasty.")</f>
        <v>+ Milk with milk protein powder brewing, very tasty.</v>
      </c>
    </row>
    <row r="3125">
      <c r="A3125" s="1">
        <v>5.0</v>
      </c>
      <c r="B3125" s="1" t="s">
        <v>3115</v>
      </c>
      <c r="C3125" t="str">
        <f>IFERROR(__xludf.DUMMYFUNCTION("GOOGLETRANSLATE(B3125, ""zh"", ""en"")"),"Very good things good, oh, buy a third")</f>
        <v>Very good things good, oh, buy a third</v>
      </c>
    </row>
    <row r="3126">
      <c r="A3126" s="1">
        <v>5.0</v>
      </c>
      <c r="B3126" s="1" t="s">
        <v>3116</v>
      </c>
      <c r="C3126" t="str">
        <f>IFERROR(__xludf.DUMMYFUNCTION("GOOGLETRANSLATE(B3126, ""zh"", ""en"")"),"Nature Made Tianwei US high concentrations of coenzyme Q10 soft capsule 80 cardiac conservation very long shelf life, should be good American brand, Amazon should be genuine, it will continue to repurchase.")</f>
        <v>Nature Made Tianwei US high concentrations of coenzyme Q10 soft capsule 80 cardiac conservation very long shelf life, should be good American brand, Amazon should be genuine, it will continue to repurchase.</v>
      </c>
    </row>
    <row r="3127">
      <c r="A3127" s="1">
        <v>5.0</v>
      </c>
      <c r="B3127" s="1" t="s">
        <v>3117</v>
      </c>
      <c r="C3127" t="str">
        <f>IFERROR(__xludf.DUMMYFUNCTION("GOOGLETRANSLATE(B3127, ""zh"", ""en"")"),"Size suitable height 177 weight 145 to buy the L numbers just right size, color is positive!")</f>
        <v>Size suitable height 177 weight 145 to buy the L numbers just right size, color is positive!</v>
      </c>
    </row>
    <row r="3128">
      <c r="A3128" s="1">
        <v>5.0</v>
      </c>
      <c r="B3128" s="1" t="s">
        <v>3118</v>
      </c>
      <c r="C3128" t="str">
        <f>IFERROR(__xludf.DUMMYFUNCTION("GOOGLETRANSLATE(B3128, ""zh"", ""en"")"),"LEE T Xu good quality goods, inexpensive")</f>
        <v>LEE T Xu good quality goods, inexpensive</v>
      </c>
    </row>
    <row r="3129">
      <c r="A3129" s="1">
        <v>5.0</v>
      </c>
      <c r="B3129" s="1" t="s">
        <v>3119</v>
      </c>
      <c r="C3129" t="str">
        <f>IFERROR(__xludf.DUMMYFUNCTION("GOOGLETRANSLATE(B3129, ""zh"", ""en"")"),"M bought a good number. 183cm, 100kg wear just friends. . Then send him. Good quality, light and warm.")</f>
        <v>M bought a good number. 183cm, 100kg wear just friends. . Then send him. Good quality, light and warm.</v>
      </c>
    </row>
    <row r="3130">
      <c r="A3130" s="1">
        <v>5.0</v>
      </c>
      <c r="B3130" s="1" t="s">
        <v>3120</v>
      </c>
      <c r="C3130" t="str">
        <f>IFERROR(__xludf.DUMMYFUNCTION("GOOGLETRANSLATE(B3130, ""zh"", ""en"")"),"With very good use, with the first gear and second gear cold, room temperature is 24 degrees, it will not blow too dry, the head needs to be converted")</f>
        <v>With very good use, with the first gear and second gear cold, room temperature is 24 degrees, it will not blow too dry, the head needs to be converted</v>
      </c>
    </row>
    <row r="3131">
      <c r="A3131" s="1">
        <v>5.0</v>
      </c>
      <c r="B3131" s="1" t="s">
        <v>3121</v>
      </c>
      <c r="C3131" t="str">
        <f>IFERROR(__xludf.DUMMYFUNCTION("GOOGLETRANSLATE(B3131, ""zh"", ""en"")"),"The maximum purchase price is really temptation software reads hard disk speed of 5425 rpm, 8001GB, equivalent to 7.27TB. Recommend the purchase of multi-tracking for some time, and sometimes the price will be low. Scanning disc reading done, took 15 hour"&amp;"s and 12 minutes, the speed from 190MB to 80MB per second. I think the noise is normal, this is on the outside than the hard sound in the chassis feels to be bigger, after all, less noise chassis. Talk about the shortcomings, domestic warranty time is sho"&amp;"rt, only a month, that is one month from the expected arrival time, according to the actual experience will be received earlier, also more than a few days. These thin package. This compared to Seagate Backup Plus Drive power volume is smaller, the power s"&amp;"upply is one of the keys to ensure the life of the hard drive. To all buyers refer to the next.")</f>
        <v>The maximum purchase price is really temptation software reads hard disk speed of 5425 rpm, 8001GB, equivalent to 7.27TB. Recommend the purchase of multi-tracking for some time, and sometimes the price will be low. Scanning disc reading done, took 15 hours and 12 minutes, the speed from 190MB to 80MB per second. I think the noise is normal, this is on the outside than the hard sound in the chassis feels to be bigger, after all, less noise chassis. Talk about the shortcomings, domestic warranty time is short, only a month, that is one month from the expected arrival time, according to the actual experience will be received earlier, also more than a few days. These thin package. This compared to Seagate Backup Plus Drive power volume is smaller, the power supply is one of the keys to ensure the life of the hard drive. To all buyers refer to the next.</v>
      </c>
    </row>
    <row r="3132">
      <c r="A3132" s="1">
        <v>5.0</v>
      </c>
      <c r="B3132" s="1" t="s">
        <v>3122</v>
      </c>
      <c r="C3132" t="str">
        <f>IFERROR(__xludf.DUMMYFUNCTION("GOOGLETRANSLATE(B3132, ""zh"", ""en"")"),"Quality workmanship good work pretty good, 176cm, 80kg wear M feeling slightly smaller, no sleeves as long as other brands of the US version.")</f>
        <v>Quality workmanship good work pretty good, 176cm, 80kg wear M feeling slightly smaller, no sleeves as long as other brands of the US version.</v>
      </c>
    </row>
    <row r="3133">
      <c r="A3133" s="1">
        <v>5.0</v>
      </c>
      <c r="B3133" s="1" t="s">
        <v>3123</v>
      </c>
      <c r="C3133" t="str">
        <f>IFERROR(__xludf.DUMMYFUNCTION("GOOGLETRANSLATE(B3133, ""zh"", ""en"")"),"Good quality, fried meat artifact! recommend! Buy fried steak with. Naked into the pot one hundred forty, with a certain time must remember to wear gloves. Weight is enough very heavy, so basically do not hand hold the pot. No coating each use to swipe oi"&amp;"l or prone to rust. If the wok is insufficient, we will definitely stick! There must not be used to fry an egg (do not ask how I know). . In short, or value for money. Fried steak out very beautiful!")</f>
        <v>Good quality, fried meat artifact! recommend! Buy fried steak with. Naked into the pot one hundred forty, with a certain time must remember to wear gloves. Weight is enough very heavy, so basically do not hand hold the pot. No coating each use to swipe oil or prone to rust. If the wok is insufficient, we will definitely stick! There must not be used to fry an egg (do not ask how I know). . In short, or value for money. Fried steak out very beautiful!</v>
      </c>
    </row>
    <row r="3134">
      <c r="A3134" s="1">
        <v>5.0</v>
      </c>
      <c r="B3134" s="1" t="s">
        <v>3124</v>
      </c>
      <c r="C3134" t="str">
        <f>IFERROR(__xludf.DUMMYFUNCTION("GOOGLETRANSLATE(B3134, ""zh"", ""en"")"),"Security is very fast and efficient, from the United States of just five days to just heavenly! Packaging is very solid, Amazon did not experience the problem, the charge is the use of magnetic type, very surprised, and very safe! If you buy one, I would "&amp;"buy a large capacity DC.")</f>
        <v>Security is very fast and efficient, from the United States of just five days to just heavenly! Packaging is very solid, Amazon did not experience the problem, the charge is the use of magnetic type, very surprised, and very safe! If you buy one, I would buy a large capacity DC.</v>
      </c>
    </row>
    <row r="3135">
      <c r="A3135" s="1">
        <v>5.0</v>
      </c>
      <c r="B3135" s="1" t="s">
        <v>3125</v>
      </c>
      <c r="C3135" t="str">
        <f>IFERROR(__xludf.DUMMYFUNCTION("GOOGLETRANSLATE(B3135, ""zh"", ""en"")"),"Something good, ease of use Korean, and usually bought for the baby to eat with, no smell, stainless steel liner can be directly heated in a microwave, the most fancy security of the brand, will continue to support, very good")</f>
        <v>Something good, ease of use Korean, and usually bought for the baby to eat with, no smell, stainless steel liner can be directly heated in a microwave, the most fancy security of the brand, will continue to support, very good</v>
      </c>
    </row>
    <row r="3136">
      <c r="A3136" s="1">
        <v>5.0</v>
      </c>
      <c r="B3136" s="1" t="s">
        <v>3126</v>
      </c>
      <c r="C3136" t="str">
        <f>IFERROR(__xludf.DUMMYFUNCTION("GOOGLETRANSLATE(B3136, ""zh"", ""en"")"),"Next will come back to buy, great really awesome, though other courier are suffering every day, but UPS courier service is really good, ah, not so bad on Baidu said, less than a week arrived , really super beautiful shoes, really really really! !")</f>
        <v>Next will come back to buy, great really awesome, though other courier are suffering every day, but UPS courier service is really good, ah, not so bad on Baidu said, less than a week arrived , really super beautiful shoes, really really really! !</v>
      </c>
    </row>
    <row r="3137">
      <c r="A3137" s="1">
        <v>5.0</v>
      </c>
      <c r="B3137" s="1" t="s">
        <v>3127</v>
      </c>
      <c r="C3137" t="str">
        <f>IFERROR(__xludf.DUMMYFUNCTION("GOOGLETRANSLATE(B3137, ""zh"", ""en"")"),"Glucosamine Move Free-dimensional super triple function joint supplements containing type II collagen, hyaluronic acid and the Boron ... for the first time, the general feeling")</f>
        <v>Glucosamine Move Free-dimensional super triple function joint supplements containing type II collagen, hyaluronic acid and the Boron ... for the first time, the general feeling</v>
      </c>
    </row>
    <row r="3138">
      <c r="A3138" s="1">
        <v>5.0</v>
      </c>
      <c r="B3138" s="1" t="s">
        <v>3128</v>
      </c>
      <c r="C3138" t="str">
        <f>IFERROR(__xludf.DUMMYFUNCTION("GOOGLETRANSLATE(B3138, ""zh"", ""en"")"),"Dual pants, shorts removable to buy the next day to go outside and play, 37-degree day, the first time I felt comfortable pants, non-stick body sun protection, like this brand, ready to start again, height 176, weight 85KG , waist circumference 2.9, buy L"&amp;", fit")</f>
        <v>Dual pants, shorts removable to buy the next day to go outside and play, 37-degree day, the first time I felt comfortable pants, non-stick body sun protection, like this brand, ready to start again, height 176, weight 85KG , waist circumference 2.9, buy L, fit</v>
      </c>
    </row>
    <row r="3139">
      <c r="A3139" s="1">
        <v>5.0</v>
      </c>
      <c r="B3139" s="1" t="s">
        <v>3129</v>
      </c>
      <c r="C3139" t="str">
        <f>IFERROR(__xludf.DUMMYFUNCTION("GOOGLETRANSLATE(B3139, ""zh"", ""en"")"),"Praise affordable, authentic licensed, fast logistics, praise!")</f>
        <v>Praise affordable, authentic licensed, fast logistics, praise!</v>
      </c>
    </row>
    <row r="3140">
      <c r="A3140" s="1">
        <v>5.0</v>
      </c>
      <c r="B3140" s="1" t="s">
        <v>3130</v>
      </c>
      <c r="C3140" t="str">
        <f>IFERROR(__xludf.DUMMYFUNCTION("GOOGLETRANSLATE(B3140, ""zh"", ""en"")"),"Slightly larger than 162cm, 65kg, L code slightly greater, M may be more suitable.")</f>
        <v>Slightly larger than 162cm, 65kg, L code slightly greater, M may be more suitable.</v>
      </c>
    </row>
    <row r="3141">
      <c r="A3141" s="1">
        <v>5.0</v>
      </c>
      <c r="B3141" s="1" t="s">
        <v>3131</v>
      </c>
      <c r="C3141" t="str">
        <f>IFERROR(__xludf.DUMMYFUNCTION("GOOGLETRANSLATE(B3141, ""zh"", ""en"")"),"Optimistic pacifier model easy to use, is to use a long time before we know too optimistic pacifier models")</f>
        <v>Optimistic pacifier model easy to use, is to use a long time before we know too optimistic pacifier models</v>
      </c>
    </row>
    <row r="3142">
      <c r="A3142" s="1">
        <v>5.0</v>
      </c>
      <c r="B3142" s="1" t="s">
        <v>3132</v>
      </c>
      <c r="C3142" t="str">
        <f>IFERROR(__xludf.DUMMYFUNCTION("GOOGLETRANSLATE(B3142, ""zh"", ""en"")"),"Fitness preferred Max Tektronix new superior best. Affordable, Max Tektronix new superior best. Fitness choice. This product is a high content of whey protein, branched chain amino acids, glutamine, creatine and other nutrients complete. Buyback worth rep"&amp;"eating. Recommended to buy. Thanks to Amazon.谢麦斯泰克 sense. Thanks to the seller.")</f>
        <v>Fitness preferred Max Tektronix new superior best. Affordable, Max Tektronix new superior best. Fitness choice. This product is a high content of whey protein, branched chain amino acids, glutamine, creatine and other nutrients complete. Buyback worth repeating. Recommended to buy. Thanks to Amazon.谢麦斯泰克 sense. Thanks to the seller.</v>
      </c>
    </row>
    <row r="3143">
      <c r="A3143" s="1">
        <v>2.0</v>
      </c>
      <c r="B3143" s="1" t="s">
        <v>3133</v>
      </c>
      <c r="C3143" t="str">
        <f>IFERROR(__xludf.DUMMYFUNCTION("GOOGLETRANSLATE(B3143, ""zh"", ""en"")"),"Do not expect to drink boiled hot cup of porridge, the net infused rice into them, add boiling water, over again, immediately drained together with water, like porridge made out of rubbish, no flavor taste, eggs, add boiling water the next day it is boile"&amp;"d well, I do not know the problem or question cup, forget it. When the mug with it, and I think the insulation effect is not good with the brand mug.")</f>
        <v>Do not expect to drink boiled hot cup of porridge, the net infused rice into them, add boiling water, over again, immediately drained together with water, like porridge made out of rubbish, no flavor taste, eggs, add boiling water the next day it is boiled well, I do not know the problem or question cup, forget it. When the mug with it, and I think the insulation effect is not good with the brand mug.</v>
      </c>
    </row>
    <row r="3144">
      <c r="A3144" s="1">
        <v>3.0</v>
      </c>
      <c r="B3144" s="1" t="s">
        <v>3134</v>
      </c>
      <c r="C3144" t="str">
        <f>IFERROR(__xludf.DUMMYFUNCTION("GOOGLETRANSLATE(B3144, ""zh"", ""en"")"),"The most objective and true comment boasts the most objective truth ,,,, Tell me what you see it: First of all, I just took out the machine from the box, the right-hand ring finger was iron filings on the machine, or call just crumbs, to tie to, because I"&amp;" had to give this a star, or if in a foreign country is not able to apply amazon, or compensation for the manufacturers of it. I was tied up, and saw the ring finger on the iron bar into the flesh, to be exact about 2-3 mm long. After a lingering fear, I "&amp;"carefully inspected the machine ,,, very incredible, really the only one steel scrap, only one, why I'm so lucky yet. . . . . . . But there are at least 3-5, margin coarsely dry, rowers do not know why manufacturers for high-end products, the factory does"&amp;" not verify or polished look. These rough dry place, although not cut hand, but still have to be very careful to use. The sheet pasta machine not forming die, but is punched out of a steel sheet, therefore there is an edge of the rower. Mold into a large,"&amp;" please be good polish factory. Because this really want to give a star, prior to the five-star friends, do not tell me, you do not have this problem, in view of the general can also be right, for each Samsung. For your reference, bought abroad, I do not "&amp;"bother to toss, pulls estimate is the same. You have to wait a very long time. Oh, you need to add that it is important, is pressed out of the noodles is good, the future buyer to reference, objectively, be objective oh")</f>
        <v>The most objective and true comment boasts the most objective truth ,,,, Tell me what you see it: First of all, I just took out the machine from the box, the right-hand ring finger was iron filings on the machine, or call just crumbs, to tie to, because I had to give this a star, or if in a foreign country is not able to apply amazon, or compensation for the manufacturers of it. I was tied up, and saw the ring finger on the iron bar into the flesh, to be exact about 2-3 mm long. After a lingering fear, I carefully inspected the machine ,,, very incredible, really the only one steel scrap, only one, why I'm so lucky yet. . . . . . . But there are at least 3-5, margin coarsely dry, rowers do not know why manufacturers for high-end products, the factory does not verify or polished look. These rough dry place, although not cut hand, but still have to be very careful to use. The sheet pasta machine not forming die, but is punched out of a steel sheet, therefore there is an edge of the rower. Mold into a large, please be good polish factory. Because this really want to give a star, prior to the five-star friends, do not tell me, you do not have this problem, in view of the general can also be right, for each Samsung. For your reference, bought abroad, I do not bother to toss, pulls estimate is the same. You have to wait a very long time. Oh, you need to add that it is important, is pressed out of the noodles is good, the future buyer to reference, objectively, be objective oh</v>
      </c>
    </row>
    <row r="3145">
      <c r="A3145" s="1">
        <v>3.0</v>
      </c>
      <c r="B3145" s="1" t="s">
        <v>3135</v>
      </c>
      <c r="C3145" t="str">
        <f>IFERROR(__xludf.DUMMYFUNCTION("GOOGLETRANSLATE(B3145, ""zh"", ""en"")"),"Black, Dema tourism, wearing lightweight, strong sense of grip, shopping satisfaction")</f>
        <v>Black, Dema tourism, wearing lightweight, strong sense of grip, shopping satisfaction</v>
      </c>
    </row>
    <row r="3146">
      <c r="A3146" s="1">
        <v>3.0</v>
      </c>
      <c r="B3146" s="1" t="s">
        <v>3136</v>
      </c>
      <c r="C3146" t="str">
        <f>IFERROR(__xludf.DUMMYFUNCTION("GOOGLETRANSLATE(B3146, ""zh"", ""en"")"),"Soft velvet love for the first time to wear off when, in cashmere, cotton like love out, not as good as the quality of the country, generally like it, who bought who regret")</f>
        <v>Soft velvet love for the first time to wear off when, in cashmere, cotton like love out, not as good as the quality of the country, generally like it, who bought who regret</v>
      </c>
    </row>
    <row r="3147">
      <c r="A3147" s="1">
        <v>1.0</v>
      </c>
      <c r="B3147" s="1" t="s">
        <v>3137</v>
      </c>
      <c r="C3147" t="str">
        <f>IFERROR(__xludf.DUMMYFUNCTION("GOOGLETRANSLATE(B3147, ""zh"", ""en"")"),"Broken not very happy. One to wear. Nail give wear a hole")</f>
        <v>Broken not very happy. One to wear. Nail give wear a hole</v>
      </c>
    </row>
    <row r="3148">
      <c r="A3148" s="1">
        <v>1.0</v>
      </c>
      <c r="B3148" s="1" t="s">
        <v>3138</v>
      </c>
      <c r="C3148" t="str">
        <f>IFERROR(__xludf.DUMMYFUNCTION("GOOGLETRANSLATE(B3148, ""zh"", ""en"")"),"On the product feels like a little accessories")</f>
        <v>On the product feels like a little accessories</v>
      </c>
    </row>
    <row r="3149">
      <c r="A3149" s="1">
        <v>4.0</v>
      </c>
      <c r="B3149" s="1" t="s">
        <v>3139</v>
      </c>
      <c r="C3149" t="str">
        <f>IFERROR(__xludf.DUMMYFUNCTION("GOOGLETRANSLATE(B3149, ""zh"", ""en"")"),"South 15 degrees can not compare antifreeze, 15-degree day with no wind or comfortable to wear, the length 168 can wear, not suitable for fat")</f>
        <v>South 15 degrees can not compare antifreeze, 15-degree day with no wind or comfortable to wear, the length 168 can wear, not suitable for fat</v>
      </c>
    </row>
    <row r="3150">
      <c r="A3150" s="1">
        <v>4.0</v>
      </c>
      <c r="B3150" s="1" t="s">
        <v>3140</v>
      </c>
      <c r="C3150" t="str">
        <f>IFERROR(__xludf.DUMMYFUNCTION("GOOGLETRANSLATE(B3150, ""zh"", ""en"")"),"Received the body, Aberdeen taste Height 178 weight 75kg, just inside a T-shirt to wear a close body type, the thin cloth, wash a water color correction, origin Bangladesh, work in general, wood china made good, in the right side imports bag has a pull th"&amp;"inly place, what will pull broken, this is mainly to buy style, good upper body full of flavor Aberdeen")</f>
        <v>Received the body, Aberdeen taste Height 178 weight 75kg, just inside a T-shirt to wear a close body type, the thin cloth, wash a water color correction, origin Bangladesh, work in general, wood china made good, in the right side imports bag has a pull thinly place, what will pull broken, this is mainly to buy style, good upper body full of flavor Aberdeen</v>
      </c>
    </row>
    <row r="3151">
      <c r="A3151" s="1">
        <v>4.0</v>
      </c>
      <c r="B3151" s="1" t="s">
        <v>3141</v>
      </c>
      <c r="C3151" t="str">
        <f>IFERROR(__xludf.DUMMYFUNCTION("GOOGLETRANSLATE(B3151, ""zh"", ""en"")"),"It can also stuff height 178, weight 78 selected M code just right, but in front of some wrinkles, just exactly the publicity plan, a real person to wear these wrinkles there is still the same. But the fabric is very comfortable. . .")</f>
        <v>It can also stuff height 178, weight 78 selected M code just right, but in front of some wrinkles, just exactly the publicity plan, a real person to wear these wrinkles there is still the same. But the fabric is very comfortable. . .</v>
      </c>
    </row>
    <row r="3152">
      <c r="A3152" s="1">
        <v>4.0</v>
      </c>
      <c r="B3152" s="1" t="s">
        <v>3142</v>
      </c>
      <c r="C3152" t="str">
        <f>IFERROR(__xludf.DUMMYFUNCTION("GOOGLETRANSLATE(B3152, ""zh"", ""en"")"),"Hose and cord housing is the only sub-minus, the other very good amount of steam is very good, compared to the comments section recommended upon-Avon, Avon feeling harness and steam pipes can recover to a more convenient storage, but Braun style red dot A"&amp;"wards did not have to say, silver and black relatively tough. No instructions in Chinese, the water I did not know how to engage. Special also ran Dea Dea see the comments on a translator, Tefal buy Duobo Lang buy less but very Duote Fu said some models b"&amp;"ought a second-year quality about her. Finally bought a red dot design award, previously only ironed hanging ironing, it will not use, I feel better with the ironing board use")</f>
        <v>Hose and cord housing is the only sub-minus, the other very good amount of steam is very good, compared to the comments section recommended upon-Avon, Avon feeling harness and steam pipes can recover to a more convenient storage, but Braun style red dot Awards did not have to say, silver and black relatively tough. No instructions in Chinese, the water I did not know how to engage. Special also ran Dea Dea see the comments on a translator, Tefal buy Duobo Lang buy less but very Duote Fu said some models bought a second-year quality about her. Finally bought a red dot design award, previously only ironed hanging ironing, it will not use, I feel better with the ironing board use</v>
      </c>
    </row>
    <row r="3153">
      <c r="A3153" s="1">
        <v>4.0</v>
      </c>
      <c r="B3153" s="1" t="s">
        <v>3143</v>
      </c>
      <c r="C3153" t="str">
        <f>IFERROR(__xludf.DUMMYFUNCTION("GOOGLETRANSLATE(B3153, ""zh"", ""en"")"),"Size is too large, hard soles can pad insoles for added comfort to buy time to pay attention to size, this shoe is too large. The sole is relatively hard, buy a bigger cushion insoles can be more comfortable.")</f>
        <v>Size is too large, hard soles can pad insoles for added comfort to buy time to pay attention to size, this shoe is too large. The sole is relatively hard, buy a bigger cushion insoles can be more comfortable.</v>
      </c>
    </row>
    <row r="3154">
      <c r="A3154" s="1">
        <v>5.0</v>
      </c>
      <c r="B3154" s="1" t="s">
        <v>3144</v>
      </c>
      <c r="C3154" t="str">
        <f>IFERROR(__xludf.DUMMYFUNCTION("GOOGLETRANSLATE(B3154, ""zh"", ""en"")"),"Monroe appropriate money, the color is very good, the version is always, well, buy a shorter length just right, do not go to cut short the process, some of the soft fabrics than expected, very satisfied.")</f>
        <v>Monroe appropriate money, the color is very good, the version is always, well, buy a shorter length just right, do not go to cut short the process, some of the soft fabrics than expected, very satisfied.</v>
      </c>
    </row>
    <row r="3155">
      <c r="A3155" s="1">
        <v>5.0</v>
      </c>
      <c r="B3155" s="1" t="s">
        <v>3145</v>
      </c>
      <c r="C3155" t="str">
        <f>IFERROR(__xludf.DUMMYFUNCTION("GOOGLETRANSLATE(B3155, ""zh"", ""en"")"),"Good things, to recommend! A large full bottles, stored at room temperature, once a day, eat dinner, feel good! Open the cover of time to pull up a little bit!")</f>
        <v>Good things, to recommend! A large full bottles, stored at room temperature, once a day, eat dinner, feel good! Open the cover of time to pull up a little bit!</v>
      </c>
    </row>
    <row r="3156">
      <c r="A3156" s="1">
        <v>5.0</v>
      </c>
      <c r="B3156" s="1" t="s">
        <v>3146</v>
      </c>
      <c r="C3156" t="str">
        <f>IFERROR(__xludf.DUMMYFUNCTION("GOOGLETRANSLATE(B3156, ""zh"", ""en"")"),"GUNZE Gunze underwear Tuche INTIMATE wore skin-care products 8 points sleeve 100% cotton ... good quality and fine workmanship. It will buy the.")</f>
        <v>GUNZE Gunze underwear Tuche INTIMATE wore skin-care products 8 points sleeve 100% cotton ... good quality and fine workmanship. It will buy the.</v>
      </c>
    </row>
    <row r="3157">
      <c r="A3157" s="1">
        <v>5.0</v>
      </c>
      <c r="B3157" s="1" t="s">
        <v>3147</v>
      </c>
      <c r="C3157" t="str">
        <f>IFERROR(__xludf.DUMMYFUNCTION("GOOGLETRANSLATE(B3157, ""zh"", ""en"")"),"So fast so fast so fast so fast so fast so fast")</f>
        <v>So fast so fast so fast so fast so fast so fast</v>
      </c>
    </row>
    <row r="3158">
      <c r="A3158" s="1">
        <v>5.0</v>
      </c>
      <c r="B3158" s="1" t="s">
        <v>3148</v>
      </c>
      <c r="C3158" t="str">
        <f>IFERROR(__xludf.DUMMYFUNCTION("GOOGLETRANSLATE(B3158, ""zh"", ""en"")"),"Good 182 high-68KG, M suitable")</f>
        <v>Good 182 high-68KG, M suitable</v>
      </c>
    </row>
    <row r="3159">
      <c r="A3159" s="1">
        <v>5.0</v>
      </c>
      <c r="B3159" s="1" t="s">
        <v>3149</v>
      </c>
      <c r="C3159" t="str">
        <f>IFERROR(__xludf.DUMMYFUNCTION("GOOGLETRANSLATE(B3159, ""zh"", ""en"")"),"Lord listen to rock, then it must be 600CNY price! Transient really good ah! So exciting the people to follow straight up and down, rock artifact, feeling very, very worth the price, but I think it's 1300 domestic sales of the top. The street is cool, som"&amp;"etimes even contempt perverse beats😂 drawback is slightly smaller headphones, the bulk of the baby this time I can not be cool for a long time. Before buying the best player to see or not to support aptx, not to blame when the headset sound quality is po"&amp;"or 👎")</f>
        <v>Lord listen to rock, then it must be 600CNY price! Transient really good ah! So exciting the people to follow straight up and down, rock artifact, feeling very, very worth the price, but I think it's 1300 domestic sales of the top. The street is cool, sometimes even contempt perverse beats😂 drawback is slightly smaller headphones, the bulk of the baby this time I can not be cool for a long time. Before buying the best player to see or not to support aptx, not to blame when the headset sound quality is poor 👎</v>
      </c>
    </row>
    <row r="3160">
      <c r="A3160" s="1">
        <v>5.0</v>
      </c>
      <c r="B3160" s="1" t="s">
        <v>3150</v>
      </c>
      <c r="C3160" t="str">
        <f>IFERROR(__xludf.DUMMYFUNCTION("GOOGLETRANSLATE(B3160, ""zh"", ""en"")"),"Personal wild underwear skin wear underwear, very comfortable, size is just right. Very good.")</f>
        <v>Personal wild underwear skin wear underwear, very comfortable, size is just right. Very good.</v>
      </c>
    </row>
    <row r="3161">
      <c r="A3161" s="1">
        <v>5.0</v>
      </c>
      <c r="B3161" s="1" t="s">
        <v>3151</v>
      </c>
      <c r="C3161" t="str">
        <f>IFERROR(__xludf.DUMMYFUNCTION("GOOGLETRANSLATE(B3161, ""zh"", ""en"")"),"Bag bag temperament can be really very edge of the eye, hoping to get a good experience, thank you!")</f>
        <v>Bag bag temperament can be really very edge of the eye, hoping to get a good experience, thank you!</v>
      </c>
    </row>
    <row r="3162">
      <c r="A3162" s="1">
        <v>5.0</v>
      </c>
      <c r="B3162" s="1" t="s">
        <v>3152</v>
      </c>
      <c r="C3162" t="str">
        <f>IFERROR(__xludf.DUMMYFUNCTION("GOOGLETRANSLATE(B3162, ""zh"", ""en"")"),"Very good, high cost, very good, high cost")</f>
        <v>Very good, high cost, very good, high cost</v>
      </c>
    </row>
    <row r="3163">
      <c r="A3163" s="1">
        <v>5.0</v>
      </c>
      <c r="B3163" s="1" t="s">
        <v>3153</v>
      </c>
      <c r="C3163" t="str">
        <f>IFERROR(__xludf.DUMMYFUNCTION("GOOGLETRANSLATE(B3163, ""zh"", ""en"")"),"Very good, very convenient genuine, packaging essential food supplement!")</f>
        <v>Very good, very convenient genuine, packaging essential food supplement!</v>
      </c>
    </row>
    <row r="3164">
      <c r="A3164" s="1">
        <v>5.0</v>
      </c>
      <c r="B3164" s="1" t="s">
        <v>3154</v>
      </c>
      <c r="C3164" t="str">
        <f>IFERROR(__xludf.DUMMYFUNCTION("GOOGLETRANSLATE(B3164, ""zh"", ""en"")"),"Store something good conscience, the courier is to force a praise Zile, thank you store!")</f>
        <v>Store something good conscience, the courier is to force a praise Zile, thank you store!</v>
      </c>
    </row>
    <row r="3165">
      <c r="A3165" s="1">
        <v>5.0</v>
      </c>
      <c r="B3165" s="1" t="s">
        <v>3155</v>
      </c>
      <c r="C3165" t="str">
        <f>IFERROR(__xludf.DUMMYFUNCTION("GOOGLETRANSLATE(B3165, ""zh"", ""en"")"),"Tariffs not get to know for the first time in the Amazon sea Amoy, packaging is very simple, things intact. There are no taxes and no one informed me, this is a little strange.")</f>
        <v>Tariffs not get to know for the first time in the Amazon sea Amoy, packaging is very simple, things intact. There are no taxes and no one informed me, this is a little strange.</v>
      </c>
    </row>
    <row r="3166">
      <c r="A3166" s="1">
        <v>5.0</v>
      </c>
      <c r="B3166" s="1" t="s">
        <v>3156</v>
      </c>
      <c r="C3166" t="str">
        <f>IFERROR(__xludf.DUMMYFUNCTION("GOOGLETRANSLATE(B3166, ""zh"", ""en"")"),"it is good! it is good! it is good! awesome! Feel, sometimes very good.")</f>
        <v>it is good! it is good! it is good! awesome! Feel, sometimes very good.</v>
      </c>
    </row>
    <row r="3167">
      <c r="A3167" s="1">
        <v>5.0</v>
      </c>
      <c r="B3167" s="1" t="s">
        <v>3157</v>
      </c>
      <c r="C3167" t="str">
        <f>IFERROR(__xludf.DUMMYFUNCTION("GOOGLETRANSLATE(B3167, ""zh"", ""en"")"),"Quality is very easy to choose the size does not necessarily fit the height, I use the data strobe waist size is very fit, my waistline is 90CM, after the election 32W * 34L jeans very fit, good material, workmanship Ye Hao, logistics is also fast, a very"&amp;" pleasant shopping experience, Amazon do not want to narrow China's business")</f>
        <v>Quality is very easy to choose the size does not necessarily fit the height, I use the data strobe waist size is very fit, my waistline is 90CM, after the election 32W * 34L jeans very fit, good material, workmanship Ye Hao, logistics is also fast, a very pleasant shopping experience, Amazon do not want to narrow China's business</v>
      </c>
    </row>
    <row r="3168">
      <c r="A3168" s="1">
        <v>5.0</v>
      </c>
      <c r="B3168" s="1" t="s">
        <v>3158</v>
      </c>
      <c r="C3168" t="str">
        <f>IFERROR(__xludf.DUMMYFUNCTION("GOOGLETRANSLATE(B3168, ""zh"", ""en"")"),"Fast fast, direct mail in Germany. Just do not know the power plug can be used directly or need to buy a converter can be used.")</f>
        <v>Fast fast, direct mail in Germany. Just do not know the power plug can be used directly or need to buy a converter can be used.</v>
      </c>
    </row>
    <row r="3169">
      <c r="A3169" s="1">
        <v>5.0</v>
      </c>
      <c r="B3169" s="1" t="s">
        <v>3159</v>
      </c>
      <c r="C3169" t="str">
        <f>IFERROR(__xludf.DUMMYFUNCTION("GOOGLETRANSLATE(B3169, ""zh"", ""en"")"),"4.54TB the price is right, more compact packaging intact, 4.54TB available, not bad")</f>
        <v>4.54TB the price is right, more compact packaging intact, 4.54TB available, not bad</v>
      </c>
    </row>
    <row r="3170">
      <c r="A3170" s="1">
        <v>5.0</v>
      </c>
      <c r="B3170" s="1" t="s">
        <v>3160</v>
      </c>
      <c r="C3170" t="str">
        <f>IFERROR(__xludf.DUMMYFUNCTION("GOOGLETRANSLATE(B3170, ""zh"", ""en"")"),"I like very good, a good sound card you must")</f>
        <v>I like very good, a good sound card you must</v>
      </c>
    </row>
    <row r="3171">
      <c r="A3171" s="1">
        <v>5.0</v>
      </c>
      <c r="B3171" s="1" t="s">
        <v>3161</v>
      </c>
      <c r="C3171" t="str">
        <f>IFERROR(__xludf.DUMMYFUNCTION("GOOGLETRANSLATE(B3171, ""zh"", ""en"")"),"Experience wife supplies. Pay attention to safety and health. Wife like to use this brand, comfortable and at ease.")</f>
        <v>Experience wife supplies. Pay attention to safety and health. Wife like to use this brand, comfortable and at ease.</v>
      </c>
    </row>
    <row r="3172">
      <c r="A3172" s="1">
        <v>5.0</v>
      </c>
      <c r="B3172" s="1" t="s">
        <v>3162</v>
      </c>
      <c r="C3172" t="str">
        <f>IFERROR(__xludf.DUMMYFUNCTION("GOOGLETRANSLATE(B3172, ""zh"", ""en"")"),"Dema, as always, good soft close, very fit. Fitness equipment has been Dema")</f>
        <v>Dema, as always, good soft close, very fit. Fitness equipment has been Dema</v>
      </c>
    </row>
    <row r="3173">
      <c r="A3173" s="1">
        <v>5.0</v>
      </c>
      <c r="B3173" s="1" t="s">
        <v>3163</v>
      </c>
      <c r="C3173" t="str">
        <f>IFERROR(__xludf.DUMMYFUNCTION("GOOGLETRANSLATE(B3173, ""zh"", ""en"")"),"I enjoyed very good 👍")</f>
        <v>I enjoyed very good 👍</v>
      </c>
    </row>
    <row r="3174">
      <c r="A3174" s="1">
        <v>5.0</v>
      </c>
      <c r="B3174" s="1" t="s">
        <v>3164</v>
      </c>
      <c r="C3174" t="str">
        <f>IFERROR(__xludf.DUMMYFUNCTION("GOOGLETRANSLATE(B3174, ""zh"", ""en"")"),"Something good, that is, the United States shipped over a box, too much damage. Brush good, generous and practical, there is a hand-carry even more perfect. It is packaging product protection, urgent need to strengthen, so sorry this product up! ! ! ! ! !"&amp;" !")</f>
        <v>Something good, that is, the United States shipped over a box, too much damage. Brush good, generous and practical, there is a hand-carry even more perfect. It is packaging product protection, urgent need to strengthen, so sorry this product up! ! ! ! ! ! !</v>
      </c>
    </row>
    <row r="3175">
      <c r="A3175" s="1">
        <v>2.0</v>
      </c>
      <c r="B3175" s="1" t="s">
        <v>3165</v>
      </c>
      <c r="C3175" t="str">
        <f>IFERROR(__xludf.DUMMYFUNCTION("GOOGLETRANSLATE(B3175, ""zh"", ""en"")"),"Jeans this version might not really suitable for Chinese people across the loosely collapse")</f>
        <v>Jeans this version might not really suitable for Chinese people across the loosely collapse</v>
      </c>
    </row>
    <row r="3176">
      <c r="A3176" s="1">
        <v>3.0</v>
      </c>
      <c r="B3176" s="1" t="s">
        <v>3166</v>
      </c>
      <c r="C3176" t="str">
        <f>IFERROR(__xludf.DUMMYFUNCTION("GOOGLETRANSLATE(B3176, ""zh"", ""en"")"),"Headphones anterior thrust requirements are too high, the general feeling.")</f>
        <v>Headphones anterior thrust requirements are too high, the general feeling.</v>
      </c>
    </row>
    <row r="3177">
      <c r="A3177" s="1">
        <v>3.0</v>
      </c>
      <c r="B3177" s="1" t="s">
        <v>3167</v>
      </c>
      <c r="C3177" t="str">
        <f>IFERROR(__xludf.DUMMYFUNCTION("GOOGLETRANSLATE(B3177, ""zh"", ""en"")"),"Small 172 / 67kg, s code small, but rather long sleeves. Returns strenuous.")</f>
        <v>Small 172 / 67kg, s code small, but rather long sleeves. Returns strenuous.</v>
      </c>
    </row>
    <row r="3178">
      <c r="A3178" s="1">
        <v>1.0</v>
      </c>
      <c r="B3178" s="1" t="s">
        <v>3168</v>
      </c>
      <c r="C3178" t="str">
        <f>IFERROR(__xludf.DUMMYFUNCTION("GOOGLETRANSLATE(B3178, ""zh"", ""en"")"),"Foreign garbage this is obviously old clothes, garbage, even if there is no tag on the clothes there are obvious traces of oil, an Indian fox odor, returns.")</f>
        <v>Foreign garbage this is obviously old clothes, garbage, even if there is no tag on the clothes there are obvious traces of oil, an Indian fox odor, returns.</v>
      </c>
    </row>
    <row r="3179">
      <c r="A3179" s="1">
        <v>1.0</v>
      </c>
      <c r="B3179" s="1" t="s">
        <v>3169</v>
      </c>
      <c r="C3179" t="str">
        <f>IFERROR(__xludf.DUMMYFUNCTION("GOOGLETRANSLATE(B3179, ""zh"", ""en"")"),"Pilling serious, not recommended to buy poor quality, the surface of the ball from the serious, wearing a day or two to have a local pilling outer wear can not, affect the appearance of the point. Not recommended to buy.")</f>
        <v>Pilling serious, not recommended to buy poor quality, the surface of the ball from the serious, wearing a day or two to have a local pilling outer wear can not, affect the appearance of the point. Not recommended to buy.</v>
      </c>
    </row>
    <row r="3180">
      <c r="A3180" s="1">
        <v>1.0</v>
      </c>
      <c r="B3180" s="1" t="s">
        <v>3170</v>
      </c>
      <c r="C3180" t="str">
        <f>IFERROR(__xludf.DUMMYFUNCTION("GOOGLETRANSLATE(B3180, ""zh"", ""en"")"),"Defective products, can not contact the after-sale clothes injury, defective products")</f>
        <v>Defective products, can not contact the after-sale clothes injury, defective products</v>
      </c>
    </row>
    <row r="3181">
      <c r="A3181" s="1">
        <v>4.0</v>
      </c>
      <c r="B3181" s="1" t="s">
        <v>3171</v>
      </c>
      <c r="C3181" t="str">
        <f>IFERROR(__xludf.DUMMYFUNCTION("GOOGLETRANSLATE(B3181, ""zh"", ""en"")"),"Quality is very good buy smaller, but also blame she has gained weight, she does not blame bad clothes, good quality")</f>
        <v>Quality is very good buy smaller, but also blame she has gained weight, she does not blame bad clothes, good quality</v>
      </c>
    </row>
    <row r="3182">
      <c r="A3182" s="1">
        <v>4.0</v>
      </c>
      <c r="B3182" s="1" t="s">
        <v>3172</v>
      </c>
      <c r="C3182" t="str">
        <f>IFERROR(__xludf.DUMMYFUNCTION("GOOGLETRANSLATE(B3182, ""zh"", ""en"")"),"Clean and transparent sound quality. Good quality, the sound is very neutral, no rendering, sound values ​​of five stars. Just can not fold, convenient travel.")</f>
        <v>Clean and transparent sound quality. Good quality, the sound is very neutral, no rendering, sound values ​​of five stars. Just can not fold, convenient travel.</v>
      </c>
    </row>
    <row r="3183">
      <c r="A3183" s="1">
        <v>4.0</v>
      </c>
      <c r="B3183" s="1" t="s">
        <v>3173</v>
      </c>
      <c r="C3183" t="str">
        <f>IFERROR(__xludf.DUMMYFUNCTION("GOOGLETRANSLATE(B3183, ""zh"", ""en"")"),"Size is not the standard size too small")</f>
        <v>Size is not the standard size too small</v>
      </c>
    </row>
    <row r="3184">
      <c r="A3184" s="1">
        <v>4.0</v>
      </c>
      <c r="B3184" s="1" t="s">
        <v>3174</v>
      </c>
      <c r="C3184" t="str">
        <f>IFERROR(__xludf.DUMMYFUNCTION("GOOGLETRANSLATE(B3184, ""zh"", ""en"")"),"Good price and quality are good quality, great texture cortex, the right size, feel a little bit low heel shoes in the end, a kind of high to low feeling, I do not know whether this design.")</f>
        <v>Good price and quality are good quality, great texture cortex, the right size, feel a little bit low heel shoes in the end, a kind of high to low feeling, I do not know whether this design.</v>
      </c>
    </row>
    <row r="3185">
      <c r="A3185" s="1">
        <v>4.0</v>
      </c>
      <c r="B3185" s="1" t="s">
        <v>3175</v>
      </c>
      <c r="C3185" t="str">
        <f>IFERROR(__xludf.DUMMYFUNCTION("GOOGLETRANSLATE(B3185, ""zh"", ""en"")"),"This pen is purchased abroad, overseas do not pay attention to packaging ah, so filled with random, we are not afraid of losing ah, no gift box and pencil case, a little disappointed, packaging is also too casual, like a pencil cases are pressed into. Pen"&amp;" lighter. This is to give as gifts, somewhat embarrassed, like fake")</f>
        <v>This pen is purchased abroad, overseas do not pay attention to packaging ah, so filled with random, we are not afraid of losing ah, no gift box and pencil case, a little disappointed, packaging is also too casual, like a pencil cases are pressed into. Pen lighter. This is to give as gifts, somewhat embarrassed, like fake</v>
      </c>
    </row>
    <row r="3186">
      <c r="A3186" s="1">
        <v>5.0</v>
      </c>
      <c r="B3186" s="1" t="s">
        <v>3176</v>
      </c>
      <c r="C3186" t="str">
        <f>IFERROR(__xludf.DUMMYFUNCTION("GOOGLETRANSLATE(B3186, ""zh"", ""en"")"),"Coenzyme Q10, I believe Levin and Crafts United States. Buy eating again, you can feel! Logistics is more than half a month to a month before.")</f>
        <v>Coenzyme Q10, I believe Levin and Crafts United States. Buy eating again, you can feel! Logistics is more than half a month to a month before.</v>
      </c>
    </row>
    <row r="3187">
      <c r="A3187" s="1">
        <v>5.0</v>
      </c>
      <c r="B3187" s="1" t="s">
        <v>3177</v>
      </c>
      <c r="C3187" t="str">
        <f>IFERROR(__xludf.DUMMYFUNCTION("GOOGLETRANSLATE(B3187, ""zh"", ""en"")"),"Moisturizing, very good, no incense, very moist, give your baby with good results")</f>
        <v>Moisturizing, very good, no incense, very moist, give your baby with good results</v>
      </c>
    </row>
    <row r="3188">
      <c r="A3188" s="1">
        <v>5.0</v>
      </c>
      <c r="B3188" s="1" t="s">
        <v>3178</v>
      </c>
      <c r="C3188" t="str">
        <f>IFERROR(__xludf.DUMMYFUNCTION("GOOGLETRANSLATE(B3188, ""zh"", ""en"")"),"Give as gifts to give as gifts, I did not know good or bad, but look very good")</f>
        <v>Give as gifts to give as gifts, I did not know good or bad, but look very good</v>
      </c>
    </row>
    <row r="3189">
      <c r="A3189" s="1">
        <v>5.0</v>
      </c>
      <c r="B3189" s="1" t="s">
        <v>3179</v>
      </c>
      <c r="C3189" t="str">
        <f>IFERROR(__xludf.DUMMYFUNCTION("GOOGLETRANSLATE(B3189, ""zh"", ""en"")"),"Every year to buy, cheap and comfortable this every year to buy, cheap and comfortable")</f>
        <v>Every year to buy, cheap and comfortable this every year to buy, cheap and comfortable</v>
      </c>
    </row>
    <row r="3190">
      <c r="A3190" s="1">
        <v>5.0</v>
      </c>
      <c r="B3190" s="1" t="s">
        <v>3180</v>
      </c>
      <c r="C3190" t="str">
        <f>IFERROR(__xludf.DUMMYFUNCTION("GOOGLETRANSLATE(B3190, ""zh"", ""en"")"),"Recommended to buy a cup great texture, light and easy to carry, effective insulation, Nichia direct mail, praise, we recommended to buy.")</f>
        <v>Recommended to buy a cup great texture, light and easy to carry, effective insulation, Nichia direct mail, praise, we recommended to buy.</v>
      </c>
    </row>
    <row r="3191">
      <c r="A3191" s="1">
        <v>5.0</v>
      </c>
      <c r="B3191" s="1" t="s">
        <v>3181</v>
      </c>
      <c r="C3191" t="str">
        <f>IFERROR(__xludf.DUMMYFUNCTION("GOOGLETRANSLATE(B3191, ""zh"", ""en"")"),"Very satisfied with the quality of good, cheap, fast delivery. Products and services are very satisfied.")</f>
        <v>Very satisfied with the quality of good, cheap, fast delivery. Products and services are very satisfied.</v>
      </c>
    </row>
    <row r="3192">
      <c r="A3192" s="1">
        <v>5.0</v>
      </c>
      <c r="B3192" s="1" t="s">
        <v>3182</v>
      </c>
      <c r="C3192" t="str">
        <f>IFERROR(__xludf.DUMMYFUNCTION("GOOGLETRANSLATE(B3192, ""zh"", ""en"")"),"Good shoes to wear comfortable, looks very nice")</f>
        <v>Good shoes to wear comfortable, looks very nice</v>
      </c>
    </row>
    <row r="3193">
      <c r="A3193" s="1">
        <v>5.0</v>
      </c>
      <c r="B3193" s="1" t="s">
        <v>3183</v>
      </c>
      <c r="C3193" t="str">
        <f>IFERROR(__xludf.DUMMYFUNCTION("GOOGLETRANSLATE(B3193, ""zh"", ""en"")"),"Nice easy stuff super useful coffee machine, can easily and quickly soak a good cup of coffee, you do not need cleaning.")</f>
        <v>Nice easy stuff super useful coffee machine, can easily and quickly soak a good cup of coffee, you do not need cleaning.</v>
      </c>
    </row>
    <row r="3194">
      <c r="A3194" s="1">
        <v>5.0</v>
      </c>
      <c r="B3194" s="1" t="s">
        <v>3184</v>
      </c>
      <c r="C3194" t="str">
        <f>IFERROR(__xludf.DUMMYFUNCTION("GOOGLETRANSLATE(B3194, ""zh"", ""en"")"),"Very satisfied very much like satisfaction is overpaid, low price of some of those too impatient to start again")</f>
        <v>Very satisfied very much like satisfaction is overpaid, low price of some of those too impatient to start again</v>
      </c>
    </row>
    <row r="3195">
      <c r="A3195" s="1">
        <v>5.0</v>
      </c>
      <c r="B3195" s="1" t="s">
        <v>3185</v>
      </c>
      <c r="C3195" t="str">
        <f>IFERROR(__xludf.DUMMYFUNCTION("GOOGLETRANSLATE(B3195, ""zh"", ""en"")"),"Good to see the comments of others only see a sense of integration activities to honor a missed eleven one hundred million to buy too many comments but simply to replicate these words to good")</f>
        <v>Good to see the comments of others only see a sense of integration activities to honor a missed eleven one hundred million to buy too many comments but simply to replicate these words to good</v>
      </c>
    </row>
    <row r="3196">
      <c r="A3196" s="1">
        <v>5.0</v>
      </c>
      <c r="B3196" s="1" t="s">
        <v>3186</v>
      </c>
      <c r="C3196" t="str">
        <f>IFERROR(__xludf.DUMMYFUNCTION("GOOGLETRANSLATE(B3196, ""zh"", ""en"")"),"Maroon maroon nice to pick a good hhh, feel quite stick")</f>
        <v>Maroon maroon nice to pick a good hhh, feel quite stick</v>
      </c>
    </row>
    <row r="3197">
      <c r="A3197" s="1">
        <v>5.0</v>
      </c>
      <c r="B3197" s="1" t="s">
        <v>3187</v>
      </c>
      <c r="C3197" t="str">
        <f>IFERROR(__xludf.DUMMYFUNCTION("GOOGLETRANSLATE(B3197, ""zh"", ""en"")"),"Satisfaction and his wife to buy the same as before, good to wear, durable, wear this underwear I do not want to wear anything else")</f>
        <v>Satisfaction and his wife to buy the same as before, good to wear, durable, wear this underwear I do not want to wear anything else</v>
      </c>
    </row>
    <row r="3198">
      <c r="A3198" s="1">
        <v>5.0</v>
      </c>
      <c r="B3198" s="1" t="s">
        <v>3188</v>
      </c>
      <c r="C3198" t="str">
        <f>IFERROR(__xludf.DUMMYFUNCTION("GOOGLETRANSLATE(B3198, ""zh"", ""en"")"),"it is good! No. 20 order, received today! And really easy to use! Bristles are soft and thin, large area of ​​brush, brush feels very clean!")</f>
        <v>it is good! No. 20 order, received today! And really easy to use! Bristles are soft and thin, large area of ​​brush, brush feels very clean!</v>
      </c>
    </row>
    <row r="3199">
      <c r="A3199" s="1">
        <v>5.0</v>
      </c>
      <c r="B3199" s="1" t="s">
        <v>3189</v>
      </c>
      <c r="C3199" t="str">
        <f>IFERROR(__xludf.DUMMYFUNCTION("GOOGLETRANSLATE(B3199, ""zh"", ""en"")"),"Texture is also good, that is a little short")</f>
        <v>Texture is also good, that is a little short</v>
      </c>
    </row>
    <row r="3200">
      <c r="A3200" s="1">
        <v>5.0</v>
      </c>
      <c r="B3200" s="1" t="s">
        <v>3190</v>
      </c>
      <c r="C3200" t="str">
        <f>IFERROR(__xludf.DUMMYFUNCTION("GOOGLETRANSLATE(B3200, ""zh"", ""en"")"),"Superb addition to calcium tablets too outside, nothing bad, 250, day two, you can eat more than one hundred days")</f>
        <v>Superb addition to calcium tablets too outside, nothing bad, 250, day two, you can eat more than one hundred days</v>
      </c>
    </row>
    <row r="3201">
      <c r="A3201" s="1">
        <v>5.0</v>
      </c>
      <c r="B3201" s="1" t="s">
        <v>3191</v>
      </c>
      <c r="C3201" t="str">
        <f>IFERROR(__xludf.DUMMYFUNCTION("GOOGLETRANSLATE(B3201, ""zh"", ""en"")"),"Very suitable for very good time shopping, would have to worry about buying big, after receiving a surprise, especially the right, and not what is being said foot wear, perfect")</f>
        <v>Very suitable for very good time shopping, would have to worry about buying big, after receiving a surprise, especially the right, and not what is being said foot wear, perfect</v>
      </c>
    </row>
    <row r="3202">
      <c r="A3202" s="1">
        <v>5.0</v>
      </c>
      <c r="B3202" s="1" t="s">
        <v>3192</v>
      </c>
      <c r="C3202" t="str">
        <f>IFERROR(__xludf.DUMMYFUNCTION("GOOGLETRANSLATE(B3202, ""zh"", ""en"")"),"Trusted trusted")</f>
        <v>Trusted trusted</v>
      </c>
    </row>
    <row r="3203">
      <c r="A3203" s="1">
        <v>5.0</v>
      </c>
      <c r="B3203" s="1" t="s">
        <v>3193</v>
      </c>
      <c r="C3203" t="str">
        <f>IFERROR(__xludf.DUMMYFUNCTION("GOOGLETRANSLATE(B3203, ""zh"", ""en"")"),"Cost-effective cost-effective to buy a total of three bags, a package plan is a cut, but not even a bar")</f>
        <v>Cost-effective cost-effective to buy a total of three bags, a package plan is a cut, but not even a bar</v>
      </c>
    </row>
    <row r="3204">
      <c r="A3204" s="1">
        <v>5.0</v>
      </c>
      <c r="B3204" s="1" t="s">
        <v>3194</v>
      </c>
      <c r="C3204" t="str">
        <f>IFERROR(__xludf.DUMMYFUNCTION("GOOGLETRANSLATE(B3204, ""zh"", ""en"")"),"Something good something good, but the price is too expensive, but worth it.")</f>
        <v>Something good something good, but the price is too expensive, but worth it.</v>
      </c>
    </row>
    <row r="3205">
      <c r="A3205" s="1">
        <v>5.0</v>
      </c>
      <c r="B3205" s="1" t="s">
        <v>3195</v>
      </c>
      <c r="C3205" t="str">
        <f>IFERROR(__xludf.DUMMYFUNCTION("GOOGLETRANSLATE(B3205, ""zh"", ""en"")"),"I believe Pigeon Pigeon believe, something good")</f>
        <v>I believe Pigeon Pigeon believe, something good</v>
      </c>
    </row>
    <row r="3206">
      <c r="A3206" s="1">
        <v>5.0</v>
      </c>
      <c r="B3206" s="1" t="s">
        <v>3196</v>
      </c>
      <c r="C3206" t="str">
        <f>IFERROR(__xludf.DUMMYFUNCTION("GOOGLETRANSLATE(B3206, ""zh"", ""en"")"),"Suitable relatively fit")</f>
        <v>Suitable relatively fit</v>
      </c>
    </row>
    <row r="3207">
      <c r="A3207" s="1">
        <v>5.0</v>
      </c>
      <c r="B3207" s="1" t="s">
        <v>3197</v>
      </c>
      <c r="C3207" t="str">
        <f>IFERROR(__xludf.DUMMYFUNCTION("GOOGLETRANSLATE(B3207, ""zh"", ""en"")"),"White shoes good shoes are very light, leather can also be")</f>
        <v>White shoes good shoes are very light, leather can also be</v>
      </c>
    </row>
    <row r="3208">
      <c r="A3208" s="1">
        <v>2.0</v>
      </c>
      <c r="B3208" s="1" t="s">
        <v>3198</v>
      </c>
      <c r="C3208" t="str">
        <f>IFERROR(__xludf.DUMMYFUNCTION("GOOGLETRANSLATE(B3208, ""zh"", ""en"")"),"General tried it, a lot of great clothes inside out fluff off the fluff full of underwear, not elastic hem, baggy, and imagine the gap is not small, baggy.")</f>
        <v>General tried it, a lot of great clothes inside out fluff off the fluff full of underwear, not elastic hem, baggy, and imagine the gap is not small, baggy.</v>
      </c>
    </row>
    <row r="3209">
      <c r="A3209" s="1">
        <v>3.0</v>
      </c>
      <c r="B3209" s="1" t="s">
        <v>3199</v>
      </c>
      <c r="C3209" t="str">
        <f>IFERROR(__xludf.DUMMYFUNCTION("GOOGLETRANSLATE(B3209, ""zh"", ""en"")"),"Tickets can not be bought, 62.1, Yan high value of the three high-temperature sterilization activity, but not pasteurized and spoon with steam sterilizer once after lifting the edges of the pattern all ...... scratch apple soup are fed very good, the over"&amp;"all feel of what are great, so he continued tilted used. So after they used the baby will be replaced.")</f>
        <v>Tickets can not be bought, 62.1, Yan high value of the three high-temperature sterilization activity, but not pasteurized and spoon with steam sterilizer once after lifting the edges of the pattern all ...... scratch apple soup are fed very good, the overall feel of what are great, so he continued tilted used. So after they used the baby will be replaced.</v>
      </c>
    </row>
    <row r="3210">
      <c r="A3210" s="1">
        <v>3.0</v>
      </c>
      <c r="B3210" s="1" t="s">
        <v>3200</v>
      </c>
      <c r="C3210" t="str">
        <f>IFERROR(__xludf.DUMMYFUNCTION("GOOGLETRANSLATE(B3210, ""zh"", ""en"")"),"Size is too big quality can be, is a relatively soft fabric, size is larger than the domestic one yards, transfer people")</f>
        <v>Size is too big quality can be, is a relatively soft fabric, size is larger than the domestic one yards, transfer people</v>
      </c>
    </row>
    <row r="3211">
      <c r="A3211" s="1">
        <v>1.0</v>
      </c>
      <c r="B3211" s="1" t="s">
        <v>3201</v>
      </c>
      <c r="C3211" t="str">
        <f>IFERROR(__xludf.DUMMYFUNCTION("GOOGLETRANSLATE(B3211, ""zh"", ""en"")"),"Shoes code than the domestic small can not wear caused by less than half the size of times above code, can not wear too tight")</f>
        <v>Shoes code than the domestic small can not wear caused by less than half the size of times above code, can not wear too tight</v>
      </c>
    </row>
    <row r="3212">
      <c r="A3212" s="1">
        <v>1.0</v>
      </c>
      <c r="B3212" s="1" t="s">
        <v>3202</v>
      </c>
      <c r="C3212" t="str">
        <f>IFERROR(__xludf.DUMMYFUNCTION("GOOGLETRANSLATE(B3212, ""zh"", ""en"")"),"Toe shoes are glued to the left there is a 1cm or so unglued")</f>
        <v>Toe shoes are glued to the left there is a 1cm or so unglued</v>
      </c>
    </row>
    <row r="3213">
      <c r="A3213" s="1">
        <v>1.0</v>
      </c>
      <c r="B3213" s="1" t="s">
        <v>3203</v>
      </c>
      <c r="C3213" t="str">
        <f>IFERROR(__xludf.DUMMYFUNCTION("GOOGLETRANSLATE(B3213, ""zh"", ""en"")"),"This model is generally okay, relatively warm, but really annoying pilling")</f>
        <v>This model is generally okay, relatively warm, but really annoying pilling</v>
      </c>
    </row>
    <row r="3214">
      <c r="A3214" s="1">
        <v>4.0</v>
      </c>
      <c r="B3214" s="1" t="s">
        <v>3204</v>
      </c>
      <c r="C3214" t="str">
        <f>IFERROR(__xludf.DUMMYFUNCTION("GOOGLETRANSLATE(B3214, ""zh"", ""en"")"),"Cheap, but it is the European version, not very suitable for Asians cheap, but it is the European version, is not very suitable for Asians, especially skinny oriental woman")</f>
        <v>Cheap, but it is the European version, not very suitable for Asians cheap, but it is the European version, is not very suitable for Asians, especially skinny oriental woman</v>
      </c>
    </row>
    <row r="3215">
      <c r="A3215" s="1">
        <v>4.0</v>
      </c>
      <c r="B3215" s="1" t="s">
        <v>3205</v>
      </c>
      <c r="C3215" t="str">
        <f>IFERROR(__xludf.DUMMYFUNCTION("GOOGLETRANSLATE(B3215, ""zh"", ""en"")"),"IDX 200 delivery is too slow, under orders to 20 days. The sound field is wide enough to dive bass, treble part but more mixed. And quality control is not very good, I got this pair of hands, a little bad contacts.")</f>
        <v>IDX 200 delivery is too slow, under orders to 20 days. The sound field is wide enough to dive bass, treble part but more mixed. And quality control is not very good, I got this pair of hands, a little bad contacts.</v>
      </c>
    </row>
    <row r="3216">
      <c r="A3216" s="1">
        <v>4.0</v>
      </c>
      <c r="B3216" s="1" t="s">
        <v>3206</v>
      </c>
      <c r="C3216" t="str">
        <f>IFERROR(__xludf.DUMMYFUNCTION("GOOGLETRANSLATE(B3216, ""zh"", ""en"")"),"Praise insulation and other are satisfied, but the effect is slightly inferior stew a little, overall satisfaction!")</f>
        <v>Praise insulation and other are satisfied, but the effect is slightly inferior stew a little, overall satisfaction!</v>
      </c>
    </row>
    <row r="3217">
      <c r="A3217" s="1">
        <v>4.0</v>
      </c>
      <c r="B3217" s="1" t="s">
        <v>3207</v>
      </c>
      <c r="C3217" t="str">
        <f>IFERROR(__xludf.DUMMYFUNCTION("GOOGLETRANSLATE(B3217, ""zh"", ""en"")"),"Number is much larger, good quality fabric, more appropriate, there is color. First, do not refer to the Amazon to overseas purchase reference code, inappropriate. I 190cm 105kg longer legs fairly thick. I bought 42 × 34. Try to come back, bigger waist, l"&amp;"ong pants long straight is not the slightest bit, pants thigh fat is no edge, the pants leg when the thigh can be used. It recommended thinner waistline to buy a small number two, number two small long pants. Some fat waist to buy a smaller size, long pan"&amp;"ts to buy a smaller size. Second, the fabric is very good, very strong, relatively thick. Unlike the domestic fashion wear, like overalls child. Third, the color buy Newman, and pictures and descriptions a lot worse.")</f>
        <v>Number is much larger, good quality fabric, more appropriate, there is color. First, do not refer to the Amazon to overseas purchase reference code, inappropriate. I 190cm 105kg longer legs fairly thick. I bought 42 × 34. Try to come back, bigger waist, long pants long straight is not the slightest bit, pants thigh fat is no edge, the pants leg when the thigh can be used. It recommended thinner waistline to buy a small number two, number two small long pants. Some fat waist to buy a smaller size, long pants to buy a smaller size. Second, the fabric is very good, very strong, relatively thick. Unlike the domestic fashion wear, like overalls child. Third, the color buy Newman, and pictures and descriptions a lot worse.</v>
      </c>
    </row>
    <row r="3218">
      <c r="A3218" s="1">
        <v>4.0</v>
      </c>
      <c r="B3218" s="1" t="s">
        <v>3208</v>
      </c>
      <c r="C3218" t="str">
        <f>IFERROR(__xludf.DUMMYFUNCTION("GOOGLETRANSLATE(B3218, ""zh"", ""en"")"),"It can be cost-effective, less than 200 purchase, through domestic not.")</f>
        <v>It can be cost-effective, less than 200 purchase, through domestic not.</v>
      </c>
    </row>
    <row r="3219">
      <c r="A3219" s="1">
        <v>5.0</v>
      </c>
      <c r="B3219" s="1" t="s">
        <v>3209</v>
      </c>
      <c r="C3219" t="str">
        <f>IFERROR(__xludf.DUMMYFUNCTION("GOOGLETRANSLATE(B3219, ""zh"", ""en"")"),"Very good very good, just press on the master, very provincial water, and a heat-resistant plastic case, very fine workmanship")</f>
        <v>Very good very good, just press on the master, very provincial water, and a heat-resistant plastic case, very fine workmanship</v>
      </c>
    </row>
    <row r="3220">
      <c r="A3220" s="1">
        <v>5.0</v>
      </c>
      <c r="B3220" s="1" t="s">
        <v>3210</v>
      </c>
      <c r="C3220" t="str">
        <f>IFERROR(__xludf.DUMMYFUNCTION("GOOGLETRANSLATE(B3220, ""zh"", ""en"")"),"Affordable easy to use, not to say the price primeday missed the event, and to see this new global or universal voltage, the price is to force, it is decisive to start! After receiving also expectations by a large storage capacity, but also convenient. Ve"&amp;"ry porridge.")</f>
        <v>Affordable easy to use, not to say the price primeday missed the event, and to see this new global or universal voltage, the price is to force, it is decisive to start! After receiving also expectations by a large storage capacity, but also convenient. Very porridge.</v>
      </c>
    </row>
    <row r="3221">
      <c r="A3221" s="1">
        <v>5.0</v>
      </c>
      <c r="B3221" s="1" t="s">
        <v>3211</v>
      </c>
      <c r="C3221" t="str">
        <f>IFERROR(__xludf.DUMMYFUNCTION("GOOGLETRANSLATE(B3221, ""zh"", ""en"")"),"Elastic waist material is a very good surprise! Thick fabric, elastic waist is actually designed intimate, middle-aged man in the stomach for a surprise")</f>
        <v>Elastic waist material is a very good surprise! Thick fabric, elastic waist is actually designed intimate, middle-aged man in the stomach for a surprise</v>
      </c>
    </row>
    <row r="3222">
      <c r="A3222" s="1">
        <v>5.0</v>
      </c>
      <c r="B3222" s="1" t="s">
        <v>3212</v>
      </c>
      <c r="C3222" t="str">
        <f>IFERROR(__xludf.DUMMYFUNCTION("GOOGLETRANSLATE(B3222, ""zh"", ""en"")"),"China 38, United States Code 36, is too large domestic 38, United States Code 36 deliberately buy small, just fit, good quality, new pants hanging pulp bit hard, Pei-ling will be better")</f>
        <v>China 38, United States Code 36, is too large domestic 38, United States Code 36 deliberately buy small, just fit, good quality, new pants hanging pulp bit hard, Pei-ling will be better</v>
      </c>
    </row>
    <row r="3223">
      <c r="A3223" s="1">
        <v>5.0</v>
      </c>
      <c r="B3223" s="1" t="s">
        <v>3213</v>
      </c>
      <c r="C3223" t="str">
        <f>IFERROR(__xludf.DUMMYFUNCTION("GOOGLETRANSLATE(B3223, ""zh"", ""en"")"),"Also just a good fit, normal version!")</f>
        <v>Also just a good fit, normal version!</v>
      </c>
    </row>
    <row r="3224">
      <c r="A3224" s="1">
        <v>5.0</v>
      </c>
      <c r="B3224" s="1" t="s">
        <v>3214</v>
      </c>
      <c r="C3224" t="str">
        <f>IFERROR(__xludf.DUMMYFUNCTION("GOOGLETRANSLATE(B3224, ""zh"", ""en"")"),"Good shopping good quality clothes, her husband especially like to praise")</f>
        <v>Good shopping good quality clothes, her husband especially like to praise</v>
      </c>
    </row>
    <row r="3225">
      <c r="A3225" s="1">
        <v>5.0</v>
      </c>
      <c r="B3225" s="1" t="s">
        <v>3215</v>
      </c>
      <c r="C3225" t="str">
        <f>IFERROR(__xludf.DUMMYFUNCTION("GOOGLETRANSLATE(B3225, ""zh"", ""en"")"),"Easy to use supplementary food storage box with the best of, not one, really convenient")</f>
        <v>Easy to use supplementary food storage box with the best of, not one, really convenient</v>
      </c>
    </row>
    <row r="3226">
      <c r="A3226" s="1">
        <v>5.0</v>
      </c>
      <c r="B3226" s="1" t="s">
        <v>3216</v>
      </c>
      <c r="C3226" t="str">
        <f>IFERROR(__xludf.DUMMYFUNCTION("GOOGLETRANSLATE(B3226, ""zh"", ""en"")"),"Praise, suitable for summer wear is very good, very comfortable to wear in summer is not hot, good air permeability")</f>
        <v>Praise, suitable for summer wear is very good, very comfortable to wear in summer is not hot, good air permeability</v>
      </c>
    </row>
    <row r="3227">
      <c r="A3227" s="1">
        <v>5.0</v>
      </c>
      <c r="B3227" s="1" t="s">
        <v>3217</v>
      </c>
      <c r="C3227" t="str">
        <f>IFERROR(__xludf.DUMMYFUNCTION("GOOGLETRANSLATE(B3227, ""zh"", ""en"")"),"Zojirushi good thing, as always, good.")</f>
        <v>Zojirushi good thing, as always, good.</v>
      </c>
    </row>
    <row r="3228">
      <c r="A3228" s="1">
        <v>5.0</v>
      </c>
      <c r="B3228" s="1" t="s">
        <v>3218</v>
      </c>
      <c r="C3228" t="str">
        <f>IFERROR(__xludf.DUMMYFUNCTION("GOOGLETRANSLATE(B3228, ""zh"", ""en"")"),"Recommend appropriate size, I think big to wear good-looking, focused look bust, bust size clothes to basically accurate. I perennial s code, female, wear loose l m more range. Husband 172,130 wear l fit, in fact, does not look good fit, looks relaxed com"&amp;"fortable XL")</f>
        <v>Recommend appropriate size, I think big to wear good-looking, focused look bust, bust size clothes to basically accurate. I perennial s code, female, wear loose l m more range. Husband 172,130 wear l fit, in fact, does not look good fit, looks relaxed comfortable XL</v>
      </c>
    </row>
    <row r="3229">
      <c r="A3229" s="1">
        <v>5.0</v>
      </c>
      <c r="B3229" s="1" t="s">
        <v>3219</v>
      </c>
      <c r="C3229" t="str">
        <f>IFERROR(__xludf.DUMMYFUNCTION("GOOGLETRANSLATE(B3229, ""zh"", ""en"")"),"Yardage this brand is too messy ... some time ago bought a pair of Sorel snow boots with wool, usually wear shoes 37.5 or 38, thinking to step on the snow in winter will wear thick socks, the shoes of the interior space is due dissection should be relativ"&amp;"ely small, read reviews said that it was really less than half yards, I bought 38.5, after receiving just open the shoebox was scared, visual like a shoe 40, after wearing really, I think we can plug a fist in, due to the replacement of the Amazon can not"&amp;" return even if only to keep up, and then find the shoes well, so he bought a pair of 38's, has been opened today after receiving scared, visual only 36-37, to wear Sure enough .... then try barefoot on just right, no room for a little richer, and wearing"&amp;" socks on the feet, my heart is really tired. . .")</f>
        <v>Yardage this brand is too messy ... some time ago bought a pair of Sorel snow boots with wool, usually wear shoes 37.5 or 38, thinking to step on the snow in winter will wear thick socks, the shoes of the interior space is due dissection should be relatively small, read reviews said that it was really less than half yards, I bought 38.5, after receiving just open the shoebox was scared, visual like a shoe 40, after wearing really, I think we can plug a fist in, due to the replacement of the Amazon can not return even if only to keep up, and then find the shoes well, so he bought a pair of 38's, has been opened today after receiving scared, visual only 36-37, to wear Sure enough .... then try barefoot on just right, no room for a little richer, and wearing socks on the feet, my heart is really tired. . .</v>
      </c>
    </row>
    <row r="3230">
      <c r="A3230" s="1">
        <v>5.0</v>
      </c>
      <c r="B3230" s="1" t="s">
        <v>3220</v>
      </c>
      <c r="C3230" t="str">
        <f>IFERROR(__xludf.DUMMYFUNCTION("GOOGLETRANSLATE(B3230, ""zh"", ""en"")"),"Good solubility, taste good. Good solubility, taste good.")</f>
        <v>Good solubility, taste good. Good solubility, taste good.</v>
      </c>
    </row>
    <row r="3231">
      <c r="A3231" s="1">
        <v>5.0</v>
      </c>
      <c r="B3231" s="1" t="s">
        <v>3221</v>
      </c>
      <c r="C3231" t="str">
        <f>IFERROR(__xludf.DUMMYFUNCTION("GOOGLETRANSLATE(B3231, ""zh"", ""en"")"),"Quality is generally possible in a foreign country is the general tooling, expect too much, the heart will drop")</f>
        <v>Quality is generally possible in a foreign country is the general tooling, expect too much, the heart will drop</v>
      </c>
    </row>
    <row r="3232">
      <c r="A3232" s="1">
        <v>5.0</v>
      </c>
      <c r="B3232" s="1" t="s">
        <v>3222</v>
      </c>
      <c r="C3232" t="str">
        <f>IFERROR(__xludf.DUMMYFUNCTION("GOOGLETRANSLATE(B3232, ""zh"", ""en"")"),"Slightly larger, but it does not affect the wear 177,100 kilograms, slightly larger, feeling fit about 190 pounds of people. Slightly longer sleeves and clothes, does not affect the wear. Good quality, although some thin, more suitable for early autumn, t"&amp;"his season in the spring. On the whole we are satisfied.")</f>
        <v>Slightly larger, but it does not affect the wear 177,100 kilograms, slightly larger, feeling fit about 190 pounds of people. Slightly longer sleeves and clothes, does not affect the wear. Good quality, although some thin, more suitable for early autumn, this season in the spring. On the whole we are satisfied.</v>
      </c>
    </row>
    <row r="3233">
      <c r="A3233" s="1">
        <v>5.0</v>
      </c>
      <c r="B3233" s="1" t="s">
        <v>3223</v>
      </c>
      <c r="C3233" t="str">
        <f>IFERROR(__xludf.DUMMYFUNCTION("GOOGLETRANSLATE(B3233, ""zh"", ""en"")"),"Not generally like cotton, so the summer wearing a little smelly feet.")</f>
        <v>Not generally like cotton, so the summer wearing a little smelly feet.</v>
      </c>
    </row>
    <row r="3234">
      <c r="A3234" s="1">
        <v>5.0</v>
      </c>
      <c r="B3234" s="1" t="s">
        <v>3224</v>
      </c>
      <c r="C3234" t="str">
        <f>IFERROR(__xludf.DUMMYFUNCTION("GOOGLETRANSLATE(B3234, ""zh"", ""en"")"),"Wearing the same dress with good, fresh fabrics, soft and delicate, moisture permeability is not good, there is no fixed chest pad will move!")</f>
        <v>Wearing the same dress with good, fresh fabrics, soft and delicate, moisture permeability is not good, there is no fixed chest pad will move!</v>
      </c>
    </row>
    <row r="3235">
      <c r="A3235" s="1">
        <v>5.0</v>
      </c>
      <c r="B3235" s="1" t="s">
        <v>3225</v>
      </c>
      <c r="C3235" t="str">
        <f>IFERROR(__xludf.DUMMYFUNCTION("GOOGLETRANSLATE(B3235, ""zh"", ""en"")"),"Quality good quality shoes very good, very light, comfortable to wear")</f>
        <v>Quality good quality shoes very good, very light, comfortable to wear</v>
      </c>
    </row>
    <row r="3236">
      <c r="A3236" s="1">
        <v>5.0</v>
      </c>
      <c r="B3236" s="1" t="s">
        <v>3226</v>
      </c>
      <c r="C3236" t="str">
        <f>IFERROR(__xludf.DUMMYFUNCTION("GOOGLETRANSLATE(B3236, ""zh"", ""en"")"),"Very good mug mug is very good, the children go to school with, very warm. Nichia is very convenient.")</f>
        <v>Very good mug mug is very good, the children go to school with, very warm. Nichia is very convenient.</v>
      </c>
    </row>
    <row r="3237">
      <c r="A3237" s="1">
        <v>5.0</v>
      </c>
      <c r="B3237" s="1" t="s">
        <v>3227</v>
      </c>
      <c r="C3237" t="str">
        <f>IFERROR(__xludf.DUMMYFUNCTION("GOOGLETRANSLATE(B3237, ""zh"", ""en"")"),"Good quality very good, 172,75kg, L size appropriate. It seems a small Japanese figure is smaller than some of our")</f>
        <v>Good quality very good, 172,75kg, L size appropriate. It seems a small Japanese figure is smaller than some of our</v>
      </c>
    </row>
    <row r="3238">
      <c r="A3238" s="1">
        <v>5.0</v>
      </c>
      <c r="B3238" s="1" t="s">
        <v>3228</v>
      </c>
      <c r="C3238" t="str">
        <f>IFERROR(__xludf.DUMMYFUNCTION("GOOGLETRANSLATE(B3238, ""zh"", ""en"")"),"Well this finally bought the right size, quality did not have to say.")</f>
        <v>Well this finally bought the right size, quality did not have to say.</v>
      </c>
    </row>
    <row r="3239">
      <c r="A3239" s="1">
        <v>5.0</v>
      </c>
      <c r="B3239" s="1" t="s">
        <v>3229</v>
      </c>
      <c r="C3239" t="str">
        <f>IFERROR(__xludf.DUMMYFUNCTION("GOOGLETRANSLATE(B3239, ""zh"", ""en"")"),"perfect good watches, reasonable price more beautiful")</f>
        <v>perfect good watches, reasonable price more beautiful</v>
      </c>
    </row>
    <row r="3240">
      <c r="A3240" s="1">
        <v>5.0</v>
      </c>
      <c r="B3240" s="1" t="s">
        <v>3230</v>
      </c>
      <c r="C3240" t="str">
        <f>IFERROR(__xludf.DUMMYFUNCTION("GOOGLETRANSLATE(B3240, ""zh"", ""en"")"),"Stylish, a little empty space inside the shoe. The bottom is relatively flat and thin, very soft insole. Walk away you will feel more like a set of shoe covers the feet. I personally feel that for short-term wear.")</f>
        <v>Stylish, a little empty space inside the shoe. The bottom is relatively flat and thin, very soft insole. Walk away you will feel more like a set of shoe covers the feet. I personally feel that for short-term wear.</v>
      </c>
    </row>
    <row r="3241">
      <c r="A3241" s="1">
        <v>2.0</v>
      </c>
      <c r="B3241" s="1" t="s">
        <v>3231</v>
      </c>
      <c r="C3241" t="str">
        <f>IFERROR(__xludf.DUMMYFUNCTION("GOOGLETRANSLATE(B3241, ""zh"", ""en"")"),"Defective too large, mainly to do crooked collar.")</f>
        <v>Defective too large, mainly to do crooked collar.</v>
      </c>
    </row>
    <row r="3242">
      <c r="A3242" s="1">
        <v>3.0</v>
      </c>
      <c r="B3242" s="1" t="s">
        <v>3232</v>
      </c>
      <c r="C3242" t="str">
        <f>IFERROR(__xludf.DUMMYFUNCTION("GOOGLETRANSLATE(B3242, ""zh"", ""en"")"),"Through feel good too! Through comparison only, not suitable, which can wear the pants when wearing Qiuku.")</f>
        <v>Through feel good too! Through comparison only, not suitable, which can wear the pants when wearing Qiuku.</v>
      </c>
    </row>
    <row r="3243">
      <c r="A3243" s="1">
        <v>3.0</v>
      </c>
      <c r="B3243" s="1" t="s">
        <v>3233</v>
      </c>
      <c r="C3243" t="str">
        <f>IFERROR(__xludf.DUMMYFUNCTION("GOOGLETRANSLATE(B3243, ""zh"", ""en"")"),"Delicate wings too great friends, when the stamp key chain is very delicate hands, it is too big wings, when the stamp key chain is very hands")</f>
        <v>Delicate wings too great friends, when the stamp key chain is very delicate hands, it is too big wings, when the stamp key chain is very hands</v>
      </c>
    </row>
    <row r="3244">
      <c r="A3244" s="1">
        <v>3.0</v>
      </c>
      <c r="B3244" s="1" t="s">
        <v>3234</v>
      </c>
      <c r="C3244" t="str">
        <f>IFERROR(__xludf.DUMMYFUNCTION("GOOGLETRANSLATE(B3244, ""zh"", ""en"")"),"Packaging are rotten box are broken. Description The key there is no use now do not know how to modify the dates")</f>
        <v>Packaging are rotten box are broken. Description The key there is no use now do not know how to modify the dates</v>
      </c>
    </row>
    <row r="3245">
      <c r="A3245" s="1">
        <v>1.0</v>
      </c>
      <c r="B3245" s="1" t="s">
        <v>3235</v>
      </c>
      <c r="C3245" t="str">
        <f>IFERROR(__xludf.DUMMYFUNCTION("GOOGLETRANSLATE(B3245, ""zh"", ""en"")"),"Do not buy poor cotton material cotton shipping is even worse than the 9.9 Ma father not as high imitation of it is not worth more than a recommendation to buy Japanese Amazon")</f>
        <v>Do not buy poor cotton material cotton shipping is even worse than the 9.9 Ma father not as high imitation of it is not worth more than a recommendation to buy Japanese Amazon</v>
      </c>
    </row>
    <row r="3246">
      <c r="A3246" s="1">
        <v>1.0</v>
      </c>
      <c r="B3246" s="1" t="s">
        <v>3236</v>
      </c>
      <c r="C3246" t="str">
        <f>IFERROR(__xludf.DUMMYFUNCTION("GOOGLETRANSLATE(B3246, ""zh"", ""en"")"),"Wear a couple of days vamp cracks began to wear a couple of days vamp cracks")</f>
        <v>Wear a couple of days vamp cracks began to wear a couple of days vamp cracks</v>
      </c>
    </row>
    <row r="3247">
      <c r="A3247" s="1">
        <v>4.0</v>
      </c>
      <c r="B3247" s="1" t="s">
        <v>3237</v>
      </c>
      <c r="C3247" t="str">
        <f>IFERROR(__xludf.DUMMYFUNCTION("GOOGLETRANSLATE(B3247, ""zh"", ""en"")"),"Evaluation pants fabric is very good, just not enough breathable fabrics are too strong and do not sweat, may be the reason fabrics.")</f>
        <v>Evaluation pants fabric is very good, just not enough breathable fabrics are too strong and do not sweat, may be the reason fabrics.</v>
      </c>
    </row>
    <row r="3248">
      <c r="A3248" s="1">
        <v>4.0</v>
      </c>
      <c r="B3248" s="1" t="s">
        <v>3238</v>
      </c>
      <c r="C3248" t="str">
        <f>IFERROR(__xludf.DUMMYFUNCTION("GOOGLETRANSLATE(B3248, ""zh"", ""en"")"),"Quality not neat stitches, fabrics in general, not authentic")</f>
        <v>Quality not neat stitches, fabrics in general, not authentic</v>
      </c>
    </row>
    <row r="3249">
      <c r="A3249" s="1">
        <v>4.0</v>
      </c>
      <c r="B3249" s="1" t="s">
        <v>3239</v>
      </c>
      <c r="C3249" t="str">
        <f>IFERROR(__xludf.DUMMYFUNCTION("GOOGLETRANSLATE(B3249, ""zh"", ""en"")"),"Yes 👍👍 comfortable to wear, is genuine, it is recommended")</f>
        <v>Yes 👍👍 comfortable to wear, is genuine, it is recommended</v>
      </c>
    </row>
    <row r="3250">
      <c r="A3250" s="1">
        <v>4.0</v>
      </c>
      <c r="B3250" s="1" t="s">
        <v>3240</v>
      </c>
      <c r="C3250" t="str">
        <f>IFERROR(__xludf.DUMMYFUNCTION("GOOGLETRANSLATE(B3250, ""zh"", ""en"")"),"Nice shirt is looking forward to the appearance, size, color are good, praise")</f>
        <v>Nice shirt is looking forward to the appearance, size, color are good, praise</v>
      </c>
    </row>
    <row r="3251">
      <c r="A3251" s="1">
        <v>5.0</v>
      </c>
      <c r="B3251" s="1" t="s">
        <v>3241</v>
      </c>
      <c r="C3251" t="str">
        <f>IFERROR(__xludf.DUMMYFUNCTION("GOOGLETRANSLATE(B3251, ""zh"", ""en"")"),"Very good, very satisfied this is the second port lodge pot, the first bite very good, so they bought one, but this one has two new buy price of each sale, a is about 380, 260 gave me a silica gel insulated handles. But opening a new pot wall left and rig"&amp;"ht sides are not as thick, thin side pot along children outside edges, relatively sharp, inside the pot is flat, does not affect the cooking, so I do not really care. Here with you talk about, this may be cheaper lower quality. With a period of time to co"&amp;"me back, according to the standard after the boil, and indeed non-stick, ultra-like. Another correction point, the reason for cheap, because the self-employed overseas, which is in my breath and bought a few other models found.")</f>
        <v>Very good, very satisfied this is the second port lodge pot, the first bite very good, so they bought one, but this one has two new buy price of each sale, a is about 380, 260 gave me a silica gel insulated handles. But opening a new pot wall left and right sides are not as thick, thin side pot along children outside edges, relatively sharp, inside the pot is flat, does not affect the cooking, so I do not really care. Here with you talk about, this may be cheaper lower quality. With a period of time to come back, according to the standard after the boil, and indeed non-stick, ultra-like. Another correction point, the reason for cheap, because the self-employed overseas, which is in my breath and bought a few other models found.</v>
      </c>
    </row>
    <row r="3252">
      <c r="A3252" s="1">
        <v>5.0</v>
      </c>
      <c r="B3252" s="1" t="s">
        <v>3242</v>
      </c>
      <c r="C3252" t="str">
        <f>IFERROR(__xludf.DUMMYFUNCTION("GOOGLETRANSLATE(B3252, ""zh"", ""en"")"),"Colombia overseas purchase very good value. 173-72. No. very fit. Now try upper body feel hot, when I hope the coldest winters are mild.")</f>
        <v>Colombia overseas purchase very good value. 173-72. No. very fit. Now try upper body feel hot, when I hope the coldest winters are mild.</v>
      </c>
    </row>
    <row r="3253">
      <c r="A3253" s="1">
        <v>5.0</v>
      </c>
      <c r="B3253" s="1" t="s">
        <v>3243</v>
      </c>
      <c r="C3253" t="str">
        <f>IFERROR(__xludf.DUMMYFUNCTION("GOOGLETRANSLATE(B3253, ""zh"", ""en"")"),"Stockpile store goods, not yet unpacked started, smaller than the real picture looks cute")</f>
        <v>Stockpile store goods, not yet unpacked started, smaller than the real picture looks cute</v>
      </c>
    </row>
    <row r="3254">
      <c r="A3254" s="1">
        <v>5.0</v>
      </c>
      <c r="B3254" s="1" t="s">
        <v>3244</v>
      </c>
      <c r="C3254" t="str">
        <f>IFERROR(__xludf.DUMMYFUNCTION("GOOGLETRANSLATE(B3254, ""zh"", ""en"")"),"Warm absorbent material is absolutely solid, relatively thick, just north beginning of winter, wearing foot fever")</f>
        <v>Warm absorbent material is absolutely solid, relatively thick, just north beginning of winter, wearing foot fever</v>
      </c>
    </row>
    <row r="3255">
      <c r="A3255" s="1">
        <v>5.0</v>
      </c>
      <c r="B3255" s="1" t="s">
        <v>3245</v>
      </c>
      <c r="C3255" t="str">
        <f>IFERROR(__xludf.DUMMYFUNCTION("GOOGLETRANSLATE(B3255, ""zh"", ""en"")"),"Well super happy, fit, price is also cheap, love")</f>
        <v>Well super happy, fit, price is also cheap, love</v>
      </c>
    </row>
    <row r="3256">
      <c r="A3256" s="1">
        <v>5.0</v>
      </c>
      <c r="B3256" s="1" t="s">
        <v>3246</v>
      </c>
      <c r="C3256" t="str">
        <f>IFERROR(__xludf.DUMMYFUNCTION("GOOGLETRANSLATE(B3256, ""zh"", ""en"")"),"This shoe size rather long, wide leg is not recommended to buy a small one yards")</f>
        <v>This shoe size rather long, wide leg is not recommended to buy a small one yards</v>
      </c>
    </row>
    <row r="3257">
      <c r="A3257" s="1">
        <v>5.0</v>
      </c>
      <c r="B3257" s="1" t="s">
        <v>3247</v>
      </c>
      <c r="C3257" t="str">
        <f>IFERROR(__xludf.DUMMYFUNCTION("GOOGLETRANSLATE(B3257, ""zh"", ""en"")"),"Very good very suitable for summer v-shirt")</f>
        <v>Very good very suitable for summer v-shirt</v>
      </c>
    </row>
    <row r="3258">
      <c r="A3258" s="1">
        <v>5.0</v>
      </c>
      <c r="B3258" s="1" t="s">
        <v>3248</v>
      </c>
      <c r="C3258" t="str">
        <f>IFERROR(__xludf.DUMMYFUNCTION("GOOGLETRANSLATE(B3258, ""zh"", ""en"")"),"Affordable four loaded, very cost-effective, cheaper than Frozen, ha ha")</f>
        <v>Affordable four loaded, very cost-effective, cheaper than Frozen, ha ha</v>
      </c>
    </row>
    <row r="3259">
      <c r="A3259" s="1">
        <v>5.0</v>
      </c>
      <c r="B3259" s="1" t="s">
        <v>3249</v>
      </c>
      <c r="C3259" t="str">
        <f>IFERROR(__xludf.DUMMYFUNCTION("GOOGLETRANSLATE(B3259, ""zh"", ""en"")"),"No. 8 July did not taste orders, 19 good to. See shop say flavored. I received did not taste, do not understand the material, looking clean. Feeling comfortable. Pigeon nipple than soft.")</f>
        <v>No. 8 July did not taste orders, 19 good to. See shop say flavored. I received did not taste, do not understand the material, looking clean. Feeling comfortable. Pigeon nipple than soft.</v>
      </c>
    </row>
    <row r="3260">
      <c r="A3260" s="1">
        <v>5.0</v>
      </c>
      <c r="B3260" s="1" t="s">
        <v>3250</v>
      </c>
      <c r="C3260" t="str">
        <f>IFERROR(__xludf.DUMMYFUNCTION("GOOGLETRANSLATE(B3260, ""zh"", ""en"")"),"Satisfaction for the first time to buy this brand of underwear, read reviews to pick the code, very fit, very comfortable underwear, happy!")</f>
        <v>Satisfaction for the first time to buy this brand of underwear, read reviews to pick the code, very fit, very comfortable underwear, happy!</v>
      </c>
    </row>
    <row r="3261">
      <c r="A3261" s="1">
        <v>5.0</v>
      </c>
      <c r="B3261" s="1" t="s">
        <v>3251</v>
      </c>
      <c r="C3261" t="str">
        <f>IFERROR(__xludf.DUMMYFUNCTION("GOOGLETRANSLATE(B3261, ""zh"", ""en"")"),"Exterior work well, sound quality is remarkable. Acclaimed not without reason is like, still in the running. But was able to hear some of the style. Hifi is to start on a Sennheiser hd598, compared with this style is very different. m100 acclaimed industr"&amp;"y praise it is in its relative balance, maintain the high quality of workmanship and appearance tide faction at the same time, the sound quality is also commendable. Bass is great, and this point hd598 contrast is obvious; people are pleasantly surprised "&amp;"that his voice is also very good, I always thought before hand just for listening to electronic music, I did not expect very soothing genre can deal with very well. A word stick!")</f>
        <v>Exterior work well, sound quality is remarkable. Acclaimed not without reason is like, still in the running. But was able to hear some of the style. Hifi is to start on a Sennheiser hd598, compared with this style is very different. m100 acclaimed industry praise it is in its relative balance, maintain the high quality of workmanship and appearance tide faction at the same time, the sound quality is also commendable. Bass is great, and this point hd598 contrast is obvious; people are pleasantly surprised that his voice is also very good, I always thought before hand just for listening to electronic music, I did not expect very soothing genre can deal with very well. A word stick!</v>
      </c>
    </row>
    <row r="3262">
      <c r="A3262" s="1">
        <v>5.0</v>
      </c>
      <c r="B3262" s="1" t="s">
        <v>3252</v>
      </c>
      <c r="C3262" t="str">
        <f>IFERROR(__xludf.DUMMYFUNCTION("GOOGLETRANSLATE(B3262, ""zh"", ""en"")"),"Something good, it is recommended to change the shower, too simple things well, it is recommended to change the shower, too simple")</f>
        <v>Something good, it is recommended to change the shower, too simple things well, it is recommended to change the shower, too simple</v>
      </c>
    </row>
    <row r="3263">
      <c r="A3263" s="1">
        <v>5.0</v>
      </c>
      <c r="B3263" s="1" t="s">
        <v>3253</v>
      </c>
      <c r="C3263" t="str">
        <f>IFERROR(__xludf.DUMMYFUNCTION("GOOGLETRANSLATE(B3263, ""zh"", ""en"")"),"The right size to see comments that are large, buy small a yard ???? results slightly smaller ????")</f>
        <v>The right size to see comments that are large, buy small a yard ???? results slightly smaller ????</v>
      </c>
    </row>
    <row r="3264">
      <c r="A3264" s="1">
        <v>5.0</v>
      </c>
      <c r="B3264" s="1" t="s">
        <v>3254</v>
      </c>
      <c r="C3264" t="str">
        <f>IFERROR(__xludf.DUMMYFUNCTION("GOOGLETRANSLATE(B3264, ""zh"", ""en"")"),"Quality Quality Leverage Leverage is great yo!")</f>
        <v>Quality Quality Leverage Leverage is great yo!</v>
      </c>
    </row>
    <row r="3265">
      <c r="A3265" s="1">
        <v>5.0</v>
      </c>
      <c r="B3265" s="1" t="s">
        <v>3255</v>
      </c>
      <c r="C3265" t="str">
        <f>IFERROR(__xludf.DUMMYFUNCTION("GOOGLETRANSLATE(B3265, ""zh"", ""en"")"),"My comment height 176, weight 80 kg, 32W X 32L appropriate, Mauritius production")</f>
        <v>My comment height 176, weight 80 kg, 32W X 32L appropriate, Mauritius production</v>
      </c>
    </row>
    <row r="3266">
      <c r="A3266" s="1">
        <v>5.0</v>
      </c>
      <c r="B3266" s="1" t="s">
        <v>3256</v>
      </c>
      <c r="C3266" t="str">
        <f>IFERROR(__xludf.DUMMYFUNCTION("GOOGLETRANSLATE(B3266, ""zh"", ""en"")"),"A large number, not too appropriate a large number, not too appropriate")</f>
        <v>A large number, not too appropriate a large number, not too appropriate</v>
      </c>
    </row>
    <row r="3267">
      <c r="A3267" s="1">
        <v>5.0</v>
      </c>
      <c r="B3267" s="1" t="s">
        <v>3257</v>
      </c>
      <c r="C3267" t="str">
        <f>IFERROR(__xludf.DUMMYFUNCTION("GOOGLETRANSLATE(B3267, ""zh"", ""en"")"),"Cheap only about $ 200, but surprisingly good texture. European version, large, used to be careful to buy Asian version.")</f>
        <v>Cheap only about $ 200, but surprisingly good texture. European version, large, used to be careful to buy Asian version.</v>
      </c>
    </row>
    <row r="3268">
      <c r="A3268" s="1">
        <v>5.0</v>
      </c>
      <c r="B3268" s="1" t="s">
        <v>3258</v>
      </c>
      <c r="C3268" t="str">
        <f>IFERROR(__xludf.DUMMYFUNCTION("GOOGLETRANSLATE(B3268, ""zh"", ""en"")"),"The first overseas purchase for the first time hold the mentality of try to make a purchase overseas, of course, is the time it takes to become more. But things get our hands is still very good. Before looking at the comments of others deliberately buy sm"&amp;"aller on the 1st. The final opinion is the right choice. Also quite comfortable to wear. It should be said that this was a good shopping experience. The future will try to do more to try. I believe authentic guaranteed Amazon.")</f>
        <v>The first overseas purchase for the first time hold the mentality of try to make a purchase overseas, of course, is the time it takes to become more. But things get our hands is still very good. Before looking at the comments of others deliberately buy smaller on the 1st. The final opinion is the right choice. Also quite comfortable to wear. It should be said that this was a good shopping experience. The future will try to do more to try. I believe authentic guaranteed Amazon.</v>
      </c>
    </row>
    <row r="3269">
      <c r="A3269" s="1">
        <v>5.0</v>
      </c>
      <c r="B3269" s="1" t="s">
        <v>3259</v>
      </c>
      <c r="C3269" t="str">
        <f>IFERROR(__xludf.DUMMYFUNCTION("GOOGLETRANSLATE(B3269, ""zh"", ""en"")"),"Yes something good, craft materials are textured, you pay for. worth buying.")</f>
        <v>Yes something good, craft materials are textured, you pay for. worth buying.</v>
      </c>
    </row>
    <row r="3270">
      <c r="A3270" s="1">
        <v>5.0</v>
      </c>
      <c r="B3270" s="1" t="s">
        <v>3260</v>
      </c>
      <c r="C3270" t="str">
        <f>IFERROR(__xludf.DUMMYFUNCTION("GOOGLETRANSLATE(B3270, ""zh"", ""en"")"),"Building buy big two yards today finally received the goods, belts 32 belts to buy a 36, ​​the quality is just a personal recommendation to buy sophomore yards, playing the most holes is better than just good enough long, too short not good-looking!")</f>
        <v>Building buy big two yards today finally received the goods, belts 32 belts to buy a 36, ​​the quality is just a personal recommendation to buy sophomore yards, playing the most holes is better than just good enough long, too short not good-looking!</v>
      </c>
    </row>
    <row r="3271">
      <c r="A3271" s="1">
        <v>5.0</v>
      </c>
      <c r="B3271" s="1" t="s">
        <v>3261</v>
      </c>
      <c r="C3271" t="str">
        <f>IFERROR(__xludf.DUMMYFUNCTION("GOOGLETRANSLATE(B3271, ""zh"", ""en"")"),"Quality feel that we can trust the Amazon! Always I want to sell the real thing, quality first! Conscience to do business!")</f>
        <v>Quality feel that we can trust the Amazon! Always I want to sell the real thing, quality first! Conscience to do business!</v>
      </c>
    </row>
    <row r="3272">
      <c r="A3272" s="1">
        <v>5.0</v>
      </c>
      <c r="B3272" s="1" t="s">
        <v>3262</v>
      </c>
      <c r="C3272" t="str">
        <f>IFERROR(__xludf.DUMMYFUNCTION("GOOGLETRANSLATE(B3272, ""zh"", ""en"")"),"Leverage the quality drops WMF WMF kettle kettle quality of Leverage drops, boil water quickly, no smell, the sound is a little big boil water")</f>
        <v>Leverage the quality drops WMF WMF kettle kettle quality of Leverage drops, boil water quickly, no smell, the sound is a little big boil water</v>
      </c>
    </row>
    <row r="3273">
      <c r="A3273" s="1">
        <v>2.0</v>
      </c>
      <c r="B3273" s="1" t="s">
        <v>3263</v>
      </c>
      <c r="C3273" t="str">
        <f>IFERROR(__xludf.DUMMYFUNCTION("GOOGLETRANSLATE(B3273, ""zh"", ""en"")"),"Few holes, no hole puncher before buying a pair of shoes due to return detained more than a hundred freight, so they give a star, comment moderation does not pass ~ ~. Well, you stood out the most. This belt leather smell is relatively large, hard, buy th"&amp;"is only four holes, and had to buy a puncher, poof")</f>
        <v>Few holes, no hole puncher before buying a pair of shoes due to return detained more than a hundred freight, so they give a star, comment moderation does not pass ~ ~. Well, you stood out the most. This belt leather smell is relatively large, hard, buy this only four holes, and had to buy a puncher, poof</v>
      </c>
    </row>
    <row r="3274">
      <c r="A3274" s="1">
        <v>3.0</v>
      </c>
      <c r="B3274" s="1" t="s">
        <v>3264</v>
      </c>
      <c r="C3274" t="str">
        <f>IFERROR(__xludf.DUMMYFUNCTION("GOOGLETRANSLATE(B3274, ""zh"", ""en"")"),"Not two months, open plastic, there are customer service it? Not two months, open plastic, there are customer service it?")</f>
        <v>Not two months, open plastic, there are customer service it? Not two months, open plastic, there are customer service it?</v>
      </c>
    </row>
    <row r="3275">
      <c r="A3275" s="1">
        <v>3.0</v>
      </c>
      <c r="B3275" s="1" t="s">
        <v>3265</v>
      </c>
      <c r="C3275" t="str">
        <f>IFERROR(__xludf.DUMMYFUNCTION("GOOGLETRANSLATE(B3275, ""zh"", ""en"")"),"Size Chart seriously inaccurate! ! ! Look to buy control size chart, size table is a lie, buy small, put on too slim, the bust was not enough, this is smaller than the actual size table clothes one yards, the version is no problem, buy a small m , l, stil"&amp;"l have to wear, usually wear 170/92 code, a reference to the back. I have to buy a big change and it did not? L code seek")</f>
        <v>Size Chart seriously inaccurate! ! ! Look to buy control size chart, size table is a lie, buy small, put on too slim, the bust was not enough, this is smaller than the actual size table clothes one yards, the version is no problem, buy a small m , l, still have to wear, usually wear 170/92 code, a reference to the back. I have to buy a big change and it did not? L code seek</v>
      </c>
    </row>
    <row r="3276">
      <c r="A3276" s="1">
        <v>1.0</v>
      </c>
      <c r="B3276" s="1" t="s">
        <v>3266</v>
      </c>
      <c r="C3276" t="str">
        <f>IFERROR(__xludf.DUMMYFUNCTION("GOOGLETRANSLATE(B3276, ""zh"", ""en"")"),"I order the wrong color color is not the color, sent to the wrong. You should be able to change?")</f>
        <v>I order the wrong color color is not the color, sent to the wrong. You should be able to change?</v>
      </c>
    </row>
    <row r="3277">
      <c r="A3277" s="1">
        <v>1.0</v>
      </c>
      <c r="B3277" s="1" t="s">
        <v>3267</v>
      </c>
      <c r="C3277" t="str">
        <f>IFERROR(__xludf.DUMMYFUNCTION("GOOGLETRANSLATE(B3277, ""zh"", ""en"")"),"Sea Amoy dream shattered for the first time scouring the sea bought the wrong code can not wear wear, and back trouble, forget ......")</f>
        <v>Sea Amoy dream shattered for the first time scouring the sea bought the wrong code can not wear wear, and back trouble, forget ......</v>
      </c>
    </row>
    <row r="3278">
      <c r="A3278" s="1">
        <v>4.0</v>
      </c>
      <c r="B3278" s="1" t="s">
        <v>3268</v>
      </c>
      <c r="C3278" t="str">
        <f>IFERROR(__xludf.DUMMYFUNCTION("GOOGLETRANSLATE(B3278, ""zh"", ""en"")"),"Look a bit old, the color may be good reasons for style")</f>
        <v>Look a bit old, the color may be good reasons for style</v>
      </c>
    </row>
    <row r="3279">
      <c r="A3279" s="1">
        <v>4.0</v>
      </c>
      <c r="B3279" s="1" t="s">
        <v>3269</v>
      </c>
      <c r="C3279" t="str">
        <f>IFERROR(__xludf.DUMMYFUNCTION("GOOGLETRANSLATE(B3279, ""zh"", ""en"")"),"My Armani plus Shanghai Amoy, this is the second purchase Armani T-shirt, put on a very fit, but the price is much higher than the domestic cost-effective to buy, it is recommended students like to wear T-shirts weeding")</f>
        <v>My Armani plus Shanghai Amoy, this is the second purchase Armani T-shirt, put on a very fit, but the price is much higher than the domestic cost-effective to buy, it is recommended students like to wear T-shirts weeding</v>
      </c>
    </row>
    <row r="3280">
      <c r="A3280" s="1">
        <v>4.0</v>
      </c>
      <c r="B3280" s="1" t="s">
        <v>3270</v>
      </c>
      <c r="C3280" t="str">
        <f>IFERROR(__xludf.DUMMYFUNCTION("GOOGLETRANSLATE(B3280, ""zh"", ""en"")"),"Brand quality, good design! With this brand, the workmanship extent even the best point, some rough and some details of the work, the reason is believed to be made after.")</f>
        <v>Brand quality, good design! With this brand, the workmanship extent even the best point, some rough and some details of the work, the reason is believed to be made after.</v>
      </c>
    </row>
    <row r="3281">
      <c r="A3281" s="1">
        <v>4.0</v>
      </c>
      <c r="B3281" s="1" t="s">
        <v>3271</v>
      </c>
      <c r="C3281" t="str">
        <f>IFERROR(__xludf.DUMMYFUNCTION("GOOGLETRANSLATE(B3281, ""zh"", ""en"")"),"Pleasant shopping process, but there are still flaws have received shoes, about a week time, the right size, style, and online photos match, unfortunately behind a piece of shoe leather Qi bad, I do not know what way to deal with, if ,Please advise.")</f>
        <v>Pleasant shopping process, but there are still flaws have received shoes, about a week time, the right size, style, and online photos match, unfortunately behind a piece of shoe leather Qi bad, I do not know what way to deal with, if ,Please advise.</v>
      </c>
    </row>
    <row r="3282">
      <c r="A3282" s="1">
        <v>4.0</v>
      </c>
      <c r="B3282" s="1" t="s">
        <v>3272</v>
      </c>
      <c r="C3282" t="str">
        <f>IFERROR(__xludf.DUMMYFUNCTION("GOOGLETRANSLATE(B3282, ""zh"", ""en"")"),"Black hand wash in cold water hand wash in cold water fade powerful black fade badly")</f>
        <v>Black hand wash in cold water hand wash in cold water fade powerful black fade badly</v>
      </c>
    </row>
    <row r="3283">
      <c r="A3283" s="1">
        <v>5.0</v>
      </c>
      <c r="B3283" s="1" t="s">
        <v>3273</v>
      </c>
      <c r="C3283" t="str">
        <f>IFERROR(__xludf.DUMMYFUNCTION("GOOGLETRANSLATE(B3283, ""zh"", ""en"")"),"A good pair of shoes to wear very comfortable.")</f>
        <v>A good pair of shoes to wear very comfortable.</v>
      </c>
    </row>
    <row r="3284">
      <c r="A3284" s="1">
        <v>5.0</v>
      </c>
      <c r="B3284" s="1" t="s">
        <v>3274</v>
      </c>
      <c r="C3284" t="str">
        <f>IFERROR(__xludf.DUMMYFUNCTION("GOOGLETRANSLATE(B3284, ""zh"", ""en"")"),"Very appropriate and very comfortable. like very much. Very appropriate and very comfortable. like very much.")</f>
        <v>Very appropriate and very comfortable. like very much. Very appropriate and very comfortable. like very much.</v>
      </c>
    </row>
    <row r="3285">
      <c r="A3285" s="1">
        <v>5.0</v>
      </c>
      <c r="B3285" s="1" t="s">
        <v>3275</v>
      </c>
      <c r="C3285" t="str">
        <f>IFERROR(__xludf.DUMMYFUNCTION("GOOGLETRANSLATE(B3285, ""zh"", ""en"")"),"Super comfortable super like his girlfriend. Although the package hip, but wear very sexy oh.")</f>
        <v>Super comfortable super like his girlfriend. Although the package hip, but wear very sexy oh.</v>
      </c>
    </row>
    <row r="3286">
      <c r="A3286" s="1">
        <v>5.0</v>
      </c>
      <c r="B3286" s="1" t="s">
        <v>3276</v>
      </c>
      <c r="C3286" t="str">
        <f>IFERROR(__xludf.DUMMYFUNCTION("GOOGLETRANSLATE(B3286, ""zh"", ""en"")"),"Yes! Comfortable, just get our hands wrinkled, need ironing")</f>
        <v>Yes! Comfortable, just get our hands wrinkled, need ironing</v>
      </c>
    </row>
    <row r="3287">
      <c r="A3287" s="1">
        <v>5.0</v>
      </c>
      <c r="B3287" s="1" t="s">
        <v>3277</v>
      </c>
      <c r="C3287" t="str">
        <f>IFERROR(__xludf.DUMMYFUNCTION("GOOGLETRANSLATE(B3287, ""zh"", ""en"")"),"Fury Like ✧❝ ཻ ͋≀ ̗❝ ཻ ͋˶ completely in line with my expectations of something very good")</f>
        <v>Fury Like ✧❝ ཻ ͋≀ ̗❝ ཻ ͋˶ completely in line with my expectations of something very good</v>
      </c>
    </row>
    <row r="3288">
      <c r="A3288" s="1">
        <v>5.0</v>
      </c>
      <c r="B3288" s="1" t="s">
        <v>3278</v>
      </c>
      <c r="C3288" t="str">
        <f>IFERROR(__xludf.DUMMYFUNCTION("GOOGLETRANSLATE(B3288, ""zh"", ""en"")"),"Like easy to use - like, something positive.")</f>
        <v>Like easy to use - like, something positive.</v>
      </c>
    </row>
    <row r="3289">
      <c r="A3289" s="1">
        <v>5.0</v>
      </c>
      <c r="B3289" s="1" t="s">
        <v>3279</v>
      </c>
      <c r="C3289" t="str">
        <f>IFERROR(__xludf.DUMMYFUNCTION("GOOGLETRANSLATE(B3289, ""zh"", ""en"")"),"Which thermal underwear thermal underwear good thermal properties")</f>
        <v>Which thermal underwear thermal underwear good thermal properties</v>
      </c>
    </row>
    <row r="3290">
      <c r="A3290" s="1">
        <v>5.0</v>
      </c>
      <c r="B3290" s="1" t="s">
        <v>3280</v>
      </c>
      <c r="C3290" t="str">
        <f>IFERROR(__xludf.DUMMYFUNCTION("GOOGLETRANSLATE(B3290, ""zh"", ""en"")"),"Good bowl bowl very nice and practical, I like, I give praise! Good!")</f>
        <v>Good bowl bowl very nice and practical, I like, I give praise! Good!</v>
      </c>
    </row>
    <row r="3291">
      <c r="A3291" s="1">
        <v>5.0</v>
      </c>
      <c r="B3291" s="1" t="s">
        <v>3281</v>
      </c>
      <c r="C3291" t="str">
        <f>IFERROR(__xludf.DUMMYFUNCTION("GOOGLETRANSLATE(B3291, ""zh"", ""en"")"),"Cheap! Reach expectations, cheap!")</f>
        <v>Cheap! Reach expectations, cheap!</v>
      </c>
    </row>
    <row r="3292">
      <c r="A3292" s="1">
        <v>5.0</v>
      </c>
      <c r="B3292" s="1" t="s">
        <v>3282</v>
      </c>
      <c r="C3292" t="str">
        <f>IFERROR(__xludf.DUMMYFUNCTION("GOOGLETRANSLATE(B3292, ""zh"", ""en"")"),"Value size is very accurate, good version of type, fabric feel comfortable, buy a")</f>
        <v>Value size is very accurate, good version of type, fabric feel comfortable, buy a</v>
      </c>
    </row>
    <row r="3293">
      <c r="A3293" s="1">
        <v>5.0</v>
      </c>
      <c r="B3293" s="1" t="s">
        <v>3283</v>
      </c>
      <c r="C3293" t="str">
        <f>IFERROR(__xludf.DUMMYFUNCTION("GOOGLETRANSLATE(B3293, ""zh"", ""en"")"),"Good good, very convenient filter cup, where to have clean water to drink it!")</f>
        <v>Good good, very convenient filter cup, where to have clean water to drink it!</v>
      </c>
    </row>
    <row r="3294">
      <c r="A3294" s="1">
        <v>5.0</v>
      </c>
      <c r="B3294" s="1" t="s">
        <v>3284</v>
      </c>
      <c r="C3294" t="str">
        <f>IFERROR(__xludf.DUMMYFUNCTION("GOOGLETRANSLATE(B3294, ""zh"", ""en"")"),"Comfortable, not falling soft and comfortable, will not fall off, the length is also very good, a little up to the calf.")</f>
        <v>Comfortable, not falling soft and comfortable, will not fall off, the length is also very good, a little up to the calf.</v>
      </c>
    </row>
    <row r="3295">
      <c r="A3295" s="1">
        <v>5.0</v>
      </c>
      <c r="B3295" s="1" t="s">
        <v>3285</v>
      </c>
      <c r="C3295" t="str">
        <f>IFERROR(__xludf.DUMMYFUNCTION("GOOGLETRANSLATE(B3295, ""zh"", ""en"")"),"Lion mild mint toothpaste 130g × 10 good results, has been using this toothpaste.")</f>
        <v>Lion mild mint toothpaste 130g × 10 good results, has been using this toothpaste.</v>
      </c>
    </row>
    <row r="3296">
      <c r="A3296" s="1">
        <v>5.0</v>
      </c>
      <c r="B3296" s="1" t="s">
        <v>3286</v>
      </c>
      <c r="C3296" t="str">
        <f>IFERROR(__xludf.DUMMYFUNCTION("GOOGLETRANSLATE(B3296, ""zh"", ""en"")"),"Very pleasant sea once purchased about half the time waiting for it! I wear just the right size of 41 yards, very light shoes very comfortable to wear. Shoes are very light and very comfortable")</f>
        <v>Very pleasant sea once purchased about half the time waiting for it! I wear just the right size of 41 yards, very light shoes very comfortable to wear. Shoes are very light and very comfortable</v>
      </c>
    </row>
    <row r="3297">
      <c r="A3297" s="1">
        <v>5.0</v>
      </c>
      <c r="B3297" s="1" t="s">
        <v>3287</v>
      </c>
      <c r="C3297" t="str">
        <f>IFERROR(__xludf.DUMMYFUNCTION("GOOGLETRANSLATE(B3297, ""zh"", ""en"")"),"Good quality, worth buying! Good quality, worth buying!")</f>
        <v>Good quality, worth buying! Good quality, worth buying!</v>
      </c>
    </row>
    <row r="3298">
      <c r="A3298" s="1">
        <v>5.0</v>
      </c>
      <c r="B3298" s="1" t="s">
        <v>3288</v>
      </c>
      <c r="C3298" t="str">
        <f>IFERROR(__xludf.DUMMYFUNCTION("GOOGLETRANSLATE(B3298, ""zh"", ""en"")"),"Like the right size, comfortable to wear the right size.")</f>
        <v>Like the right size, comfortable to wear the right size.</v>
      </c>
    </row>
    <row r="3299">
      <c r="A3299" s="1">
        <v>5.0</v>
      </c>
      <c r="B3299" s="1" t="s">
        <v>3289</v>
      </c>
      <c r="C3299" t="str">
        <f>IFERROR(__xludf.DUMMYFUNCTION("GOOGLETRANSLATE(B3299, ""zh"", ""en"")"),"Authentic voice without rhetoric and not tire of listening to a rare case of Z is really affordable decisive start listening Qinglie sound quality and real listening is really not greasy provide good quality thank you Amazon!")</f>
        <v>Authentic voice without rhetoric and not tire of listening to a rare case of Z is really affordable decisive start listening Qinglie sound quality and real listening is really not greasy provide good quality thank you Amazon!</v>
      </c>
    </row>
    <row r="3300">
      <c r="A3300" s="1">
        <v>5.0</v>
      </c>
      <c r="B3300" s="1" t="s">
        <v>3290</v>
      </c>
      <c r="C3300" t="str">
        <f>IFERROR(__xludf.DUMMYFUNCTION("GOOGLETRANSLATE(B3300, ""zh"", ""en"")"),"First purchase how Lee Lee and domestic differentiated, first met with elastic waistband pants identification of different")</f>
        <v>First purchase how Lee Lee and domestic differentiated, first met with elastic waistband pants identification of different</v>
      </c>
    </row>
    <row r="3301">
      <c r="A3301" s="1">
        <v>5.0</v>
      </c>
      <c r="B3301" s="1" t="s">
        <v>3291</v>
      </c>
      <c r="C3301" t="str">
        <f>IFERROR(__xludf.DUMMYFUNCTION("GOOGLETRANSLATE(B3301, ""zh"", ""en"")"),"Like the small clay pot super like a stew with rice together is not small ~ ~ do claypot are Terrific")</f>
        <v>Like the small clay pot super like a stew with rice together is not small ~ ~ do claypot are Terrific</v>
      </c>
    </row>
    <row r="3302">
      <c r="A3302" s="1">
        <v>5.0</v>
      </c>
      <c r="B3302" s="1" t="s">
        <v>3292</v>
      </c>
      <c r="C3302" t="str">
        <f>IFERROR(__xludf.DUMMYFUNCTION("GOOGLETRANSLATE(B3302, ""zh"", ""en"")"),"Skateboard shoes are genuine, quite good.")</f>
        <v>Skateboard shoes are genuine, quite good.</v>
      </c>
    </row>
    <row r="3303">
      <c r="A3303" s="1">
        <v>5.0</v>
      </c>
      <c r="B3303" s="1" t="s">
        <v>3293</v>
      </c>
      <c r="C3303" t="str">
        <f>IFERROR(__xludf.DUMMYFUNCTION("GOOGLETRANSLATE(B3303, ""zh"", ""en"")"),"The new filter, filtration speed, the less carbon residue")</f>
        <v>The new filter, filtration speed, the less carbon residue</v>
      </c>
    </row>
    <row r="3304">
      <c r="A3304" s="1">
        <v>5.0</v>
      </c>
      <c r="B3304" s="1" t="s">
        <v>3294</v>
      </c>
      <c r="C3304" t="str">
        <f>IFERROR(__xludf.DUMMYFUNCTION("GOOGLETRANSLATE(B3304, ""zh"", ""en"")"),"This bra is a woman's best friend wearing super comfortable, like wearing the same, and breast shape is also very good, and beautiful. My husband said this very style lace, love, and immediately repurchase stockpile.")</f>
        <v>This bra is a woman's best friend wearing super comfortable, like wearing the same, and breast shape is also very good, and beautiful. My husband said this very style lace, love, and immediately repurchase stockpile.</v>
      </c>
    </row>
    <row r="3305">
      <c r="A3305" s="1">
        <v>2.0</v>
      </c>
      <c r="B3305" s="1" t="s">
        <v>3295</v>
      </c>
      <c r="C3305" t="str">
        <f>IFERROR(__xludf.DUMMYFUNCTION("GOOGLETRANSLATE(B3305, ""zh"", ""en"")"),"Old a long line of wireless features which function in which the amount of wireless (⊙o⊙)? Old long a wire")</f>
        <v>Old a long line of wireless features which function in which the amount of wireless (⊙o⊙)? Old long a wire</v>
      </c>
    </row>
    <row r="3306">
      <c r="A3306" s="1">
        <v>3.0</v>
      </c>
      <c r="B3306" s="1" t="s">
        <v>3296</v>
      </c>
      <c r="C3306" t="str">
        <f>IFERROR(__xludf.DUMMYFUNCTION("GOOGLETRANSLATE(B3306, ""zh"", ""en"")"),"Disappointed sound too sharp, harsh, disappointed")</f>
        <v>Disappointed sound too sharp, harsh, disappointed</v>
      </c>
    </row>
    <row r="3307">
      <c r="A3307" s="1">
        <v>3.0</v>
      </c>
      <c r="B3307" s="1" t="s">
        <v>3297</v>
      </c>
      <c r="C3307" t="str">
        <f>IFERROR(__xludf.DUMMYFUNCTION("GOOGLETRANSLATE(B3307, ""zh"", ""en"")"),"Not confirm whether it is genuine and I asked my colleagues from the United States to buy taste, color, smoothies are not the same, not really suspect")</f>
        <v>Not confirm whether it is genuine and I asked my colleagues from the United States to buy taste, color, smoothies are not the same, not really suspect</v>
      </c>
    </row>
    <row r="3308">
      <c r="A3308" s="1">
        <v>1.0</v>
      </c>
      <c r="B3308" s="1" t="s">
        <v>3298</v>
      </c>
      <c r="C3308" t="str">
        <f>IFERROR(__xludf.DUMMYFUNCTION("GOOGLETRANSLATE(B3308, ""zh"", ""en"")"),"Wash big. . . Clothing material is good. However, after washing, at least a bigger number. . . What is the principle? Why are not all shrink. . .")</f>
        <v>Wash big. . . Clothing material is good. However, after washing, at least a bigger number. . . What is the principle? Why are not all shrink. . .</v>
      </c>
    </row>
    <row r="3309">
      <c r="A3309" s="1">
        <v>1.0</v>
      </c>
      <c r="B3309" s="1" t="s">
        <v>3299</v>
      </c>
      <c r="C3309" t="str">
        <f>IFERROR(__xludf.DUMMYFUNCTION("GOOGLETRANSLATE(B3309, ""zh"", ""en"")"),"Medela Yun Fei bilateral charging very bad rubbish, poor customer service attitude, November activities that have the right to store the goods, receipt tried the machine can be used, in February for the first time with children, only to find that the scre"&amp;"en is not charging display, direct customer service said that after more than one Yuefen aging is not responsible for the sale, make direct contact Medela's official website, themselves, never to Amazon to buy expensive appliances, and there is no guarant"&amp;"ee, three months to ignore the , is not such a big platform for their own set of sale!")</f>
        <v>Medela Yun Fei bilateral charging very bad rubbish, poor customer service attitude, November activities that have the right to store the goods, receipt tried the machine can be used, in February for the first time with children, only to find that the screen is not charging display, direct customer service said that after more than one Yuefen aging is not responsible for the sale, make direct contact Medela's official website, themselves, never to Amazon to buy expensive appliances, and there is no guarantee, three months to ignore the , is not such a big platform for their own set of sale!</v>
      </c>
    </row>
    <row r="3310">
      <c r="A3310" s="1">
        <v>1.0</v>
      </c>
      <c r="B3310" s="1" t="s">
        <v>3300</v>
      </c>
      <c r="C3310" t="str">
        <f>IFERROR(__xludf.DUMMYFUNCTION("GOOGLETRANSLATE(B3310, ""zh"", ""en"")"),"It too much anymore than 160 girls do not consider! ! ! Single I want to give my dad! ! !")</f>
        <v>It too much anymore than 160 girls do not consider! ! ! Single I want to give my dad! ! !</v>
      </c>
    </row>
    <row r="3311">
      <c r="A3311" s="1">
        <v>4.0</v>
      </c>
      <c r="B3311" s="1" t="s">
        <v>3301</v>
      </c>
      <c r="C3311" t="str">
        <f>IFERROR(__xludf.DUMMYFUNCTION("GOOGLETRANSLATE(B3311, ""zh"", ""en"")"),"Foreign yardage really could not believe, and a lot of domestic large shoes too large, bought the first day rub off a piece, very hard to accept")</f>
        <v>Foreign yardage really could not believe, and a lot of domestic large shoes too large, bought the first day rub off a piece, very hard to accept</v>
      </c>
    </row>
    <row r="3312">
      <c r="A3312" s="1">
        <v>4.0</v>
      </c>
      <c r="B3312" s="1" t="s">
        <v>3302</v>
      </c>
      <c r="C3312" t="str">
        <f>IFERROR(__xludf.DUMMYFUNCTION("GOOGLETRANSLATE(B3312, ""zh"", ""en"")"),"m first experience tnf tnf first time to buy warm and very good number of properly properly 181cm 72kg")</f>
        <v>m first experience tnf tnf first time to buy warm and very good number of properly properly 181cm 72kg</v>
      </c>
    </row>
    <row r="3313">
      <c r="A3313" s="1">
        <v>4.0</v>
      </c>
      <c r="B3313" s="1" t="s">
        <v>3303</v>
      </c>
      <c r="C3313" t="str">
        <f>IFERROR(__xludf.DUMMYFUNCTION("GOOGLETRANSLATE(B3313, ""zh"", ""en"")"),"Moderate good size, very soft leather, but the general style")</f>
        <v>Moderate good size, very soft leather, but the general style</v>
      </c>
    </row>
    <row r="3314">
      <c r="A3314" s="1">
        <v>4.0</v>
      </c>
      <c r="B3314" s="1" t="s">
        <v>3304</v>
      </c>
      <c r="C3314" t="str">
        <f>IFERROR(__xludf.DUMMYFUNCTION("GOOGLETRANSLATE(B3314, ""zh"", ""en"")"),"Okay I do not know why there is no paper to wipe the ink")</f>
        <v>Okay I do not know why there is no paper to wipe the ink</v>
      </c>
    </row>
    <row r="3315">
      <c r="A3315" s="1">
        <v>4.0</v>
      </c>
      <c r="B3315" s="1" t="s">
        <v>3305</v>
      </c>
      <c r="C3315" t="str">
        <f>IFERROR(__xludf.DUMMYFUNCTION("GOOGLETRANSLATE(B3315, ""zh"", ""en"")"),"Small capacity of the original card with the camera, another large, good quality")</f>
        <v>Small capacity of the original card with the camera, another large, good quality</v>
      </c>
    </row>
    <row r="3316">
      <c r="A3316" s="1">
        <v>5.0</v>
      </c>
      <c r="B3316" s="1" t="s">
        <v>3306</v>
      </c>
      <c r="C3316" t="str">
        <f>IFERROR(__xludf.DUMMYFUNCTION("GOOGLETRANSLATE(B3316, ""zh"", ""en"")"),"Momentum is not small, use a good husband to buy, momentum is not small, just fine.")</f>
        <v>Momentum is not small, use a good husband to buy, momentum is not small, just fine.</v>
      </c>
    </row>
    <row r="3317">
      <c r="A3317" s="1">
        <v>5.0</v>
      </c>
      <c r="B3317" s="1" t="s">
        <v>3307</v>
      </c>
      <c r="C3317" t="str">
        <f>IFERROR(__xludf.DUMMYFUNCTION("GOOGLETRANSLATE(B3317, ""zh"", ""en"")"),"Like express better than expected, with eight days from delivery to now, from order to use now for 14 days, packaging is very advanced, Indonesia produced, 37.5 yards wearing five yards particularly suitable, very satisfied very satisfied")</f>
        <v>Like express better than expected, with eight days from delivery to now, from order to use now for 14 days, packaging is very advanced, Indonesia produced, 37.5 yards wearing five yards particularly suitable, very satisfied very satisfied</v>
      </c>
    </row>
    <row r="3318">
      <c r="A3318" s="1">
        <v>5.0</v>
      </c>
      <c r="B3318" s="1" t="s">
        <v>3308</v>
      </c>
      <c r="C3318" t="str">
        <f>IFERROR(__xludf.DUMMYFUNCTION("GOOGLETRANSLATE(B3318, ""zh"", ""en"")"),"Size standard quality is good, I usually wear shoes 40 feet long 25.5mm, just choose ECCO UK7.5, display 41 yards shoes, size standards. Other ecco shoes, one pair is the same size, very appropriate. For reference.")</f>
        <v>Size standard quality is good, I usually wear shoes 40 feet long 25.5mm, just choose ECCO UK7.5, display 41 yards shoes, size standards. Other ecco shoes, one pair is the same size, very appropriate. For reference.</v>
      </c>
    </row>
    <row r="3319">
      <c r="A3319" s="1">
        <v>5.0</v>
      </c>
      <c r="B3319" s="1" t="s">
        <v>3309</v>
      </c>
      <c r="C3319" t="str">
        <f>IFERROR(__xludf.DUMMYFUNCTION("GOOGLETRANSLATE(B3319, ""zh"", ""en"")"),"Fortunately, size, good material")</f>
        <v>Fortunately, size, good material</v>
      </c>
    </row>
    <row r="3320">
      <c r="A3320" s="1">
        <v>5.0</v>
      </c>
      <c r="B3320" s="1" t="s">
        <v>3310</v>
      </c>
      <c r="C3320" t="str">
        <f>IFERROR(__xludf.DUMMYFUNCTION("GOOGLETRANSLATE(B3320, ""zh"", ""en"")"),"Thin and light, just do not know the future will not be deformed. Pants also, thin, color is also suitable for summer wear, I 178/75, M number just buy it, pedicure pants, a significant slender legs, good body. If you want to wear loose a little on the L "&amp;"number.")</f>
        <v>Thin and light, just do not know the future will not be deformed. Pants also, thin, color is also suitable for summer wear, I 178/75, M number just buy it, pedicure pants, a significant slender legs, good body. If you want to wear loose a little on the L number.</v>
      </c>
    </row>
    <row r="3321">
      <c r="A3321" s="1">
        <v>5.0</v>
      </c>
      <c r="B3321" s="1" t="s">
        <v>3311</v>
      </c>
      <c r="C3321" t="str">
        <f>IFERROR(__xludf.DUMMYFUNCTION("GOOGLETRANSLATE(B3321, ""zh"", ""en"")"),"Value !! color is what I want, pants style is suitable for our age. In short everything exceeded my expectations.")</f>
        <v>Value !! color is what I want, pants style is suitable for our age. In short everything exceeded my expectations.</v>
      </c>
    </row>
    <row r="3322">
      <c r="A3322" s="1">
        <v>5.0</v>
      </c>
      <c r="B3322" s="1" t="s">
        <v>3312</v>
      </c>
      <c r="C3322" t="str">
        <f>IFERROR(__xludf.DUMMYFUNCTION("GOOGLETRANSLATE(B3322, ""zh"", ""en"")"),"Practical internal partitions very practical, color is also good")</f>
        <v>Practical internal partitions very practical, color is also good</v>
      </c>
    </row>
    <row r="3323">
      <c r="A3323" s="1">
        <v>5.0</v>
      </c>
      <c r="B3323" s="1" t="s">
        <v>3313</v>
      </c>
      <c r="C3323" t="str">
        <f>IFERROR(__xludf.DUMMYFUNCTION("GOOGLETRANSLATE(B3323, ""zh"", ""en"")"),"Overall feeling good, absolutely authentic! Logistics is not slow, a week or so received. Number suitable, good quality shoes, feet first day feeling good, that is a little stiffer soles")</f>
        <v>Overall feeling good, absolutely authentic! Logistics is not slow, a week or so received. Number suitable, good quality shoes, feet first day feeling good, that is a little stiffer soles</v>
      </c>
    </row>
    <row r="3324">
      <c r="A3324" s="1">
        <v>5.0</v>
      </c>
      <c r="B3324" s="1" t="s">
        <v>3314</v>
      </c>
      <c r="C3324" t="str">
        <f>IFERROR(__xludf.DUMMYFUNCTION("GOOGLETRANSLATE(B3324, ""zh"", ""en"")"),"So comfortable 175,75kg, m very appropriate")</f>
        <v>So comfortable 175,75kg, m very appropriate</v>
      </c>
    </row>
    <row r="3325">
      <c r="A3325" s="1">
        <v>5.0</v>
      </c>
      <c r="B3325" s="1" t="s">
        <v>3315</v>
      </c>
      <c r="C3325" t="str">
        <f>IFERROR(__xludf.DUMMYFUNCTION("GOOGLETRANSLATE(B3325, ""zh"", ""en"")"),"Still very recognized brand products, hoping consumers do not live up to this have been used, but also close friends")</f>
        <v>Still very recognized brand products, hoping consumers do not live up to this have been used, but also close friends</v>
      </c>
    </row>
    <row r="3326">
      <c r="A3326" s="1">
        <v>5.0</v>
      </c>
      <c r="B3326" s="1" t="s">
        <v>3316</v>
      </c>
      <c r="C3326" t="str">
        <f>IFERROR(__xludf.DUMMYFUNCTION("GOOGLETRANSLATE(B3326, ""zh"", ""en"")"),"Shoes a little bit small, fleshy foot freshman code would buy good shoes, very light, very appropriate for girls to wear, but unfortunately that is a bit small. I am ready to continue to buy a pair")</f>
        <v>Shoes a little bit small, fleshy foot freshman code would buy good shoes, very light, very appropriate for girls to wear, but unfortunately that is a bit small. I am ready to continue to buy a pair</v>
      </c>
    </row>
    <row r="3327">
      <c r="A3327" s="1">
        <v>5.0</v>
      </c>
      <c r="B3327" s="1" t="s">
        <v>3317</v>
      </c>
      <c r="C3327" t="str">
        <f>IFERROR(__xludf.DUMMYFUNCTION("GOOGLETRANSLATE(B3327, ""zh"", ""en"")"),"There are valid for three months with effect")</f>
        <v>There are valid for three months with effect</v>
      </c>
    </row>
    <row r="3328">
      <c r="A3328" s="1">
        <v>5.0</v>
      </c>
      <c r="B3328" s="1" t="s">
        <v>3318</v>
      </c>
      <c r="C3328" t="str">
        <f>IFERROR(__xludf.DUMMYFUNCTION("GOOGLETRANSLATE(B3328, ""zh"", ""en"")"),"The real thing! Cost-effective! Membership trial period free shipping buy more than 250 hand, ultra-extreme cost-effective, although waited 10 days, the key is the real thing! A treasure afraid of fakes, not that cheaper than some Beijing two points!")</f>
        <v>The real thing! Cost-effective! Membership trial period free shipping buy more than 250 hand, ultra-extreme cost-effective, although waited 10 days, the key is the real thing! A treasure afraid of fakes, not that cheaper than some Beijing two points!</v>
      </c>
    </row>
    <row r="3329">
      <c r="A3329" s="1">
        <v>5.0</v>
      </c>
      <c r="B3329" s="1" t="s">
        <v>3319</v>
      </c>
      <c r="C3329" t="str">
        <f>IFERROR(__xludf.DUMMYFUNCTION("GOOGLETRANSLATE(B3329, ""zh"", ""en"")"),"Suitable size 175cm, 75kg, M code appropriate. Reference comments selected size. To mitigate the single cargo freight Minato, slightly old-fashioned, to the old man.")</f>
        <v>Suitable size 175cm, 75kg, M code appropriate. Reference comments selected size. To mitigate the single cargo freight Minato, slightly old-fashioned, to the old man.</v>
      </c>
    </row>
    <row r="3330">
      <c r="A3330" s="1">
        <v>5.0</v>
      </c>
      <c r="B3330" s="1" t="s">
        <v>3320</v>
      </c>
      <c r="C3330" t="str">
        <f>IFERROR(__xludf.DUMMYFUNCTION("GOOGLETRANSLATE(B3330, ""zh"", ""en"")"),"Value for money packaging intact flawless fit very comfortable to wear most important thing is cheaper than nearly half of the country should start with the money")</f>
        <v>Value for money packaging intact flawless fit very comfortable to wear most important thing is cheaper than nearly half of the country should start with the money</v>
      </c>
    </row>
    <row r="3331">
      <c r="A3331" s="1">
        <v>5.0</v>
      </c>
      <c r="B3331" s="1" t="s">
        <v>3321</v>
      </c>
      <c r="C3331" t="str">
        <f>IFERROR(__xludf.DUMMYFUNCTION("GOOGLETRANSLATE(B3331, ""zh"", ""en"")"),"Five Star too expensive! The basic cost is zero. But the explosion models, wife of fans not, it was enough.")</f>
        <v>Five Star too expensive! The basic cost is zero. But the explosion models, wife of fans not, it was enough.</v>
      </c>
    </row>
    <row r="3332">
      <c r="A3332" s="1">
        <v>5.0</v>
      </c>
      <c r="B3332" s="1" t="s">
        <v>3322</v>
      </c>
      <c r="C3332" t="str">
        <f>IFERROR(__xludf.DUMMYFUNCTION("GOOGLETRANSLATE(B3332, ""zh"", ""en"")"),"One little smaller size")</f>
        <v>One little smaller size</v>
      </c>
    </row>
    <row r="3333">
      <c r="A3333" s="1">
        <v>5.0</v>
      </c>
      <c r="B3333" s="1" t="s">
        <v>3323</v>
      </c>
      <c r="C3333" t="str">
        <f>IFERROR(__xludf.DUMMYFUNCTION("GOOGLETRANSLATE(B3333, ""zh"", ""en"")"),"Genuine good quality wear it over a half a month review, this shoe is genuine, good quality, much cheaper than the store. Overseas purchase return a lot of trouble, I recommend a good test in the store and then buy online. We tried to go to the store, som"&amp;"e styles do not fit, this is a very appropriate.")</f>
        <v>Genuine good quality wear it over a half a month review, this shoe is genuine, good quality, much cheaper than the store. Overseas purchase return a lot of trouble, I recommend a good test in the store and then buy online. We tried to go to the store, some styles do not fit, this is a very appropriate.</v>
      </c>
    </row>
    <row r="3334">
      <c r="A3334" s="1">
        <v>5.0</v>
      </c>
      <c r="B3334" s="1" t="s">
        <v>3324</v>
      </c>
      <c r="C3334" t="str">
        <f>IFERROR(__xludf.DUMMYFUNCTION("GOOGLETRANSLATE(B3334, ""zh"", ""en"")"),"Leather looks very, very good, very thick, it is wear-resistant leather. Within the inner tube hair, warm in winter. Wear the right size, feet wrapped in comfort!")</f>
        <v>Leather looks very, very good, very thick, it is wear-resistant leather. Within the inner tube hair, warm in winter. Wear the right size, feet wrapped in comfort!</v>
      </c>
    </row>
    <row r="3335">
      <c r="A3335" s="1">
        <v>5.0</v>
      </c>
      <c r="B3335" s="1" t="s">
        <v>3325</v>
      </c>
      <c r="C3335" t="str">
        <f>IFERROR(__xludf.DUMMYFUNCTION("GOOGLETRANSLATE(B3335, ""zh"", ""en"")"),"Recommended a little small, but the feeling is good, it is recommended.")</f>
        <v>Recommended a little small, but the feeling is good, it is recommended.</v>
      </c>
    </row>
    <row r="3336">
      <c r="A3336" s="1">
        <v>5.0</v>
      </c>
      <c r="B3336" s="1" t="s">
        <v>3326</v>
      </c>
      <c r="C3336" t="str">
        <f>IFERROR(__xludf.DUMMYFUNCTION("GOOGLETRANSLATE(B3336, ""zh"", ""en"")"),"Worth buying just received, various functions are tried, very good use. The price is much cheaper than the domestic counter. It is the lack of juicer and instructions in Chinese, Chinese recipes. But overall is still good, it is worth starting")</f>
        <v>Worth buying just received, various functions are tried, very good use. The price is much cheaper than the domestic counter. It is the lack of juicer and instructions in Chinese, Chinese recipes. But overall is still good, it is worth starting</v>
      </c>
    </row>
    <row r="3337">
      <c r="A3337" s="1">
        <v>5.0</v>
      </c>
      <c r="B3337" s="1" t="s">
        <v>3327</v>
      </c>
      <c r="C3337" t="str">
        <f>IFERROR(__xludf.DUMMYFUNCTION("GOOGLETRANSLATE(B3337, ""zh"", ""en"")"),"Good country with Japan, some really bad, at least the Japanese version of the open without any taste! But also MADE IN CHINA")</f>
        <v>Good country with Japan, some really bad, at least the Japanese version of the open without any taste! But also MADE IN CHINA</v>
      </c>
    </row>
    <row r="3338">
      <c r="A3338" s="1">
        <v>2.0</v>
      </c>
      <c r="B3338" s="1" t="s">
        <v>3328</v>
      </c>
      <c r="C3338" t="str">
        <f>IFERROR(__xludf.DUMMYFUNCTION("GOOGLETRANSLATE(B3338, ""zh"", ""en"")"),"The power consumption of too much power!")</f>
        <v>The power consumption of too much power!</v>
      </c>
    </row>
    <row r="3339">
      <c r="A3339" s="1">
        <v>3.0</v>
      </c>
      <c r="B3339" s="1" t="s">
        <v>3329</v>
      </c>
      <c r="C3339" t="str">
        <f>IFERROR(__xludf.DUMMYFUNCTION("GOOGLETRANSLATE(B3339, ""zh"", ""en"")"),"That is not a small straight Slim and photos look quite the same, the feeling is straight, not straight Slim.")</f>
        <v>That is not a small straight Slim and photos look quite the same, the feeling is straight, not straight Slim.</v>
      </c>
    </row>
    <row r="3340">
      <c r="A3340" s="1">
        <v>3.0</v>
      </c>
      <c r="B3340" s="1" t="s">
        <v>3330</v>
      </c>
      <c r="C3340" t="str">
        <f>IFERROR(__xludf.DUMMYFUNCTION("GOOGLETRANSLATE(B3340, ""zh"", ""en"")"),"Small so small, there is no spoon. Not from the previous evaluation, I do not know how many wasted points, points can change money now know, they should look carefully evaluated, then I put these words to copy to go, both to earn points, but also save tro"&amp;"uble, they go where copy the most important thing is, do not seriously review, do not think how much worse word, sent directly to it, recommend it to everyone!")</f>
        <v>Small so small, there is no spoon. Not from the previous evaluation, I do not know how many wasted points, points can change money now know, they should look carefully evaluated, then I put these words to copy to go, both to earn points, but also save trouble, they go where copy the most important thing is, do not seriously review, do not think how much worse word, sent directly to it, recommend it to everyone!</v>
      </c>
    </row>
    <row r="3341">
      <c r="A3341" s="1">
        <v>3.0</v>
      </c>
      <c r="B3341" s="1" t="s">
        <v>3331</v>
      </c>
      <c r="C3341" t="str">
        <f>IFERROR(__xludf.DUMMYFUNCTION("GOOGLETRANSLATE(B3341, ""zh"", ""en"")"),"Too much is too large, there is no way to wear")</f>
        <v>Too much is too large, there is no way to wear</v>
      </c>
    </row>
    <row r="3342">
      <c r="A3342" s="1">
        <v>1.0</v>
      </c>
      <c r="B3342" s="1" t="s">
        <v>3332</v>
      </c>
      <c r="C3342" t="str">
        <f>IFERROR(__xludf.DUMMYFUNCTION("GOOGLETRANSLATE(B3342, ""zh"", ""en"")"),"Work is too rough, size is too large belt technology is too rough, is not the real thing Oh, size and dimensions do not meet the mark.")</f>
        <v>Work is too rough, size is too large belt technology is too rough, is not the real thing Oh, size and dimensions do not meet the mark.</v>
      </c>
    </row>
    <row r="3343">
      <c r="A3343" s="1">
        <v>1.0</v>
      </c>
      <c r="B3343" s="1" t="s">
        <v>3333</v>
      </c>
      <c r="C3343" t="str">
        <f>IFERROR(__xludf.DUMMYFUNCTION("GOOGLETRANSLATE(B3343, ""zh"", ""en"")"),"What sense of shame or not there is water use is not ideal")</f>
        <v>What sense of shame or not there is water use is not ideal</v>
      </c>
    </row>
    <row r="3344">
      <c r="A3344" s="1">
        <v>1.0</v>
      </c>
      <c r="B3344" s="1" t="s">
        <v>3334</v>
      </c>
      <c r="C3344" t="str">
        <f>IFERROR(__xludf.DUMMYFUNCTION("GOOGLETRANSLATE(B3344, ""zh"", ""en"")"),"Sale insecurity, need to be cautious to buy! ! September 12 arrival, the situation is not the red power October 15 appeared, overseas shopping can not guarantee domestic, to Depot Repair, costs 220 once, too pit! !")</f>
        <v>Sale insecurity, need to be cautious to buy! ! September 12 arrival, the situation is not the red power October 15 appeared, overseas shopping can not guarantee domestic, to Depot Repair, costs 220 once, too pit! !</v>
      </c>
    </row>
    <row r="3345">
      <c r="A3345" s="1">
        <v>4.0</v>
      </c>
      <c r="B3345" s="1" t="s">
        <v>3335</v>
      </c>
      <c r="C3345" t="str">
        <f>IFERROR(__xludf.DUMMYFUNCTION("GOOGLETRANSLATE(B3345, ""zh"", ""en"")"),"Also from the Philippines, work in general, the sound quality is acceptable, listening to music 3 to 4 hours. There are two silicone earmuffs")</f>
        <v>Also from the Philippines, work in general, the sound quality is acceptable, listening to music 3 to 4 hours. There are two silicone earmuffs</v>
      </c>
    </row>
    <row r="3346">
      <c r="A3346" s="1">
        <v>4.0</v>
      </c>
      <c r="B3346" s="1" t="s">
        <v>3336</v>
      </c>
      <c r="C3346" t="str">
        <f>IFERROR(__xludf.DUMMYFUNCTION("GOOGLETRANSLATE(B3346, ""zh"", ""en"")"),"hansgrohe Hansgrohe PuraVida Single lever basin mixer 110 with a push overboard white / chrome faucet ... very good, that was the time to buy did not pay attention, just below the white ceramic surface stainless steel color, if it is all stainless steel A"&amp;"ll right.")</f>
        <v>hansgrohe Hansgrohe PuraVida Single lever basin mixer 110 with a push overboard white / chrome faucet ... very good, that was the time to buy did not pay attention, just below the white ceramic surface stainless steel color, if it is all stainless steel All right.</v>
      </c>
    </row>
    <row r="3347">
      <c r="A3347" s="1">
        <v>4.0</v>
      </c>
      <c r="B3347" s="1" t="s">
        <v>3337</v>
      </c>
      <c r="C3347" t="str">
        <f>IFERROR(__xludf.DUMMYFUNCTION("GOOGLETRANSLATE(B3347, ""zh"", ""en"")"),"The code will not, a little big. But good cheap")</f>
        <v>The code will not, a little big. But good cheap</v>
      </c>
    </row>
    <row r="3348">
      <c r="A3348" s="1">
        <v>4.0</v>
      </c>
      <c r="B3348" s="1" t="s">
        <v>3338</v>
      </c>
      <c r="C3348" t="str">
        <f>IFERROR(__xludf.DUMMYFUNCTION("GOOGLETRANSLATE(B3348, ""zh"", ""en"")"),"Which taste too good, it is to buy back the taste is too big, it is cheap feeling full")</f>
        <v>Which taste too good, it is to buy back the taste is too big, it is cheap feeling full</v>
      </c>
    </row>
    <row r="3349">
      <c r="A3349" s="1">
        <v>4.0</v>
      </c>
      <c r="B3349" s="1" t="s">
        <v>2270</v>
      </c>
      <c r="C3349" t="str">
        <f>IFERROR(__xludf.DUMMYFUNCTION("GOOGLETRANSLATE(B3349, ""zh"", ""en"")"),"No packaging, acceptable quality. Why not package it? It is genuine, bought, the same.")</f>
        <v>No packaging, acceptable quality. Why not package it? It is genuine, bought, the same.</v>
      </c>
    </row>
    <row r="3350">
      <c r="A3350" s="1">
        <v>5.0</v>
      </c>
      <c r="B3350" s="1" t="s">
        <v>3339</v>
      </c>
      <c r="C3350" t="str">
        <f>IFERROR(__xludf.DUMMYFUNCTION("GOOGLETRANSLATE(B3350, ""zh"", ""en"")"),"comotomo quality does not smell very good, very good quality. Two days is almost the price of a cat. Amazon also guarantees the quality of the US direct mail, endless love.")</f>
        <v>comotomo quality does not smell very good, very good quality. Two days is almost the price of a cat. Amazon also guarantees the quality of the US direct mail, endless love.</v>
      </c>
    </row>
    <row r="3351">
      <c r="A3351" s="1">
        <v>5.0</v>
      </c>
      <c r="B3351" s="1" t="s">
        <v>3340</v>
      </c>
      <c r="C3351" t="str">
        <f>IFERROR(__xludf.DUMMYFUNCTION("GOOGLETRANSLATE(B3351, ""zh"", ""en"")"),"This number is slightly longer slightly longer than 175,150 pounds")</f>
        <v>This number is slightly longer slightly longer than 175,150 pounds</v>
      </c>
    </row>
    <row r="3352">
      <c r="A3352" s="1">
        <v>5.0</v>
      </c>
      <c r="B3352" s="1" t="s">
        <v>3341</v>
      </c>
      <c r="C3352" t="str">
        <f>IFERROR(__xludf.DUMMYFUNCTION("GOOGLETRANSLATE(B3352, ""zh"", ""en"")"),"CK's worth buying this shirt very comfortable to wear, feel and that section AMANI similar, but the price Biamani that section of cheaper, well, I was repurchased. I love Amazon overseas purchase (broken sound!)")</f>
        <v>CK's worth buying this shirt very comfortable to wear, feel and that section AMANI similar, but the price Biamani that section of cheaper, well, I was repurchased. I love Amazon overseas purchase (broken sound!)</v>
      </c>
    </row>
    <row r="3353">
      <c r="A3353" s="1">
        <v>5.0</v>
      </c>
      <c r="B3353" s="1" t="s">
        <v>3342</v>
      </c>
      <c r="C3353" t="str">
        <f>IFERROR(__xludf.DUMMYFUNCTION("GOOGLETRANSLATE(B3353, ""zh"", ""en"")"),"The effect can not detect, taste good Winnie the sugar tastes good")</f>
        <v>The effect can not detect, taste good Winnie the sugar tastes good</v>
      </c>
    </row>
    <row r="3354">
      <c r="A3354" s="1">
        <v>5.0</v>
      </c>
      <c r="B3354" s="1" t="s">
        <v>3343</v>
      </c>
      <c r="C3354" t="str">
        <f>IFERROR(__xludf.DUMMYFUNCTION("GOOGLETRANSLATE(B3354, ""zh"", ""en"")"),"Good copy into the rate of about 120, the sound is not great.")</f>
        <v>Good copy into the rate of about 120, the sound is not great.</v>
      </c>
    </row>
    <row r="3355">
      <c r="A3355" s="1">
        <v>5.0</v>
      </c>
      <c r="B3355" s="1" t="s">
        <v>3344</v>
      </c>
      <c r="C3355" t="str">
        <f>IFERROR(__xludf.DUMMYFUNCTION("GOOGLETRANSLATE(B3355, ""zh"", ""en"")"),"Dr. Keith mouthwash a good mouthwash, effect good!")</f>
        <v>Dr. Keith mouthwash a good mouthwash, effect good!</v>
      </c>
    </row>
    <row r="3356">
      <c r="A3356" s="1">
        <v>5.0</v>
      </c>
      <c r="B3356" s="1" t="s">
        <v>3345</v>
      </c>
      <c r="C3356" t="str">
        <f>IFERROR(__xludf.DUMMYFUNCTION("GOOGLETRANSLATE(B3356, ""zh"", ""en"")"),"Beautiful, perfect look great, yes, the United States sent to China, and cheaper than domestic, it is to express slow, very nice watch. The proposed purchase.")</f>
        <v>Beautiful, perfect look great, yes, the United States sent to China, and cheaper than domestic, it is to express slow, very nice watch. The proposed purchase.</v>
      </c>
    </row>
    <row r="3357">
      <c r="A3357" s="1">
        <v>5.0</v>
      </c>
      <c r="B3357" s="1" t="s">
        <v>3346</v>
      </c>
      <c r="C3357" t="str">
        <f>IFERROR(__xludf.DUMMYFUNCTION("GOOGLETRANSLATE(B3357, ""zh"", ""en"")"),"Description is wrong is not loaded before replacing the empty box with storage box and sent a header no place to put, if determined to buy a storage box 100, the results sent to open stuffed with replacement equipment. . . My original brush still do not k"&amp;"now what to put, do not know is happy or sad. . .")</f>
        <v>Description is wrong is not loaded before replacing the empty box with storage box and sent a header no place to put, if determined to buy a storage box 100, the results sent to open stuffed with replacement equipment. . . My original brush still do not know what to put, do not know is happy or sad. . .</v>
      </c>
    </row>
    <row r="3358">
      <c r="A3358" s="1">
        <v>5.0</v>
      </c>
      <c r="B3358" s="1" t="s">
        <v>3347</v>
      </c>
      <c r="C3358" t="str">
        <f>IFERROR(__xludf.DUMMYFUNCTION("GOOGLETRANSLATE(B3358, ""zh"", ""en"")"),"38.5 yards, 5.5uk suitable. clarks been 5.5uk, my feet domestic 38.5 yards.")</f>
        <v>38.5 yards, 5.5uk suitable. clarks been 5.5uk, my feet domestic 38.5 yards.</v>
      </c>
    </row>
    <row r="3359">
      <c r="A3359" s="1">
        <v>5.0</v>
      </c>
      <c r="B3359" s="1" t="s">
        <v>3348</v>
      </c>
      <c r="C3359" t="str">
        <f>IFERROR(__xludf.DUMMYFUNCTION("GOOGLETRANSLATE(B3359, ""zh"", ""en"")"),"Quality line of clothes in general prices in general, no problems.")</f>
        <v>Quality line of clothes in general prices in general, no problems.</v>
      </c>
    </row>
    <row r="3360">
      <c r="A3360" s="1">
        <v>5.0</v>
      </c>
      <c r="B3360" s="1" t="s">
        <v>3349</v>
      </c>
      <c r="C3360" t="str">
        <f>IFERROR(__xludf.DUMMYFUNCTION("GOOGLETRANSLATE(B3360, ""zh"", ""en"")"),"Give their own point of praise said he likes to give his own said he likes thumbs up")</f>
        <v>Give their own point of praise said he likes to give his own said he likes thumbs up</v>
      </c>
    </row>
    <row r="3361">
      <c r="A3361" s="1">
        <v>5.0</v>
      </c>
      <c r="B3361" s="1" t="s">
        <v>3350</v>
      </c>
      <c r="C3361" t="str">
        <f>IFERROR(__xludf.DUMMYFUNCTION("GOOGLETRANSLATE(B3361, ""zh"", ""en"")"),"Very good very handsome, a watch, really like")</f>
        <v>Very good very handsome, a watch, really like</v>
      </c>
    </row>
    <row r="3362">
      <c r="A3362" s="1">
        <v>5.0</v>
      </c>
      <c r="B3362" s="1" t="s">
        <v>3351</v>
      </c>
      <c r="C3362" t="str">
        <f>IFERROR(__xludf.DUMMYFUNCTION("GOOGLETRANSLATE(B3362, ""zh"", ""en"")"),"Very good quality, size is too large 178 high, 95 kg weight, XXL clothes, almost big One, XL should be on the list.")</f>
        <v>Very good quality, size is too large 178 high, 95 kg weight, XXL clothes, almost big One, XL should be on the list.</v>
      </c>
    </row>
    <row r="3363">
      <c r="A3363" s="1">
        <v>5.0</v>
      </c>
      <c r="B3363" s="1" t="s">
        <v>3352</v>
      </c>
      <c r="C3363" t="str">
        <f>IFERROR(__xludf.DUMMYFUNCTION("GOOGLETRANSLATE(B3363, ""zh"", ""en"")"),"Satisfaction received come specially under evaluation, usually 39 to buy 41 very appropriate, I want to be a little freshman little bit of size, material should belong to the soft leather, but did not try in the mall female models soft leather so soft, th"&amp;"ere is no male and female the same paragraph crust so hard, in short, I feel moderate hardness, or the very type. I hope everyone has to help")</f>
        <v>Satisfaction received come specially under evaluation, usually 39 to buy 41 very appropriate, I want to be a little freshman little bit of size, material should belong to the soft leather, but did not try in the mall female models soft leather so soft, there is no male and female the same paragraph crust so hard, in short, I feel moderate hardness, or the very type. I hope everyone has to help</v>
      </c>
    </row>
    <row r="3364">
      <c r="A3364" s="1">
        <v>5.0</v>
      </c>
      <c r="B3364" s="1" t="s">
        <v>3353</v>
      </c>
      <c r="C3364" t="str">
        <f>IFERROR(__xludf.DUMMYFUNCTION("GOOGLETRANSLATE(B3364, ""zh"", ""en"")"),"This color is really being genuine good a! TB or DG afraid of fakes, fidelity here, and really good cheap ~")</f>
        <v>This color is really being genuine good a! TB or DG afraid of fakes, fidelity here, and really good cheap ~</v>
      </c>
    </row>
    <row r="3365">
      <c r="A3365" s="1">
        <v>5.0</v>
      </c>
      <c r="B3365" s="1" t="s">
        <v>3354</v>
      </c>
      <c r="C3365" t="str">
        <f>IFERROR(__xludf.DUMMYFUNCTION("GOOGLETRANSLATE(B3365, ""zh"", ""en"")"),"Worth having foot feeling great with jeans very beautiful, is a little Wu feet, suitable for spring and autumn wear")</f>
        <v>Worth having foot feeling great with jeans very beautiful, is a little Wu feet, suitable for spring and autumn wear</v>
      </c>
    </row>
    <row r="3366">
      <c r="A3366" s="1">
        <v>5.0</v>
      </c>
      <c r="B3366" s="1" t="s">
        <v>3355</v>
      </c>
      <c r="C3366" t="str">
        <f>IFERROR(__xludf.DUMMYFUNCTION("GOOGLETRANSLATE(B3366, ""zh"", ""en"")"),"Less than half than domestic shoe size code, be sure to buy plus half a yard less than half than the domestic shoe size code, be sure to buy plus half a yard, the other foot is tight, wide feet people is the best option 4E. The sole support good, running "&amp;"up a good shock absorption.")</f>
        <v>Less than half than domestic shoe size code, be sure to buy plus half a yard less than half than the domestic shoe size code, be sure to buy plus half a yard, the other foot is tight, wide feet people is the best option 4E. The sole support good, running up a good shock absorption.</v>
      </c>
    </row>
    <row r="3367">
      <c r="A3367" s="1">
        <v>5.0</v>
      </c>
      <c r="B3367" s="1" t="s">
        <v>3356</v>
      </c>
      <c r="C3367" t="str">
        <f>IFERROR(__xludf.DUMMYFUNCTION("GOOGLETRANSLATE(B3367, ""zh"", ""en"")"),"Good 👌 good results abdomen, hip effect is not very obvious, comfortable, breathable, slightly lower volume on the Circuit, in general, still very good, worth buying.")</f>
        <v>Good 👌 good results abdomen, hip effect is not very obvious, comfortable, breathable, slightly lower volume on the Circuit, in general, still very good, worth buying.</v>
      </c>
    </row>
    <row r="3368">
      <c r="A3368" s="1">
        <v>5.0</v>
      </c>
      <c r="B3368" s="1" t="s">
        <v>3357</v>
      </c>
      <c r="C3368" t="str">
        <f>IFERROR(__xludf.DUMMYFUNCTION("GOOGLETRANSLATE(B3368, ""zh"", ""en"")"),"Proper fit, Little Big")</f>
        <v>Proper fit, Little Big</v>
      </c>
    </row>
    <row r="3369">
      <c r="A3369" s="1">
        <v>5.0</v>
      </c>
      <c r="B3369" s="1" t="s">
        <v>3358</v>
      </c>
      <c r="C3369" t="str">
        <f>IFERROR(__xludf.DUMMYFUNCTION("GOOGLETRANSLATE(B3369, ""zh"", ""en"")"),"Good price is very appropriate, but with domestic needs Converter")</f>
        <v>Good price is very appropriate, but with domestic needs Converter</v>
      </c>
    </row>
    <row r="3370">
      <c r="A3370" s="1">
        <v>5.0</v>
      </c>
      <c r="B3370" s="1" t="s">
        <v>3359</v>
      </c>
      <c r="C3370" t="str">
        <f>IFERROR(__xludf.DUMMYFUNCTION("GOOGLETRANSLATE(B3370, ""zh"", ""en"")"),"Amazon nice pants for the first time shopping, but very satisfied. Pants and imagination about the same, that is, had mixed feelings crooked nuts are big legs, long pants a little long, the proposed height of 177 150 pounds to buy 32w31l of comrades")</f>
        <v>Amazon nice pants for the first time shopping, but very satisfied. Pants and imagination about the same, that is, had mixed feelings crooked nuts are big legs, long pants a little long, the proposed height of 177 150 pounds to buy 32w31l of comrades</v>
      </c>
    </row>
    <row r="3371">
      <c r="A3371" s="1">
        <v>2.0</v>
      </c>
      <c r="B3371" s="1" t="s">
        <v>3360</v>
      </c>
      <c r="C3371" t="str">
        <f>IFERROR(__xludf.DUMMYFUNCTION("GOOGLETRANSLATE(B3371, ""zh"", ""en"")"),"I spent two days this bad for the baby to buy, dedicated, so it is willing to spend the money. Use as follows: beginning to boil water, large plastic taste, burnt several times, the taste is light; started yesterday (January 29), it's broken now, up and d"&amp;"own the lid when boiling components is broken, cracked. Domestic Domestic not matter, most importantly, the quality is better. Objectively speaking, stainless steel bottle is good, but those plastic ah, assembly ah, might be a little problem.")</f>
        <v>I spent two days this bad for the baby to buy, dedicated, so it is willing to spend the money. Use as follows: beginning to boil water, large plastic taste, burnt several times, the taste is light; started yesterday (January 29), it's broken now, up and down the lid when boiling components is broken, cracked. Domestic Domestic not matter, most importantly, the quality is better. Objectively speaking, stainless steel bottle is good, but those plastic ah, assembly ah, might be a little problem.</v>
      </c>
    </row>
    <row r="3372">
      <c r="A3372" s="1">
        <v>3.0</v>
      </c>
      <c r="B3372" s="1" t="s">
        <v>3361</v>
      </c>
      <c r="C3372" t="str">
        <f>IFERROR(__xludf.DUMMYFUNCTION("GOOGLETRANSLATE(B3372, ""zh"", ""en"")"),"@@@@@@ similar size, I chose the wide version of the very intensity of wear on their feet just do not know the goods are not defective, damaged looking for customer service")</f>
        <v>@@@@@@ similar size, I chose the wide version of the very intensity of wear on their feet just do not know the goods are not defective, damaged looking for customer service</v>
      </c>
    </row>
    <row r="3373">
      <c r="A3373" s="1">
        <v>3.0</v>
      </c>
      <c r="B3373" s="1" t="s">
        <v>3362</v>
      </c>
      <c r="C3373" t="str">
        <f>IFERROR(__xludf.DUMMYFUNCTION("GOOGLETRANSLATE(B3373, ""zh"", ""en"")"),"Size small height 170, weight 65kg, m serious small code. Return 125 yuan fee, huh, huh.")</f>
        <v>Size small height 170, weight 65kg, m serious small code. Return 125 yuan fee, huh, huh.</v>
      </c>
    </row>
    <row r="3374">
      <c r="A3374" s="1">
        <v>3.0</v>
      </c>
      <c r="B3374" s="1" t="s">
        <v>3363</v>
      </c>
      <c r="C3374" t="str">
        <f>IFERROR(__xludf.DUMMYFUNCTION("GOOGLETRANSLATE(B3374, ""zh"", ""en"")"),"Okay very strong cast iron pot, heat more slowly (and more slowly than the non-stick), is the handle a little short point, easy to hold pouches when not focus on, and then move the grip point and worried burns.")</f>
        <v>Okay very strong cast iron pot, heat more slowly (and more slowly than the non-stick), is the handle a little short point, easy to hold pouches when not focus on, and then move the grip point and worried burns.</v>
      </c>
    </row>
    <row r="3375">
      <c r="A3375" s="1">
        <v>1.0</v>
      </c>
      <c r="B3375" s="1" t="s">
        <v>3364</v>
      </c>
      <c r="C3375" t="str">
        <f>IFERROR(__xludf.DUMMYFUNCTION("GOOGLETRANSLATE(B3375, ""zh"", ""en"")"),"Red teeth can not be used to purchase less than a year, is now not working, I do not know the problem or red teeth charging line")</f>
        <v>Red teeth can not be used to purchase less than a year, is now not working, I do not know the problem or red teeth charging line</v>
      </c>
    </row>
    <row r="3376">
      <c r="A3376" s="1">
        <v>1.0</v>
      </c>
      <c r="B3376" s="1" t="s">
        <v>3365</v>
      </c>
      <c r="C3376" t="str">
        <f>IFERROR(__xludf.DUMMYFUNCTION("GOOGLETRANSLATE(B3376, ""zh"", ""en"")"),"Hoping to solve the watch head hair is broken, water")</f>
        <v>Hoping to solve the watch head hair is broken, water</v>
      </c>
    </row>
    <row r="3377">
      <c r="A3377" s="1">
        <v>4.0</v>
      </c>
      <c r="B3377" s="1" t="s">
        <v>3366</v>
      </c>
      <c r="C3377" t="str">
        <f>IFERROR(__xludf.DUMMYFUNCTION("GOOGLETRANSLATE(B3377, ""zh"", ""en"")"),"Installation is no problem comes with what some small accessories rubber pad, there are also manual installation method for various types of faucets. Installation should be no problem, but the filtering effect is unknown.")</f>
        <v>Installation is no problem comes with what some small accessories rubber pad, there are also manual installation method for various types of faucets. Installation should be no problem, but the filtering effect is unknown.</v>
      </c>
    </row>
    <row r="3378">
      <c r="A3378" s="1">
        <v>4.0</v>
      </c>
      <c r="B3378" s="1" t="s">
        <v>3367</v>
      </c>
      <c r="C3378" t="str">
        <f>IFERROR(__xludf.DUMMYFUNCTION("GOOGLETRANSLATE(B3378, ""zh"", ""en"")"),"Also, the price of rubber in the country is also very easy to use! 😄 with it is also okay! The greatest feeling is expensive 😂, more expensive than Mouwang!")</f>
        <v>Also, the price of rubber in the country is also very easy to use! 😄 with it is also okay! The greatest feeling is expensive 😂, more expensive than Mouwang!</v>
      </c>
    </row>
    <row r="3379">
      <c r="A3379" s="1">
        <v>4.0</v>
      </c>
      <c r="B3379" s="1" t="s">
        <v>3368</v>
      </c>
      <c r="C3379" t="str">
        <f>IFERROR(__xludf.DUMMYFUNCTION("GOOGLETRANSLATE(B3379, ""zh"", ""en"")"),"Yan high value, high quality stuff Yan BB ultra-high value. Is directed at the lovely shape to buy, with a little dish feel pretty good, it can be 4 stars, plates stable, the baby will not eat knocked over. The disadvantage is that no more than 90 degrees"&amp;" disinfection. We can put a dishwasher and microwave heating these two functions is not practical, after all, baby food is to do now is to eat, plate is washed separately")</f>
        <v>Yan high value, high quality stuff Yan BB ultra-high value. Is directed at the lovely shape to buy, with a little dish feel pretty good, it can be 4 stars, plates stable, the baby will not eat knocked over. The disadvantage is that no more than 90 degrees disinfection. We can put a dishwasher and microwave heating these two functions is not practical, after all, baby food is to do now is to eat, plate is washed separately</v>
      </c>
    </row>
    <row r="3380">
      <c r="A3380" s="1">
        <v>4.0</v>
      </c>
      <c r="B3380" s="1" t="s">
        <v>3369</v>
      </c>
      <c r="C3380" t="str">
        <f>IFERROR(__xludf.DUMMYFUNCTION("GOOGLETRANSLATE(B3380, ""zh"", ""en"")"),"Very good and I think you are a little but almost good")</f>
        <v>Very good and I think you are a little but almost good</v>
      </c>
    </row>
    <row r="3381">
      <c r="A3381" s="1">
        <v>5.0</v>
      </c>
      <c r="B3381" s="1" t="s">
        <v>3370</v>
      </c>
      <c r="C3381" t="str">
        <f>IFERROR(__xludf.DUMMYFUNCTION("GOOGLETRANSLATE(B3381, ""zh"", ""en"")"),"Warm okay thin thin section, relatively warm. Yes.")</f>
        <v>Warm okay thin thin section, relatively warm. Yes.</v>
      </c>
    </row>
    <row r="3382">
      <c r="A3382" s="1">
        <v>5.0</v>
      </c>
      <c r="B3382" s="1" t="s">
        <v>3371</v>
      </c>
      <c r="C3382" t="str">
        <f>IFERROR(__xludf.DUMMYFUNCTION("GOOGLETRANSLATE(B3382, ""zh"", ""en"")"),"value! Relatively warm days of autumn clothes within 8 --- 10 degrees ma1 take this coat is completely sufficient and do not zipping when 5 degrees below the same two pieces of clothing chain is fully capable of pulling through. As people look around and "&amp;"I can not think back and enjoy the bulging But what then feel comfortable enough")</f>
        <v>value! Relatively warm days of autumn clothes within 8 --- 10 degrees ma1 take this coat is completely sufficient and do not zipping when 5 degrees below the same two pieces of clothing chain is fully capable of pulling through. As people look around and I can not think back and enjoy the bulging But what then feel comfortable enough</v>
      </c>
    </row>
    <row r="3383">
      <c r="A3383" s="1">
        <v>5.0</v>
      </c>
      <c r="B3383" s="1" t="s">
        <v>3372</v>
      </c>
      <c r="C3383" t="str">
        <f>IFERROR(__xludf.DUMMYFUNCTION("GOOGLETRANSLATE(B3383, ""zh"", ""en"")"),"Accessories very much, and soon received the goods, not only lacking with accessories")</f>
        <v>Accessories very much, and soon received the goods, not only lacking with accessories</v>
      </c>
    </row>
    <row r="3384">
      <c r="A3384" s="1">
        <v>5.0</v>
      </c>
      <c r="B3384" s="1" t="s">
        <v>3373</v>
      </c>
      <c r="C3384" t="str">
        <f>IFERROR(__xludf.DUMMYFUNCTION("GOOGLETRANSLATE(B3384, ""zh"", ""en"")"),"A lot of people recommended Mike read a lot of entry-level video contrast, in the required funds can only buy 500 yuan, but do not want the quality is not good, looked on youtube and more video after N decided to buy it, take it home and be able to obviou"&amp;"sly felt points, the first is the directivity, the sound is amplified second Chengdu is satisfied")</f>
        <v>A lot of people recommended Mike read a lot of entry-level video contrast, in the required funds can only buy 500 yuan, but do not want the quality is not good, looked on youtube and more video after N decided to buy it, take it home and be able to obviously felt points, the first is the directivity, the sound is amplified second Chengdu is satisfied</v>
      </c>
    </row>
    <row r="3385">
      <c r="A3385" s="1">
        <v>5.0</v>
      </c>
      <c r="B3385" s="1" t="s">
        <v>3374</v>
      </c>
      <c r="C3385" t="str">
        <f>IFERROR(__xludf.DUMMYFUNCTION("GOOGLETRANSLATE(B3385, ""zh"", ""en"")"),"Baby super like design is very good, shark fins, shark tails, shark head baby can house ah mouth bite, size is also more appropriate")</f>
        <v>Baby super like design is very good, shark fins, shark tails, shark head baby can house ah mouth bite, size is also more appropriate</v>
      </c>
    </row>
    <row r="3386">
      <c r="A3386" s="1">
        <v>5.0</v>
      </c>
      <c r="B3386" s="1" t="s">
        <v>3375</v>
      </c>
      <c r="C3386" t="str">
        <f>IFERROR(__xludf.DUMMYFUNCTION("GOOGLETRANSLATE(B3386, ""zh"", ""en"")"),"A little heavy, recording good results. A little heavy, not able to put on the shelf, can only be put on the table, very sensitive, recording good results.")</f>
        <v>A little heavy, recording good results. A little heavy, not able to put on the shelf, can only be put on the table, very sensitive, recording good results.</v>
      </c>
    </row>
    <row r="3387">
      <c r="A3387" s="1">
        <v>5.0</v>
      </c>
      <c r="B3387" s="1" t="s">
        <v>3376</v>
      </c>
      <c r="C3387" t="str">
        <f>IFERROR(__xludf.DUMMYFUNCTION("GOOGLETRANSLATE(B3387, ""zh"", ""en"")"),"Good quality of good quality, is to buy smaller hey, it is recommended to buy a bigger, otherwise it will be uncomfortable 😢")</f>
        <v>Good quality of good quality, is to buy smaller hey, it is recommended to buy a bigger, otherwise it will be uncomfortable 😢</v>
      </c>
    </row>
    <row r="3388">
      <c r="A3388" s="1">
        <v>5.0</v>
      </c>
      <c r="B3388" s="1" t="s">
        <v>3377</v>
      </c>
      <c r="C3388" t="str">
        <f>IFERROR(__xludf.DUMMYFUNCTION("GOOGLETRANSLATE(B3388, ""zh"", ""en"")"),"Praise good to wear, heat, comfort.")</f>
        <v>Praise good to wear, heat, comfort.</v>
      </c>
    </row>
    <row r="3389">
      <c r="A3389" s="1">
        <v>5.0</v>
      </c>
      <c r="B3389" s="1" t="s">
        <v>3378</v>
      </c>
      <c r="C3389" t="str">
        <f>IFERROR(__xludf.DUMMYFUNCTION("GOOGLETRANSLATE(B3389, ""zh"", ""en"")"),"Very good belt can also do an overall comparison of old jeans lee buy 32w. A little loose belt 95")</f>
        <v>Very good belt can also do an overall comparison of old jeans lee buy 32w. A little loose belt 95</v>
      </c>
    </row>
    <row r="3390">
      <c r="A3390" s="1">
        <v>5.0</v>
      </c>
      <c r="B3390" s="1" t="s">
        <v>3379</v>
      </c>
      <c r="C3390" t="str">
        <f>IFERROR(__xludf.DUMMYFUNCTION("GOOGLETRANSLATE(B3390, ""zh"", ""en"")"),"Good workmanship is very appropriate, 1.77 / 80 32/32 buy, we hope to help friends.")</f>
        <v>Good workmanship is very appropriate, 1.77 / 80 32/32 buy, we hope to help friends.</v>
      </c>
    </row>
    <row r="3391">
      <c r="A3391" s="1">
        <v>5.0</v>
      </c>
      <c r="B3391" s="1" t="s">
        <v>3380</v>
      </c>
      <c r="C3391" t="str">
        <f>IFERROR(__xludf.DUMMYFUNCTION("GOOGLETRANSLATE(B3391, ""zh"", ""en"")"),"Although flawed, but the attitude of boots and treatment options very satisfied. Chelsea Martin boots, not to mention full of British Lunfan children. Sent me the right foot instep boots have a lot of wrinkles to Amazon sent a message to the phone call an"&amp;"d soon were processed, several options are satisfactory, international platform is not the same, with the give five-star.")</f>
        <v>Although flawed, but the attitude of boots and treatment options very satisfied. Chelsea Martin boots, not to mention full of British Lunfan children. Sent me the right foot instep boots have a lot of wrinkles to Amazon sent a message to the phone call and soon were processed, several options are satisfactory, international platform is not the same, with the give five-star.</v>
      </c>
    </row>
    <row r="3392">
      <c r="A3392" s="1">
        <v>5.0</v>
      </c>
      <c r="B3392" s="1" t="s">
        <v>3381</v>
      </c>
      <c r="C3392" t="str">
        <f>IFERROR(__xludf.DUMMYFUNCTION("GOOGLETRANSLATE(B3392, ""zh"", ""en"")"),"Well, good comfort, comfort.")</f>
        <v>Well, good comfort, comfort.</v>
      </c>
    </row>
    <row r="3393">
      <c r="A3393" s="1">
        <v>5.0</v>
      </c>
      <c r="B3393" s="1" t="s">
        <v>3382</v>
      </c>
      <c r="C3393" t="str">
        <f>IFERROR(__xludf.DUMMYFUNCTION("GOOGLETRANSLATE(B3393, ""zh"", ""en"")"),"Heard that sound good in 2016 Softbank, almost the same number, that Softbank is 250+")</f>
        <v>Heard that sound good in 2016 Softbank, almost the same number, that Softbank is 250+</v>
      </c>
    </row>
    <row r="3394">
      <c r="A3394" s="1">
        <v>5.0</v>
      </c>
      <c r="B3394" s="1" t="s">
        <v>3383</v>
      </c>
      <c r="C3394" t="str">
        <f>IFERROR(__xludf.DUMMYFUNCTION("GOOGLETRANSLATE(B3394, ""zh"", ""en"")"),"Very good right size, good quality, good")</f>
        <v>Very good right size, good quality, good</v>
      </c>
    </row>
    <row r="3395">
      <c r="A3395" s="1">
        <v>5.0</v>
      </c>
      <c r="B3395" s="1" t="s">
        <v>3384</v>
      </c>
      <c r="C3395" t="str">
        <f>IFERROR(__xludf.DUMMYFUNCTION("GOOGLETRANSLATE(B3395, ""zh"", ""en"")"),"Like some little flexible, very fit, very much")</f>
        <v>Like some little flexible, very fit, very much</v>
      </c>
    </row>
    <row r="3396">
      <c r="A3396" s="1">
        <v>5.0</v>
      </c>
      <c r="B3396" s="1" t="s">
        <v>3385</v>
      </c>
      <c r="C3396" t="str">
        <f>IFERROR(__xludf.DUMMYFUNCTION("GOOGLETRANSLATE(B3396, ""zh"", ""en"")"),"Good quality and good quality fabric comfortable, breathable, next time you need also to")</f>
        <v>Good quality and good quality fabric comfortable, breathable, next time you need also to</v>
      </c>
    </row>
    <row r="3397">
      <c r="A3397" s="1">
        <v>5.0</v>
      </c>
      <c r="B3397" s="1" t="s">
        <v>3386</v>
      </c>
      <c r="C3397" t="str">
        <f>IFERROR(__xludf.DUMMYFUNCTION("GOOGLETRANSLATE(B3397, ""zh"", ""en"")"),"Nice coat nice coat, good workmanship.")</f>
        <v>Nice coat nice coat, good workmanship.</v>
      </c>
    </row>
    <row r="3398">
      <c r="A3398" s="1">
        <v>5.0</v>
      </c>
      <c r="B3398" s="1" t="s">
        <v>3387</v>
      </c>
      <c r="C3398" t="str">
        <f>IFERROR(__xludf.DUMMYFUNCTION("GOOGLETRANSLATE(B3398, ""zh"", ""en"")"),"Cheap! practical! Pretty! Value! Just what I wanted spreadsheet! Cheap waterproof with luminous! Genuine! Instructions not Chinese! I have been in the Amazon to buy Casio watch, not a problem! And when quasi go! Amazon deficiency is that not enough detail"&amp;"ed description of goods, the harm I have to go to Taobao to see! We hope to improve!")</f>
        <v>Cheap! practical! Pretty! Value! Just what I wanted spreadsheet! Cheap waterproof with luminous! Genuine! Instructions not Chinese! I have been in the Amazon to buy Casio watch, not a problem! And when quasi go! Amazon deficiency is that not enough detailed description of goods, the harm I have to go to Taobao to see! We hope to improve!</v>
      </c>
    </row>
    <row r="3399">
      <c r="A3399" s="1">
        <v>5.0</v>
      </c>
      <c r="B3399" s="1" t="s">
        <v>3388</v>
      </c>
      <c r="C3399" t="str">
        <f>IFERROR(__xludf.DUMMYFUNCTION("GOOGLETRANSLATE(B3399, ""zh"", ""en"")"),"Satisfaction shopping 175cm, 72kg, L code exactly. Express speed is also very fast, German origin, quality satisfaction!")</f>
        <v>Satisfaction shopping 175cm, 72kg, L code exactly. Express speed is also very fast, German origin, quality satisfaction!</v>
      </c>
    </row>
    <row r="3400">
      <c r="A3400" s="1">
        <v>5.0</v>
      </c>
      <c r="B3400" s="1" t="s">
        <v>3389</v>
      </c>
      <c r="C3400" t="str">
        <f>IFERROR(__xludf.DUMMYFUNCTION("GOOGLETRANSLATE(B3400, ""zh"", ""en"")"),"For the brand, the price is very good. Quality is very good, feeling very fine workmanship.")</f>
        <v>For the brand, the price is very good. Quality is very good, feeling very fine workmanship.</v>
      </c>
    </row>
    <row r="3401">
      <c r="A3401" s="1">
        <v>5.0</v>
      </c>
      <c r="B3401" s="1" t="s">
        <v>3390</v>
      </c>
      <c r="C3401" t="str">
        <f>IFERROR(__xludf.DUMMYFUNCTION("GOOGLETRANSLATE(B3401, ""zh"", ""en"")"),"Size is the most confusing! Size is the most confusing! Read a lot of argument about the size, got to the final trumpet can still feel, but in the end found it a bit small trumpet!")</f>
        <v>Size is the most confusing! Size is the most confusing! Read a lot of argument about the size, got to the final trumpet can still feel, but in the end found it a bit small trumpet!</v>
      </c>
    </row>
    <row r="3402">
      <c r="A3402" s="1">
        <v>5.0</v>
      </c>
      <c r="B3402" s="1" t="s">
        <v>3391</v>
      </c>
      <c r="C3402" t="str">
        <f>IFERROR(__xludf.DUMMYFUNCTION("GOOGLETRANSLATE(B3402, ""zh"", ""en"")"),"Very, very good, buy and buy, but also introduce a friend to buy")</f>
        <v>Very, very good, buy and buy, but also introduce a friend to buy</v>
      </c>
    </row>
    <row r="3403">
      <c r="A3403" s="1">
        <v>2.0</v>
      </c>
      <c r="B3403" s="1" t="s">
        <v>3392</v>
      </c>
      <c r="C3403" t="str">
        <f>IFERROR(__xludf.DUMMYFUNCTION("GOOGLETRANSLATE(B3403, ""zh"", ""en"")"),"L code with the big number to two in Japan, I bought the store, do not understand the Japanese market are the same brand how can such a big gap. And poor network quality significantly better than single-store product quality L code with the larger number "&amp;"two in Japan, I bought the store, do not understand the Japanese market are the same brand how can such a big gap. And a single network obvious quality than the store's poor product quality")</f>
        <v>L code with the big number to two in Japan, I bought the store, do not understand the Japanese market are the same brand how can such a big gap. And poor network quality significantly better than single-store product quality L code with the larger number two in Japan, I bought the store, do not understand the Japanese market are the same brand how can such a big gap. And a single network obvious quality than the store's poor product quality</v>
      </c>
    </row>
    <row r="3404">
      <c r="A3404" s="1">
        <v>3.0</v>
      </c>
      <c r="B3404" s="1" t="s">
        <v>3393</v>
      </c>
      <c r="C3404" t="str">
        <f>IFERROR(__xludf.DUMMYFUNCTION("GOOGLETRANSLATE(B3404, ""zh"", ""en"")"),"These shoes look like models of different sizes are good, but I received this pair of shoes, left the right, the right foot is significantly less.")</f>
        <v>These shoes look like models of different sizes are good, but I received this pair of shoes, left the right, the right foot is significantly less.</v>
      </c>
    </row>
    <row r="3405">
      <c r="A3405" s="1">
        <v>3.0</v>
      </c>
      <c r="B3405" s="1" t="s">
        <v>3394</v>
      </c>
      <c r="C3405" t="str">
        <f>IFERROR(__xludf.DUMMYFUNCTION("GOOGLETRANSLATE(B3405, ""zh"", ""en"")"),"Long! Fabrics in general, very thin. Pants 165, m code is quite long. We need to be able to change it appropriate.")</f>
        <v>Long! Fabrics in general, very thin. Pants 165, m code is quite long. We need to be able to change it appropriate.</v>
      </c>
    </row>
    <row r="3406">
      <c r="A3406" s="1">
        <v>1.0</v>
      </c>
      <c r="B3406" s="1" t="s">
        <v>3395</v>
      </c>
      <c r="C3406" t="str">
        <f>IFERROR(__xludf.DUMMYFUNCTION("GOOGLETRANSLATE(B3406, ""zh"", ""en"")"),"Generally comfortable to wear, that is, the upper scratches and wrinkles!")</f>
        <v>Generally comfortable to wear, that is, the upper scratches and wrinkles!</v>
      </c>
    </row>
    <row r="3407">
      <c r="A3407" s="1">
        <v>1.0</v>
      </c>
      <c r="B3407" s="1" t="s">
        <v>3396</v>
      </c>
      <c r="C3407" t="str">
        <f>IFERROR(__xludf.DUMMYFUNCTION("GOOGLETRANSLATE(B3407, ""zh"", ""en"")"),"Pasteurized not take pot lid not buckle disinfection with a disinfectant and then the lid is not on a")</f>
        <v>Pasteurized not take pot lid not buckle disinfection with a disinfectant and then the lid is not on a</v>
      </c>
    </row>
    <row r="3408">
      <c r="A3408" s="1">
        <v>4.0</v>
      </c>
      <c r="B3408" s="1" t="s">
        <v>3397</v>
      </c>
      <c r="C3408" t="str">
        <f>IFERROR(__xludf.DUMMYFUNCTION("GOOGLETRANSLATE(B3408, ""zh"", ""en"")"),"Still appropriate size suitable base, legs slightly wider color point also, but one thing does not seem to mill before.")</f>
        <v>Still appropriate size suitable base, legs slightly wider color point also, but one thing does not seem to mill before.</v>
      </c>
    </row>
    <row r="3409">
      <c r="A3409" s="1">
        <v>4.0</v>
      </c>
      <c r="B3409" s="1" t="s">
        <v>3398</v>
      </c>
      <c r="C3409" t="str">
        <f>IFERROR(__xludf.DUMMYFUNCTION("GOOGLETRANSLATE(B3409, ""zh"", ""en"")"),"Well good, special buy, a good run.")</f>
        <v>Well good, special buy, a good run.</v>
      </c>
    </row>
    <row r="3410">
      <c r="A3410" s="1">
        <v>4.0</v>
      </c>
      <c r="B3410" s="1" t="s">
        <v>3399</v>
      </c>
      <c r="C3410" t="str">
        <f>IFERROR(__xludf.DUMMYFUNCTION("GOOGLETRANSLATE(B3410, ""zh"", ""en"")"),"Too large to buy a minimum code and found still a little big, playing two holes on the back on a perfect fit. Leather smell a bit heavy, set to be dry couple of days.")</f>
        <v>Too large to buy a minimum code and found still a little big, playing two holes on the back on a perfect fit. Leather smell a bit heavy, set to be dry couple of days.</v>
      </c>
    </row>
    <row r="3411">
      <c r="A3411" s="1">
        <v>4.0</v>
      </c>
      <c r="B3411" s="1" t="s">
        <v>3400</v>
      </c>
      <c r="C3411" t="str">
        <f>IFERROR(__xludf.DUMMYFUNCTION("GOOGLETRANSLATE(B3411, ""zh"", ""en"")"),"Light and comfortable fabric lining, size accurate. No other cortical belle good, not like the fabric lining, feeling a little time, if you like full leather lining")</f>
        <v>Light and comfortable fabric lining, size accurate. No other cortical belle good, not like the fabric lining, feeling a little time, if you like full leather lining</v>
      </c>
    </row>
    <row r="3412">
      <c r="A3412" s="1">
        <v>4.0</v>
      </c>
      <c r="B3412" s="1" t="s">
        <v>3401</v>
      </c>
      <c r="C3412" t="str">
        <f>IFERROR(__xludf.DUMMYFUNCTION("GOOGLETRANSLATE(B3412, ""zh"", ""en"")"),"No insoles, insoles no number is too large, the number is too large, daughter and now can not even wearing shoes taste")</f>
        <v>No insoles, insoles no number is too large, the number is too large, daughter and now can not even wearing shoes taste</v>
      </c>
    </row>
    <row r="3413">
      <c r="A3413" s="1">
        <v>5.0</v>
      </c>
      <c r="B3413" s="1" t="s">
        <v>3402</v>
      </c>
      <c r="C3413" t="str">
        <f>IFERROR(__xludf.DUMMYFUNCTION("GOOGLETRANSLATE(B3413, ""zh"", ""en"")"),"Good-looking, good quality, comfortable right size, long clothing is a little a little bit longer. Good quality, soft and comfortable")</f>
        <v>Good-looking, good quality, comfortable right size, long clothing is a little a little bit longer. Good quality, soft and comfortable</v>
      </c>
    </row>
    <row r="3414">
      <c r="A3414" s="1">
        <v>5.0</v>
      </c>
      <c r="B3414" s="1" t="s">
        <v>3403</v>
      </c>
      <c r="C3414" t="str">
        <f>IFERROR(__xludf.DUMMYFUNCTION("GOOGLETRANSLATE(B3414, ""zh"", ""en"")"),"Less than half yards or 1 yard on the perfect cloth thick, suitable for winter wear, is too big ----- very tangible Ouma's pants, super good quality turner.")</f>
        <v>Less than half yards or 1 yard on the perfect cloth thick, suitable for winter wear, is too big ----- very tangible Ouma's pants, super good quality turner.</v>
      </c>
    </row>
    <row r="3415">
      <c r="A3415" s="1">
        <v>5.0</v>
      </c>
      <c r="B3415" s="1" t="s">
        <v>3404</v>
      </c>
      <c r="C3415" t="str">
        <f>IFERROR(__xludf.DUMMYFUNCTION("GOOGLETRANSLATE(B3415, ""zh"", ""en"")"),"Nice. Is not open ah? I turn the lid did not open for 20 minutes. I was really drunk.")</f>
        <v>Nice. Is not open ah? I turn the lid did not open for 20 minutes. I was really drunk.</v>
      </c>
    </row>
    <row r="3416">
      <c r="A3416" s="1">
        <v>5.0</v>
      </c>
      <c r="B3416" s="1" t="s">
        <v>3405</v>
      </c>
      <c r="C3416" t="str">
        <f>IFERROR(__xludf.DUMMYFUNCTION("GOOGLETRANSLATE(B3416, ""zh"", ""en"")"),"No perfect")</f>
        <v>No perfect</v>
      </c>
    </row>
    <row r="3417">
      <c r="A3417" s="1">
        <v>5.0</v>
      </c>
      <c r="B3417" s="1" t="s">
        <v>3406</v>
      </c>
      <c r="C3417" t="str">
        <f>IFERROR(__xludf.DUMMYFUNCTION("GOOGLETRANSLATE(B3417, ""zh"", ""en"")"),"And then a little expensive. Bayer still buy calcium citrate. Fly. The effect of differences: the majority of the country such as eating calcium carbonate lime stone. Process difference: buccal particles melt inlet taste is very different.")</f>
        <v>And then a little expensive. Bayer still buy calcium citrate. Fly. The effect of differences: the majority of the country such as eating calcium carbonate lime stone. Process difference: buccal particles melt inlet taste is very different.</v>
      </c>
    </row>
    <row r="3418">
      <c r="A3418" s="1">
        <v>5.0</v>
      </c>
      <c r="B3418" s="1" t="s">
        <v>3407</v>
      </c>
      <c r="C3418" t="str">
        <f>IFERROR(__xludf.DUMMYFUNCTION("GOOGLETRANSLATE(B3418, ""zh"", ""en"")"),"Goods very good, overseas purchase a good and convenient. Commodity great, no doubt genuine, very fast! Amazon's service is really no words.")</f>
        <v>Goods very good, overseas purchase a good and convenient. Commodity great, no doubt genuine, very fast! Amazon's service is really no words.</v>
      </c>
    </row>
    <row r="3419">
      <c r="A3419" s="1">
        <v>5.0</v>
      </c>
      <c r="B3419" s="1" t="s">
        <v>3408</v>
      </c>
      <c r="C3419" t="str">
        <f>IFERROR(__xludf.DUMMYFUNCTION("GOOGLETRANSLATE(B3419, ""zh"", ""en"")"),"Evaluation great clothes, very appropriate, quality is also very good")</f>
        <v>Evaluation great clothes, very appropriate, quality is also very good</v>
      </c>
    </row>
    <row r="3420">
      <c r="A3420" s="1">
        <v>5.0</v>
      </c>
      <c r="B3420" s="1" t="s">
        <v>3409</v>
      </c>
      <c r="C3420" t="str">
        <f>IFERROR(__xludf.DUMMYFUNCTION("GOOGLETRANSLATE(B3420, ""zh"", ""en"")"),"Very good nutrition! Has bought a few bottles of good nutrition, mothers leg pain, to bear fruit to eat for two weeks a drag friend bought from the United States before - and now Amazon US shopping very convenient, fast!")</f>
        <v>Very good nutrition! Has bought a few bottles of good nutrition, mothers leg pain, to bear fruit to eat for two weeks a drag friend bought from the United States before - and now Amazon US shopping very convenient, fast!</v>
      </c>
    </row>
    <row r="3421">
      <c r="A3421" s="1">
        <v>5.0</v>
      </c>
      <c r="B3421" s="1" t="s">
        <v>3410</v>
      </c>
      <c r="C3421" t="str">
        <f>IFERROR(__xludf.DUMMYFUNCTION("GOOGLETRANSLATE(B3421, ""zh"", ""en"")"),"Ah okay, I took a little tight.")</f>
        <v>Ah okay, I took a little tight.</v>
      </c>
    </row>
    <row r="3422">
      <c r="A3422" s="1">
        <v>5.0</v>
      </c>
      <c r="B3422" s="1" t="s">
        <v>3411</v>
      </c>
      <c r="C3422" t="str">
        <f>IFERROR(__xludf.DUMMYFUNCTION("GOOGLETRANSLATE(B3422, ""zh"", ""en"")"),"Size 6.5 yards 37 yards feet appropriate, very comfortable to wear")</f>
        <v>Size 6.5 yards 37 yards feet appropriate, very comfortable to wear</v>
      </c>
    </row>
    <row r="3423">
      <c r="A3423" s="1">
        <v>5.0</v>
      </c>
      <c r="B3423" s="1" t="s">
        <v>3412</v>
      </c>
      <c r="C3423" t="str">
        <f>IFERROR(__xludf.DUMMYFUNCTION("GOOGLETRANSLATE(B3423, ""zh"", ""en"")"),"Product quality and performance very much. Own use or give as gifts are good")</f>
        <v>Product quality and performance very much. Own use or give as gifts are good</v>
      </c>
    </row>
    <row r="3424">
      <c r="A3424" s="1">
        <v>5.0</v>
      </c>
      <c r="B3424" s="1" t="s">
        <v>3413</v>
      </c>
      <c r="C3424" t="str">
        <f>IFERROR(__xludf.DUMMYFUNCTION("GOOGLETRANSLATE(B3424, ""zh"", ""en"")"),"Very good love ha ha")</f>
        <v>Very good love ha ha</v>
      </c>
    </row>
    <row r="3425">
      <c r="A3425" s="1">
        <v>5.0</v>
      </c>
      <c r="B3425" s="1" t="s">
        <v>3414</v>
      </c>
      <c r="C3425" t="str">
        <f>IFERROR(__xludf.DUMMYFUNCTION("GOOGLETRANSLATE(B3425, ""zh"", ""en"")"),"Code number is too large yardage Lee does not grasp. I bought this work in general, bought L actually great. I 1.83 weight 90kg")</f>
        <v>Code number is too large yardage Lee does not grasp. I bought this work in general, bought L actually great. I 1.83 weight 90kg</v>
      </c>
    </row>
    <row r="3426">
      <c r="A3426" s="1">
        <v>5.0</v>
      </c>
      <c r="B3426" s="1" t="s">
        <v>3415</v>
      </c>
      <c r="C3426" t="str">
        <f>IFERROR(__xludf.DUMMYFUNCTION("GOOGLETRANSLATE(B3426, ""zh"", ""en"")"),"It is what I want, but perhaps not seem like flaws on some big work, fairly fine, the skin surface feels more delicate touch. Then certainly can not be a fake, then think of a physical store prices arrogant, in short, get our hands on feel it is worth it."&amp;" October 30 under a single number, looks like No. 6 November went to, although what is displayed on the page number is expected to November 18, very fast, like this point. Then referring to the next size, online shopping will always face such problems, th"&amp;"e next usually wear sneakers all, Lotto or Li Ning, size 42 yards, 42 1/3 yards, 43 yards, 43 1/3 yards. 260mm less than a foot long, pro-test seems to 257mm. Wear a smaller size after there is little surplus space, but no problem walking running, the lar"&amp;"ger size of course there will be extra space in the front and rear tie shoelaces after walking treadmill is also very appropriate. The buy 8.5 2E, after the foot is actually fairly fit, toes gap after the top of the head heel is just barely a thumb on end"&amp;" (not flat) into them. But I guess it is because the scraps of thin overall comparison's sake, always felt slightly loose, not much. I tried several insoles, discovered after the addition of the insole toe stuck too, can not wear. So, I was thinking, mayb"&amp;"e this is indeed a little too big size, both before and after or around, or 8 2E 8.5D may be more appropriate. Then focus on the plan to buy a 8.5D or 8 2E but a little bit small (always think to buy less unlikely) friends please private letter I, whether"&amp;" steel-toe or soft-toe Both can, let us each take the required mutual benefit. . . Finally, compare this and I usually wear Li Ning shoes two, probably can be seen that the foot length and 43 1/3 Li Ning difference is not mostly, this is a little better t"&amp;"han Li Ning, the width is wider, of course, this is the tooling boots, running shoes Li Ning is the concept itself is not the same. 8.5 2E probably similar to lining 43 1/3 foot cloud II, and then may be slightly larger, in the instep as the ankle, for re"&amp;"ference. 1. The drawings are tanned paragraph; navy blue lining 42 is 1/3; blue-green lining 43 is the left is 2/3 2. The reference in this paragraph; intermediate lining 43 is 1/3; the rightmost is 421 // 3")</f>
        <v>It is what I want, but perhaps not seem like flaws on some big work, fairly fine, the skin surface feels more delicate touch. Then certainly can not be a fake, then think of a physical store prices arrogant, in short, get our hands on feel it is worth it. October 30 under a single number, looks like No. 6 November went to, although what is displayed on the page number is expected to November 18, very fast, like this point. Then referring to the next size, online shopping will always face such problems, the next usually wear sneakers all, Lotto or Li Ning, size 42 yards, 42 1/3 yards, 43 yards, 43 1/3 yards. 260mm less than a foot long, pro-test seems to 257mm. Wear a smaller size after there is little surplus space, but no problem walking running, the larger size of course there will be extra space in the front and rear tie shoelaces after walking treadmill is also very appropriate. The buy 8.5 2E, after the foot is actually fairly fit, toes gap after the top of the head heel is just barely a thumb on end (not flat) into them. But I guess it is because the scraps of thin overall comparison's sake, always felt slightly loose, not much. I tried several insoles, discovered after the addition of the insole toe stuck too, can not wear. So, I was thinking, maybe this is indeed a little too big size, both before and after or around, or 8 2E 8.5D may be more appropriate. Then focus on the plan to buy a 8.5D or 8 2E but a little bit small (always think to buy less unlikely) friends please private letter I, whether steel-toe or soft-toe Both can, let us each take the required mutual benefit. . . Finally, compare this and I usually wear Li Ning shoes two, probably can be seen that the foot length and 43 1/3 Li Ning difference is not mostly, this is a little better than Li Ning, the width is wider, of course, this is the tooling boots, running shoes Li Ning is the concept itself is not the same. 8.5 2E probably similar to lining 43 1/3 foot cloud II, and then may be slightly larger, in the instep as the ankle, for reference. 1. The drawings are tanned paragraph; navy blue lining 42 is 1/3; blue-green lining 43 is the left is 2/3 2. The reference in this paragraph; intermediate lining 43 is 1/3; the rightmost is 421 // 3</v>
      </c>
    </row>
    <row r="3427">
      <c r="A3427" s="1">
        <v>5.0</v>
      </c>
      <c r="B3427" s="1" t="s">
        <v>3416</v>
      </c>
      <c r="C3427" t="str">
        <f>IFERROR(__xludf.DUMMYFUNCTION("GOOGLETRANSLATE(B3427, ""zh"", ""en"")"),"Easy to use super easy to use, easy to use than great treasure of Pigeon grinding suit. Pigeon is easy to dye, there is no such easy cleaning. The kind of food supplement automatic cooking machine grinding one of the best, but the budget is not enough, th"&amp;"is is also very good friends with, after all, time is not too long")</f>
        <v>Easy to use super easy to use, easy to use than great treasure of Pigeon grinding suit. Pigeon is easy to dye, there is no such easy cleaning. The kind of food supplement automatic cooking machine grinding one of the best, but the budget is not enough, this is also very good friends with, after all, time is not too long</v>
      </c>
    </row>
    <row r="3428">
      <c r="A3428" s="1">
        <v>5.0</v>
      </c>
      <c r="B3428" s="1" t="s">
        <v>3417</v>
      </c>
      <c r="C3428" t="str">
        <f>IFERROR(__xludf.DUMMYFUNCTION("GOOGLETRANSLATE(B3428, ""zh"", ""en"")"),"Nice but too small ever since the first pair of Asics running shoes, fell in love, damping effect is very good, the knee pain has gradually disappeared. I bought 42.5 yards comparison chart is Nimbus19,43.5, feeling date code of shoes too small, can only "&amp;"wear thin socks.")</f>
        <v>Nice but too small ever since the first pair of Asics running shoes, fell in love, damping effect is very good, the knee pain has gradually disappeared. I bought 42.5 yards comparison chart is Nimbus19,43.5, feeling date code of shoes too small, can only wear thin socks.</v>
      </c>
    </row>
    <row r="3429">
      <c r="A3429" s="1">
        <v>5.0</v>
      </c>
      <c r="B3429" s="1" t="s">
        <v>3418</v>
      </c>
      <c r="C3429" t="str">
        <f>IFERROR(__xludf.DUMMYFUNCTION("GOOGLETRANSLATE(B3429, ""zh"", ""en"")"),"This price is the value of sending a lot of earmuffs, more transparent treble can be adjusted according to the sound, powerful low-frequency, horizontal and vertical sound field is very good")</f>
        <v>This price is the value of sending a lot of earmuffs, more transparent treble can be adjusted according to the sound, powerful low-frequency, horizontal and vertical sound field is very good</v>
      </c>
    </row>
    <row r="3430">
      <c r="A3430" s="1">
        <v>5.0</v>
      </c>
      <c r="B3430" s="1" t="s">
        <v>3419</v>
      </c>
      <c r="C3430" t="str">
        <f>IFERROR(__xludf.DUMMYFUNCTION("GOOGLETRANSLATE(B3430, ""zh"", ""en"")"),"Amazon trusted fantastic! Quality is very good! Amazon trusted! In the whole network lowest price! Quality and cheap!")</f>
        <v>Amazon trusted fantastic! Quality is very good! Amazon trusted! In the whole network lowest price! Quality and cheap!</v>
      </c>
    </row>
    <row r="3431">
      <c r="A3431" s="1">
        <v>5.0</v>
      </c>
      <c r="B3431" s="1" t="s">
        <v>3420</v>
      </c>
      <c r="C3431" t="str">
        <f>IFERROR(__xludf.DUMMYFUNCTION("GOOGLETRANSLATE(B3431, ""zh"", ""en"")"),"Favorite ECCO shoes more comfortable to wear, is indeed sent from the United Kingdom, since bought a pair of shoes, choose a large yard, give Britain returned the Amazon, worth buying, is the shoe size should be noted that, if the domestic shoes to wear 4"&amp;"2 the then select 7-7.5UK on OK")</f>
        <v>Favorite ECCO shoes more comfortable to wear, is indeed sent from the United Kingdom, since bought a pair of shoes, choose a large yard, give Britain returned the Amazon, worth buying, is the shoe size should be noted that, if the domestic shoes to wear 42 the then select 7-7.5UK on OK</v>
      </c>
    </row>
    <row r="3432">
      <c r="A3432" s="1">
        <v>5.0</v>
      </c>
      <c r="B3432" s="1" t="s">
        <v>3421</v>
      </c>
      <c r="C3432" t="str">
        <f>IFERROR(__xludf.DUMMYFUNCTION("GOOGLETRANSLATE(B3432, ""zh"", ""en"")"),"Shoe size, colors, first of all talk about personal feeling shoe size should be larger than the domestic number, I wear sneakers 7D 40.5 of this (M) US a little big, but wear a pair of thick socks add insoles should be no problem, good workmanship great c"&amp;"ortex, suggesting that look at this shoe and two color pictures to buy time to pay attention to, not a replacement overseas purchase, and is expected to fly in the ointment is that there are scratches on the shoes are not the same color, but Amazon gave m"&amp;"e a good solution.")</f>
        <v>Shoe size, colors, first of all talk about personal feeling shoe size should be larger than the domestic number, I wear sneakers 7D 40.5 of this (M) US a little big, but wear a pair of thick socks add insoles should be no problem, good workmanship great cortex, suggesting that look at this shoe and two color pictures to buy time to pay attention to, not a replacement overseas purchase, and is expected to fly in the ointment is that there are scratches on the shoes are not the same color, but Amazon gave me a good solution.</v>
      </c>
    </row>
    <row r="3433">
      <c r="A3433" s="1">
        <v>5.0</v>
      </c>
      <c r="B3433" s="1" t="s">
        <v>3422</v>
      </c>
      <c r="C3433" t="str">
        <f>IFERROR(__xludf.DUMMYFUNCTION("GOOGLETRANSLATE(B3433, ""zh"", ""en"")"),"Good Bang Bang da loose pants, suitable for fat Oh!")</f>
        <v>Good Bang Bang da loose pants, suitable for fat Oh!</v>
      </c>
    </row>
    <row r="3434">
      <c r="A3434" s="1">
        <v>5.0</v>
      </c>
      <c r="B3434" s="1" t="s">
        <v>3423</v>
      </c>
      <c r="C3434" t="str">
        <f>IFERROR(__xludf.DUMMYFUNCTION("GOOGLETRANSLATE(B3434, ""zh"", ""en"")"),"Can shape, Thailand, the price is very affordable form factor can, in Thailand, the price is very affordable")</f>
        <v>Can shape, Thailand, the price is very affordable form factor can, in Thailand, the price is very affordable</v>
      </c>
    </row>
    <row r="3435">
      <c r="A3435" s="1">
        <v>2.0</v>
      </c>
      <c r="B3435" s="1" t="s">
        <v>3424</v>
      </c>
      <c r="C3435" t="str">
        <f>IFERROR(__xludf.DUMMYFUNCTION("GOOGLETRANSLATE(B3435, ""zh"", ""en"")"),"Hard, large number of these pants is really super super super hard, it is recommended to buy with caution. In addition sloppy, I 172cm, 65 kg usually wear very thin 32, there will be a slight Le stomach feeling, but wearing the 32, very hypertrophy. There"&amp;" is a fault sticky hair 😭")</f>
        <v>Hard, large number of these pants is really super super super hard, it is recommended to buy with caution. In addition sloppy, I 172cm, 65 kg usually wear very thin 32, there will be a slight Le stomach feeling, but wearing the 32, very hypertrophy. There is a fault sticky hair 😭</v>
      </c>
    </row>
    <row r="3436">
      <c r="A3436" s="1">
        <v>3.0</v>
      </c>
      <c r="B3436" s="1" t="s">
        <v>3425</v>
      </c>
      <c r="C3436" t="str">
        <f>IFERROR(__xludf.DUMMYFUNCTION("GOOGLETRANSLATE(B3436, ""zh"", ""en"")"),"A good product from the material and design must complement each other! Otherwise, on the contrary! Fu Teng Bao kettle inside too much plastic! Even the best plastic is plastic eat it! Fu Teng Bao some also have thousands of prices! Perhaps expensive, mat"&amp;"erial is also good, why there can not cover stainless steel design is it? Why chosen to replace the plastic, plastic okay? Personally I think that the only good horse with a good saddle is really good! And Fu Teng Bao Hukou at the circle where the design "&amp;"is not clean, the feeling is layer upon layer! Therefore looked for a long time did not buy the Fu Teng Bao! Hopefully after Fu Teng Bao and then work out a new reconsider it! Ha ha")</f>
        <v>A good product from the material and design must complement each other! Otherwise, on the contrary! Fu Teng Bao kettle inside too much plastic! Even the best plastic is plastic eat it! Fu Teng Bao some also have thousands of prices! Perhaps expensive, material is also good, why there can not cover stainless steel design is it? Why chosen to replace the plastic, plastic okay? Personally I think that the only good horse with a good saddle is really good! And Fu Teng Bao Hukou at the circle where the design is not clean, the feeling is layer upon layer! Therefore looked for a long time did not buy the Fu Teng Bao! Hopefully after Fu Teng Bao and then work out a new reconsider it! Ha ha</v>
      </c>
    </row>
    <row r="3437">
      <c r="A3437" s="1">
        <v>1.0</v>
      </c>
      <c r="B3437" s="1" t="s">
        <v>3426</v>
      </c>
      <c r="C3437" t="str">
        <f>IFERROR(__xludf.DUMMYFUNCTION("GOOGLETRANSLATE(B3437, ""zh"", ""en"")"),"Uneconomical domestic Camel four hundred yuan. Look the same color of the brand is not the same. Work do not lose it!")</f>
        <v>Uneconomical domestic Camel four hundred yuan. Look the same color of the brand is not the same. Work do not lose it!</v>
      </c>
    </row>
    <row r="3438">
      <c r="A3438" s="1">
        <v>1.0</v>
      </c>
      <c r="B3438" s="1" t="s">
        <v>3427</v>
      </c>
      <c r="C3438" t="str">
        <f>IFERROR(__xludf.DUMMYFUNCTION("GOOGLETRANSLATE(B3438, ""zh"", ""en"")"),"There are serious odor, poor product appearance, smell, poor appearance. The future will no longer buy clothes on Amazon")</f>
        <v>There are serious odor, poor product appearance, smell, poor appearance. The future will no longer buy clothes on Amazon</v>
      </c>
    </row>
    <row r="3439">
      <c r="A3439" s="1">
        <v>1.0</v>
      </c>
      <c r="B3439" s="1" t="s">
        <v>3428</v>
      </c>
      <c r="C3439" t="str">
        <f>IFERROR(__xludf.DUMMYFUNCTION("GOOGLETRANSLATE(B3439, ""zh"", ""en"")"),"Carefully chosen just half a year, on the bad, all the information are gone, can not read the disk.")</f>
        <v>Carefully chosen just half a year, on the bad, all the information are gone, can not read the disk.</v>
      </c>
    </row>
    <row r="3440">
      <c r="A3440" s="1">
        <v>4.0</v>
      </c>
      <c r="B3440" s="1" t="s">
        <v>3429</v>
      </c>
      <c r="C3440" t="str">
        <f>IFERROR(__xludf.DUMMYFUNCTION("GOOGLETRANSLATE(B3440, ""zh"", ""en"")"),"Code number should buy a smaller size than sports shoes too large in addition to the other are good. Single shoe size to buy time or should be smaller than the sneakers one yard. 41 sneakers, shoes should buy almost 40. 40.5 is too large a. Express speed "&amp;"is very fast.")</f>
        <v>Code number should buy a smaller size than sports shoes too large in addition to the other are good. Single shoe size to buy time or should be smaller than the sneakers one yard. 41 sneakers, shoes should buy almost 40. 40.5 is too large a. Express speed is very fast.</v>
      </c>
    </row>
    <row r="3441">
      <c r="A3441" s="1">
        <v>4.0</v>
      </c>
      <c r="B3441" s="1" t="s">
        <v>3430</v>
      </c>
      <c r="C3441" t="str">
        <f>IFERROR(__xludf.DUMMYFUNCTION("GOOGLETRANSLATE(B3441, ""zh"", ""en"")"),"Comfortable next to the skin, soft, warm")</f>
        <v>Comfortable next to the skin, soft, warm</v>
      </c>
    </row>
    <row r="3442">
      <c r="A3442" s="1">
        <v>4.0</v>
      </c>
      <c r="B3442" s="1" t="s">
        <v>3431</v>
      </c>
      <c r="C3442" t="str">
        <f>IFERROR(__xludf.DUMMYFUNCTION("GOOGLETRANSLATE(B3442, ""zh"", ""en"")"),"Work in general, good sound quality is very good stuff, very satisfied with the product itself. A first feeding two days later, the second package is damaged, resulting in baby surface minor scratches. Think To have come ten days, this small no return, bu"&amp;"t my heart is somewhat uncomfortable.")</f>
        <v>Work in general, good sound quality is very good stuff, very satisfied with the product itself. A first feeding two days later, the second package is damaged, resulting in baby surface minor scratches. Think To have come ten days, this small no return, but my heart is somewhat uncomfortable.</v>
      </c>
    </row>
    <row r="3443">
      <c r="A3443" s="1">
        <v>4.0</v>
      </c>
      <c r="B3443" s="1" t="s">
        <v>3432</v>
      </c>
      <c r="C3443" t="str">
        <f>IFERROR(__xludf.DUMMYFUNCTION("GOOGLETRANSLATE(B3443, ""zh"", ""en"")"),"Use only suitable for walking feeling very good quality stuff, now is the prenatal, received by the time all of a sudden, just for walking, not able to sit down, so there is no longer usable, such as birth and then continue to use it.")</f>
        <v>Use only suitable for walking feeling very good quality stuff, now is the prenatal, received by the time all of a sudden, just for walking, not able to sit down, so there is no longer usable, such as birth and then continue to use it.</v>
      </c>
    </row>
    <row r="3444">
      <c r="A3444" s="1">
        <v>4.0</v>
      </c>
      <c r="B3444" s="1" t="s">
        <v>3433</v>
      </c>
      <c r="C3444" t="str">
        <f>IFERROR(__xludf.DUMMYFUNCTION("GOOGLETRANSLATE(B3444, ""zh"", ""en"")"),"When the child's nutritional supplements to snacks only wrong, it is to act as the child's snack, eat this better than eating junk food is good, the price is not beautiful.")</f>
        <v>When the child's nutritional supplements to snacks only wrong, it is to act as the child's snack, eat this better than eating junk food is good, the price is not beautiful.</v>
      </c>
    </row>
    <row r="3445">
      <c r="A3445" s="1">
        <v>5.0</v>
      </c>
      <c r="B3445" s="1" t="s">
        <v>3434</v>
      </c>
      <c r="C3445" t="str">
        <f>IFERROR(__xludf.DUMMYFUNCTION("GOOGLETRANSLATE(B3445, ""zh"", ""en"")"),"Good shopping experience Order No. May 2nd hand speed is slow. . . Such as stocking waited for about 10 days, is expected to arrive Children's Day, 😄 results today to, in fact, the logistics speed is very fast, things start feel good, is packing a little"&amp;" low")</f>
        <v>Good shopping experience Order No. May 2nd hand speed is slow. . . Such as stocking waited for about 10 days, is expected to arrive Children's Day, 😄 results today to, in fact, the logistics speed is very fast, things start feel good, is packing a little low</v>
      </c>
    </row>
    <row r="3446">
      <c r="A3446" s="1">
        <v>5.0</v>
      </c>
      <c r="B3446" s="1" t="s">
        <v>3435</v>
      </c>
      <c r="C3446" t="str">
        <f>IFERROR(__xludf.DUMMYFUNCTION("GOOGLETRANSLATE(B3446, ""zh"", ""en"")"),"Super nice! Plug is very light, the appearance looks good, sounds really good to listen to listen to female poison, cancel the low-frequency, high frequency extended")</f>
        <v>Super nice! Plug is very light, the appearance looks good, sounds really good to listen to listen to female poison, cancel the low-frequency, high frequency extended</v>
      </c>
    </row>
    <row r="3447">
      <c r="A3447" s="1">
        <v>5.0</v>
      </c>
      <c r="B3447" s="1" t="s">
        <v>3436</v>
      </c>
      <c r="C3447" t="str">
        <f>IFERROR(__xludf.DUMMYFUNCTION("GOOGLETRANSLATE(B3447, ""zh"", ""en"")"),"Returns seems to be too much trouble 100kg174 buy the xl, xxl too")</f>
        <v>Returns seems to be too much trouble 100kg174 buy the xl, xxl too</v>
      </c>
    </row>
    <row r="3448">
      <c r="A3448" s="1">
        <v>5.0</v>
      </c>
      <c r="B3448" s="1" t="s">
        <v>3437</v>
      </c>
      <c r="C3448" t="str">
        <f>IFERROR(__xludf.DUMMYFUNCTION("GOOGLETRANSLATE(B3448, ""zh"", ""en"")"),"Good texture, good texture, like!")</f>
        <v>Good texture, good texture, like!</v>
      </c>
    </row>
    <row r="3449">
      <c r="A3449" s="1">
        <v>5.0</v>
      </c>
      <c r="B3449" s="1" t="s">
        <v>3438</v>
      </c>
      <c r="C3449" t="str">
        <f>IFERROR(__xludf.DUMMYFUNCTION("GOOGLETRANSLATE(B3449, ""zh"", ""en"")"),"Sports socks thick foundation, comfortable colors. I wear 36 yards shoes, socks, size is very appropriate.")</f>
        <v>Sports socks thick foundation, comfortable colors. I wear 36 yards shoes, socks, size is very appropriate.</v>
      </c>
    </row>
    <row r="3450">
      <c r="A3450" s="1">
        <v>5.0</v>
      </c>
      <c r="B3450" s="1" t="s">
        <v>3439</v>
      </c>
      <c r="C3450" t="str">
        <f>IFERROR(__xludf.DUMMYFUNCTION("GOOGLETRANSLATE(B3450, ""zh"", ""en"")"),"boon very easy to use, just curvature")</f>
        <v>boon very easy to use, just curvature</v>
      </c>
    </row>
    <row r="3451">
      <c r="A3451" s="1">
        <v>5.0</v>
      </c>
      <c r="B3451" s="1" t="s">
        <v>3440</v>
      </c>
      <c r="C3451" t="str">
        <f>IFERROR(__xludf.DUMMYFUNCTION("GOOGLETRANSLATE(B3451, ""zh"", ""en"")"),"Children like good, quality can currently looking good")</f>
        <v>Children like good, quality can currently looking good</v>
      </c>
    </row>
    <row r="3452">
      <c r="A3452" s="1">
        <v>5.0</v>
      </c>
      <c r="B3452" s="1" t="s">
        <v>3441</v>
      </c>
      <c r="C3452" t="str">
        <f>IFERROR(__xludf.DUMMYFUNCTION("GOOGLETRANSLATE(B3452, ""zh"", ""en"")"),"With the latter sense orders to arrive just 20 days, the big brand quality not questioned, US imperialism is produced 😜 slightly rough point, since inflammation of the wrist can not do pasta can only buy a machine. To make bread buns Hanamaki knead 10 mi"&amp;"nutes is enough, I have not tried the bread. The only drawback is less a machine pad, stable, and want to look for something cushioned.")</f>
        <v>With the latter sense orders to arrive just 20 days, the big brand quality not questioned, US imperialism is produced 😜 slightly rough point, since inflammation of the wrist can not do pasta can only buy a machine. To make bread buns Hanamaki knead 10 minutes is enough, I have not tried the bread. The only drawback is less a machine pad, stable, and want to look for something cushioned.</v>
      </c>
    </row>
    <row r="3453">
      <c r="A3453" s="1">
        <v>5.0</v>
      </c>
      <c r="B3453" s="1" t="s">
        <v>3442</v>
      </c>
      <c r="C3453" t="str">
        <f>IFERROR(__xludf.DUMMYFUNCTION("GOOGLETRANSLATE(B3453, ""zh"", ""en"")"),"Not bad, Attached within a shoelace, I do not know or give a little to the")</f>
        <v>Not bad, Attached within a shoelace, I do not know or give a little to the</v>
      </c>
    </row>
    <row r="3454">
      <c r="A3454" s="1">
        <v>5.0</v>
      </c>
      <c r="B3454" s="1" t="s">
        <v>3443</v>
      </c>
      <c r="C3454" t="str">
        <f>IFERROR(__xludf.DUMMYFUNCTION("GOOGLETRANSLATE(B3454, ""zh"", ""en"")"),"Good, I will always buy already the second time to buy. Children with fluorine-free toothpaste baby, has no love before brushing your teeth, use this significantly more positive.")</f>
        <v>Good, I will always buy already the second time to buy. Children with fluorine-free toothpaste baby, has no love before brushing your teeth, use this significantly more positive.</v>
      </c>
    </row>
    <row r="3455">
      <c r="A3455" s="1">
        <v>5.0</v>
      </c>
      <c r="B3455" s="1" t="s">
        <v>3444</v>
      </c>
      <c r="C3455" t="str">
        <f>IFERROR(__xludf.DUMMYFUNCTION("GOOGLETRANSLATE(B3455, ""zh"", ""en"")"),"Good 130 pounds to wear No. 10 on the list. No. 12 a little loose.")</f>
        <v>Good 130 pounds to wear No. 10 on the list. No. 12 a little loose.</v>
      </c>
    </row>
    <row r="3456">
      <c r="A3456" s="1">
        <v>5.0</v>
      </c>
      <c r="B3456" s="1" t="s">
        <v>3445</v>
      </c>
      <c r="C3456" t="str">
        <f>IFERROR(__xludf.DUMMYFUNCTION("GOOGLETRANSLATE(B3456, ""zh"", ""en"")"),"Good good good good to wear very comfortable, full marks.")</f>
        <v>Good good good good to wear very comfortable, full marks.</v>
      </c>
    </row>
    <row r="3457">
      <c r="A3457" s="1">
        <v>5.0</v>
      </c>
      <c r="B3457" s="1" t="s">
        <v>3446</v>
      </c>
      <c r="C3457" t="str">
        <f>IFERROR(__xludf.DUMMYFUNCTION("GOOGLETRANSLATE(B3457, ""zh"", ""en"")"),"Domestic counter 750 from a single hand for four days. Domestic counter 750, and the first day we opened the mall champion pink on sold out of stock. Nichia 360 hand. Nichia package is really a sense of heaven and earth, clothes folded in a plastic box fi"&amp;"xed.")</f>
        <v>Domestic counter 750 from a single hand for four days. Domestic counter 750, and the first day we opened the mall champion pink on sold out of stock. Nichia 360 hand. Nichia package is really a sense of heaven and earth, clothes folded in a plastic box fixed.</v>
      </c>
    </row>
    <row r="3458">
      <c r="A3458" s="1">
        <v>5.0</v>
      </c>
      <c r="B3458" s="1" t="s">
        <v>3447</v>
      </c>
      <c r="C3458" t="str">
        <f>IFERROR(__xludf.DUMMYFUNCTION("GOOGLETRANSLATE(B3458, ""zh"", ""en"")"),"Nice jacket, brand goods, ha ha! According to comments that reduced one yard orders, it is suitable. 178,99kg, L code.")</f>
        <v>Nice jacket, brand goods, ha ha! According to comments that reduced one yard orders, it is suitable. 178,99kg, L code.</v>
      </c>
    </row>
    <row r="3459">
      <c r="A3459" s="1">
        <v>5.0</v>
      </c>
      <c r="B3459" s="1" t="s">
        <v>3448</v>
      </c>
      <c r="C3459" t="str">
        <f>IFERROR(__xludf.DUMMYFUNCTION("GOOGLETRANSLATE(B3459, ""zh"", ""en"")"),"Great activity price, 24-inch, the tax package shipping more than 850 points, considered to be very cheap, a little flaw, enamel pot should be difficult to avoid, not on the face, absolutely conscience. Really nice texture, color value that is just, ah, k"&amp;"itchen visibly moved. Lamb chops and burned several times, without adding water, after pre-fried in a wok seasoned with salt, into the enamel pot, the fire twelve hours minimum to get the wife and kids say burn more delicious than before.")</f>
        <v>Great activity price, 24-inch, the tax package shipping more than 850 points, considered to be very cheap, a little flaw, enamel pot should be difficult to avoid, not on the face, absolutely conscience. Really nice texture, color value that is just, ah, kitchen visibly moved. Lamb chops and burned several times, without adding water, after pre-fried in a wok seasoned with salt, into the enamel pot, the fire twelve hours minimum to get the wife and kids say burn more delicious than before.</v>
      </c>
    </row>
    <row r="3460">
      <c r="A3460" s="1">
        <v>5.0</v>
      </c>
      <c r="B3460" s="1" t="s">
        <v>3449</v>
      </c>
      <c r="C3460" t="str">
        <f>IFERROR(__xludf.DUMMYFUNCTION("GOOGLETRANSLATE(B3460, ""zh"", ""en"")"),"The same size, good quality and consistent size ecco shoes, good quality, affordable, like this one at Amazon")</f>
        <v>The same size, good quality and consistent size ecco shoes, good quality, affordable, like this one at Amazon</v>
      </c>
    </row>
    <row r="3461">
      <c r="A3461" s="1">
        <v>5.0</v>
      </c>
      <c r="B3461" s="1" t="s">
        <v>3450</v>
      </c>
      <c r="C3461" t="str">
        <f>IFERROR(__xludf.DUMMYFUNCTION("GOOGLETRANSLATE(B3461, ""zh"", ""en"")"),"The small of your little expensive, but you can also stuff")</f>
        <v>The small of your little expensive, but you can also stuff</v>
      </c>
    </row>
    <row r="3462">
      <c r="A3462" s="1">
        <v>5.0</v>
      </c>
      <c r="B3462" s="1" t="s">
        <v>3451</v>
      </c>
      <c r="C3462" t="str">
        <f>IFERROR(__xludf.DUMMYFUNCTION("GOOGLETRANSLATE(B3462, ""zh"", ""en"")"),"You can also okay, the measured temperature is not accurate, obviously the temperature of the baby can eat but still discolored")</f>
        <v>You can also okay, the measured temperature is not accurate, obviously the temperature of the baby can eat but still discolored</v>
      </c>
    </row>
    <row r="3463">
      <c r="A3463" s="1">
        <v>5.0</v>
      </c>
      <c r="B3463" s="1" t="s">
        <v>3452</v>
      </c>
      <c r="C3463" t="str">
        <f>IFERROR(__xludf.DUMMYFUNCTION("GOOGLETRANSLATE(B3463, ""zh"", ""en"")"),"Size is too large, but on the other comfortable before I personally quite like the United States and Asia transport back this ratio, N, repurchased.")</f>
        <v>Size is too large, but on the other comfortable before I personally quite like the United States and Asia transport back this ratio, N, repurchased.</v>
      </c>
    </row>
    <row r="3464">
      <c r="A3464" s="1">
        <v>5.0</v>
      </c>
      <c r="B3464" s="1" t="s">
        <v>3453</v>
      </c>
      <c r="C3464" t="str">
        <f>IFERROR(__xludf.DUMMYFUNCTION("GOOGLETRANSLATE(B3464, ""zh"", ""en"")"),"Something good very good, very much, for casual wear")</f>
        <v>Something good very good, very much, for casual wear</v>
      </c>
    </row>
    <row r="3465">
      <c r="A3465" s="1">
        <v>5.0</v>
      </c>
      <c r="B3465" s="1" t="s">
        <v>3454</v>
      </c>
      <c r="C3465" t="str">
        <f>IFERROR(__xludf.DUMMYFUNCTION("GOOGLETRANSLATE(B3465, ""zh"", ""en"")"),"Many commented that the shoes looked slightly too small, the result of a bite to buy half a yard big, big. . .")</f>
        <v>Many commented that the shoes looked slightly too small, the result of a bite to buy half a yard big, big. . .</v>
      </c>
    </row>
    <row r="3466">
      <c r="A3466" s="1">
        <v>5.0</v>
      </c>
      <c r="B3466" s="1" t="s">
        <v>3455</v>
      </c>
      <c r="C3466" t="str">
        <f>IFERROR(__xludf.DUMMYFUNCTION("GOOGLETRANSLATE(B3466, ""zh"", ""en"")"),"Young first pair of Timberland young first pair of Timberland, the main purpose is to buy these shoes riding a motorcycle, because of economic reasons, so plan to drop resistance armor-style clothes jeans knee match. Such need a pair of durable, waterproo"&amp;"f, anti-oil (clutch kick, this place would sometimes rub some oil), has some protective properties of the shoe, and chose this pair of Timberland Pro work boots, it was supposed to buy steel head boots, bought the wrong result, but the hand feels good sup"&amp;"port, it can be had. Hand shoes to wear all day, although regarded as Timberland home base support is better, but also well connected, go to the hospital, shopping feet down a bit of pain. 44 to 43 feet, specifically to the store to try explosion models 1"&amp;"0061,9.5w just do not squeeze the foot, there is a slight space, Genjiao aspects laces must be tied a little. In addition uppermost two fixed laces something really useful, easy to wear off. the above.")</f>
        <v>Young first pair of Timberland young first pair of Timberland, the main purpose is to buy these shoes riding a motorcycle, because of economic reasons, so plan to drop resistance armor-style clothes jeans knee match. Such need a pair of durable, waterproof, anti-oil (clutch kick, this place would sometimes rub some oil), has some protective properties of the shoe, and chose this pair of Timberland Pro work boots, it was supposed to buy steel head boots, bought the wrong result, but the hand feels good support, it can be had. Hand shoes to wear all day, although regarded as Timberland home base support is better, but also well connected, go to the hospital, shopping feet down a bit of pain. 44 to 43 feet, specifically to the store to try explosion models 10061,9.5w just do not squeeze the foot, there is a slight space, Genjiao aspects laces must be tied a little. In addition uppermost two fixed laces something really useful, easy to wear off. the above.</v>
      </c>
    </row>
    <row r="3467">
      <c r="A3467" s="1">
        <v>2.0</v>
      </c>
      <c r="B3467" s="1" t="s">
        <v>3456</v>
      </c>
      <c r="C3467" t="str">
        <f>IFERROR(__xludf.DUMMYFUNCTION("GOOGLETRANSLATE(B3467, ""zh"", ""en"")"),"Very thin, not warm very thin, not warm, wear shivering with cold weather in the south of 17 degrees, an average of 46 yuan each at all worthwhile!")</f>
        <v>Very thin, not warm very thin, not warm, wear shivering with cold weather in the south of 17 degrees, an average of 46 yuan each at all worthwhile!</v>
      </c>
    </row>
    <row r="3468">
      <c r="A3468" s="1">
        <v>3.0</v>
      </c>
      <c r="B3468" s="1" t="s">
        <v>3457</v>
      </c>
      <c r="C3468" t="str">
        <f>IFERROR(__xludf.DUMMYFUNCTION("GOOGLETRANSLATE(B3468, ""zh"", ""en"")"),"The so-called flannel, is a layer of cloth - was originally bought winter wear, so-called God Ma flannel, is a layer of cloth, not too thick -")</f>
        <v>The so-called flannel, is a layer of cloth - was originally bought winter wear, so-called God Ma flannel, is a layer of cloth, not too thick -</v>
      </c>
    </row>
    <row r="3469">
      <c r="A3469" s="1">
        <v>3.0</v>
      </c>
      <c r="B3469" s="1" t="s">
        <v>3458</v>
      </c>
      <c r="C3469" t="str">
        <f>IFERROR(__xludf.DUMMYFUNCTION("GOOGLETRANSLATE(B3469, ""zh"", ""en"")"),"Dimensions partial fat")</f>
        <v>Dimensions partial fat</v>
      </c>
    </row>
    <row r="3470">
      <c r="A3470" s="1">
        <v>3.0</v>
      </c>
      <c r="B3470" s="1" t="s">
        <v>3459</v>
      </c>
      <c r="C3470" t="str">
        <f>IFERROR(__xludf.DUMMYFUNCTION("GOOGLETRANSLATE(B3470, ""zh"", ""en"")"),"Number small number some deviation, than I bought the store in the United States is smaller.")</f>
        <v>Number small number some deviation, than I bought the store in the United States is smaller.</v>
      </c>
    </row>
    <row r="3471">
      <c r="A3471" s="1">
        <v>1.0</v>
      </c>
      <c r="B3471" s="1" t="s">
        <v>3460</v>
      </c>
      <c r="C3471" t="str">
        <f>IFERROR(__xludf.DUMMYFUNCTION("GOOGLETRANSLATE(B3471, ""zh"", ""en"")"),"Poor service very unhappy, and the order number of May 4, May 30 was sent to, customer service contact, did not take the initiative to inform the reasons for the delay, the box also damaged, bad review")</f>
        <v>Poor service very unhappy, and the order number of May 4, May 30 was sent to, customer service contact, did not take the initiative to inform the reasons for the delay, the box also damaged, bad review</v>
      </c>
    </row>
    <row r="3472">
      <c r="A3472" s="1">
        <v>1.0</v>
      </c>
      <c r="B3472" s="1" t="s">
        <v>3461</v>
      </c>
      <c r="C3472" t="str">
        <f>IFERROR(__xludf.DUMMYFUNCTION("GOOGLETRANSLATE(B3472, ""zh"", ""en"")"),"Good quality buy a lot of Atsugi socks, very good")</f>
        <v>Good quality buy a lot of Atsugi socks, very good</v>
      </c>
    </row>
    <row r="3473">
      <c r="A3473" s="1">
        <v>1.0</v>
      </c>
      <c r="B3473" s="1" t="s">
        <v>3462</v>
      </c>
      <c r="C3473" t="str">
        <f>IFERROR(__xludf.DUMMYFUNCTION("GOOGLETRANSLATE(B3473, ""zh"", ""en"")"),"Pot handles out! It is not ye drop! Pot handles the mail out, there is only a piece of paper wrapped, referred all the way, The United States of course be mailed to die! Too much time! Amassing Amazon will not buy things!")</f>
        <v>Pot handles out! It is not ye drop! Pot handles the mail out, there is only a piece of paper wrapped, referred all the way, The United States of course be mailed to die! Too much time! Amassing Amazon will not buy things!</v>
      </c>
    </row>
    <row r="3474">
      <c r="A3474" s="1">
        <v>4.0</v>
      </c>
      <c r="B3474" s="1" t="s">
        <v>3463</v>
      </c>
      <c r="C3474" t="str">
        <f>IFERROR(__xludf.DUMMYFUNCTION("GOOGLETRANSLATE(B3474, ""zh"", ""en"")"),"180,70KG, 32x32, material a bit hard, wear okay, that is a little big trousers! 180,70KG, 32x32, material a bit hard, wear okay, that is a little big trousers!")</f>
        <v>180,70KG, 32x32, material a bit hard, wear okay, that is a little big trousers! 180,70KG, 32x32, material a bit hard, wear okay, that is a little big trousers!</v>
      </c>
    </row>
    <row r="3475">
      <c r="A3475" s="1">
        <v>4.0</v>
      </c>
      <c r="B3475" s="1" t="s">
        <v>3464</v>
      </c>
      <c r="C3475" t="str">
        <f>IFERROR(__xludf.DUMMYFUNCTION("GOOGLETRANSLATE(B3475, ""zh"", ""en"")"),"Pen and hate and am looking forward to the beginning, after the hand felt like a general, try to write quite a bit smooth, sharp EF is still feeling rough, and write English and digital well, if not as good as Japanese kanji writing pen, because the large"&amp;" volume of water, the stroke is not easy, not easy to control, accidentally wrote a rough, note the calligraphy bought, bought in books also notes that thick, but feel good, comfortable to hold a pen , alas, and pen and hate ...")</f>
        <v>Pen and hate and am looking forward to the beginning, after the hand felt like a general, try to write quite a bit smooth, sharp EF is still feeling rough, and write English and digital well, if not as good as Japanese kanji writing pen, because the large volume of water, the stroke is not easy, not easy to control, accidentally wrote a rough, note the calligraphy bought, bought in books also notes that thick, but feel good, comfortable to hold a pen , alas, and pen and hate ...</v>
      </c>
    </row>
    <row r="3476">
      <c r="A3476" s="1">
        <v>4.0</v>
      </c>
      <c r="B3476" s="1" t="s">
        <v>3465</v>
      </c>
      <c r="C3476" t="str">
        <f>IFERROR(__xludf.DUMMYFUNCTION("GOOGLETRANSLATE(B3476, ""zh"", ""en"")"),"Can also be pretty good, the children dressed to travel, a lot of walking every day, did not say uncomfortable, it is to wear a few days of glue on the toe up a bit, forget about their own stick, alas")</f>
        <v>Can also be pretty good, the children dressed to travel, a lot of walking every day, did not say uncomfortable, it is to wear a few days of glue on the toe up a bit, forget about their own stick, alas</v>
      </c>
    </row>
    <row r="3477">
      <c r="A3477" s="1">
        <v>4.0</v>
      </c>
      <c r="B3477" s="1" t="s">
        <v>3466</v>
      </c>
      <c r="C3477" t="str">
        <f>IFERROR(__xludf.DUMMYFUNCTION("GOOGLETRANSLATE(B3477, ""zh"", ""en"")"),"The more you use the more coarse the pen nib more with the rough")</f>
        <v>The more you use the more coarse the pen nib more with the rough</v>
      </c>
    </row>
    <row r="3478">
      <c r="A3478" s="1">
        <v>4.0</v>
      </c>
      <c r="B3478" s="1" t="s">
        <v>3467</v>
      </c>
      <c r="C3478" t="str">
        <f>IFERROR(__xludf.DUMMYFUNCTION("GOOGLETRANSLATE(B3478, ""zh"", ""en"")"),"The basic fine is not satisfied with the workmanship, high heel Hao ah, put on increased 4-5 cm")</f>
        <v>The basic fine is not satisfied with the workmanship, high heel Hao ah, put on increased 4-5 cm</v>
      </c>
    </row>
    <row r="3479">
      <c r="A3479" s="1">
        <v>5.0</v>
      </c>
      <c r="B3479" s="1" t="s">
        <v>3468</v>
      </c>
      <c r="C3479" t="str">
        <f>IFERROR(__xludf.DUMMYFUNCTION("GOOGLETRANSLATE(B3479, ""zh"", ""en"")"),"Thin section cotton, thin, very comfortable!")</f>
        <v>Thin section cotton, thin, very comfortable!</v>
      </c>
    </row>
    <row r="3480">
      <c r="A3480" s="1">
        <v>5.0</v>
      </c>
      <c r="B3480" s="1" t="s">
        <v>3469</v>
      </c>
      <c r="C3480" t="str">
        <f>IFERROR(__xludf.DUMMYFUNCTION("GOOGLETRANSLATE(B3480, ""zh"", ""en"")"),"Very comfortable and very appropriate, there is no sense of violation and")</f>
        <v>Very comfortable and very appropriate, there is no sense of violation and</v>
      </c>
    </row>
    <row r="3481">
      <c r="A3481" s="1">
        <v>5.0</v>
      </c>
      <c r="B3481" s="1" t="s">
        <v>3470</v>
      </c>
      <c r="C3481" t="str">
        <f>IFERROR(__xludf.DUMMYFUNCTION("GOOGLETRANSLATE(B3481, ""zh"", ""en"")"),"Well ah cup cup well, larger than expected")</f>
        <v>Well ah cup cup well, larger than expected</v>
      </c>
    </row>
    <row r="3482">
      <c r="A3482" s="1">
        <v>5.0</v>
      </c>
      <c r="B3482" s="1" t="s">
        <v>3471</v>
      </c>
      <c r="C3482" t="str">
        <f>IFERROR(__xludf.DUMMYFUNCTION("GOOGLETRANSLATE(B3482, ""zh"", ""en"")"),"Affordable affordable dishwasher consumables, stockpile")</f>
        <v>Affordable affordable dishwasher consumables, stockpile</v>
      </c>
    </row>
    <row r="3483">
      <c r="A3483" s="1">
        <v>5.0</v>
      </c>
      <c r="B3483" s="1" t="s">
        <v>3472</v>
      </c>
      <c r="C3483" t="str">
        <f>IFERROR(__xludf.DUMMYFUNCTION("GOOGLETRANSLATE(B3483, ""zh"", ""en"")"),"Efficient, convenient and very good, worry, and effort.")</f>
        <v>Efficient, convenient and very good, worry, and effort.</v>
      </c>
    </row>
    <row r="3484">
      <c r="A3484" s="1">
        <v>5.0</v>
      </c>
      <c r="B3484" s="1" t="s">
        <v>3473</v>
      </c>
      <c r="C3484" t="str">
        <f>IFERROR(__xludf.DUMMYFUNCTION("GOOGLETRANSLATE(B3484, ""zh"", ""en"")"),"Handsome hiking shoes size standard is very good, exactly the same picture. I have seen comments that code number is too large, and here I solemnly talk about: completely normal size, according to its own code number will buy, buy small one yard before th"&amp;"e results are returned re-buy. Give newcomers reminder to suffer unnecessary trouble. Amazon shopping at ease comfortable, beautiful authentic commodity prices will continue.")</f>
        <v>Handsome hiking shoes size standard is very good, exactly the same picture. I have seen comments that code number is too large, and here I solemnly talk about: completely normal size, according to its own code number will buy, buy small one yard before the results are returned re-buy. Give newcomers reminder to suffer unnecessary trouble. Amazon shopping at ease comfortable, beautiful authentic commodity prices will continue.</v>
      </c>
    </row>
    <row r="3485">
      <c r="A3485" s="1">
        <v>5.0</v>
      </c>
      <c r="B3485" s="1" t="s">
        <v>3474</v>
      </c>
      <c r="C3485" t="str">
        <f>IFERROR(__xludf.DUMMYFUNCTION("GOOGLETRANSLATE(B3485, ""zh"", ""en"")"),"Also good enough for everyday use of the commodity 128G")</f>
        <v>Also good enough for everyday use of the commodity 128G</v>
      </c>
    </row>
    <row r="3486">
      <c r="A3486" s="1">
        <v>5.0</v>
      </c>
      <c r="B3486" s="1" t="s">
        <v>3475</v>
      </c>
      <c r="C3486" t="str">
        <f>IFERROR(__xludf.DUMMYFUNCTION("GOOGLETRANSLATE(B3486, ""zh"", ""en"")"),"Shoe size too small, it is recommended at least most of the code! Look at the reviews said the former single shoe size too small, I wear Adi Mayer, United States Code 11.5 suitable, this time to shoot 12 yards, after an order is not enough to worry about,"&amp;" now want to return, not back, had to agree, the arrival soon on the right foot, the right individual foot most of the code!")</f>
        <v>Shoe size too small, it is recommended at least most of the code! Look at the reviews said the former single shoe size too small, I wear Adi Mayer, United States Code 11.5 suitable, this time to shoot 12 yards, after an order is not enough to worry about, now want to return, not back, had to agree, the arrival soon on the right foot, the right individual foot most of the code!</v>
      </c>
    </row>
    <row r="3487">
      <c r="A3487" s="1">
        <v>5.0</v>
      </c>
      <c r="B3487" s="1" t="s">
        <v>3476</v>
      </c>
      <c r="C3487" t="str">
        <f>IFERROR(__xludf.DUMMYFUNCTION("GOOGLETRANSLATE(B3487, ""zh"", ""en"")"),"Lee men's pants and nice this modern series Slim tapered leg jeans, Brazen, somewhat similar to, or may be slightly washed version, darker color, also manufactured in Egypt. Although it is 30 × 30, but what matters more than the waist. Very slim, leg righ"&amp;"t size, neither tight nor dirty, just proportion. 176,70kg, 30 × 30 suitable.")</f>
        <v>Lee men's pants and nice this modern series Slim tapered leg jeans, Brazen, somewhat similar to, or may be slightly washed version, darker color, also manufactured in Egypt. Although it is 30 × 30, but what matters more than the waist. Very slim, leg right size, neither tight nor dirty, just proportion. 176,70kg, 30 × 30 suitable.</v>
      </c>
    </row>
    <row r="3488">
      <c r="A3488" s="1">
        <v>5.0</v>
      </c>
      <c r="B3488" s="1" t="s">
        <v>3477</v>
      </c>
      <c r="C3488" t="str">
        <f>IFERROR(__xludf.DUMMYFUNCTION("GOOGLETRANSLATE(B3488, ""zh"", ""en"")"),"A good headset, texture is good, life is really nb have to say that the Amazon product images are compressed too much does not look very eyes, get our hands texture is good, more convenient Bluetooth, sound is also good, life is really nb , continuous ful"&amp;"l power two days no problem")</f>
        <v>A good headset, texture is good, life is really nb have to say that the Amazon product images are compressed too much does not look very eyes, get our hands texture is good, more convenient Bluetooth, sound is also good, life is really nb , continuous full power two days no problem</v>
      </c>
    </row>
    <row r="3489">
      <c r="A3489" s="1">
        <v>5.0</v>
      </c>
      <c r="B3489" s="1" t="s">
        <v>3478</v>
      </c>
      <c r="C3489" t="str">
        <f>IFERROR(__xludf.DUMMYFUNCTION("GOOGLETRANSLATE(B3489, ""zh"", ""en"")"),"Xs code tailored, Chest 94, 66 long. For reference, corresponding to the country code s")</f>
        <v>Xs code tailored, Chest 94, 66 long. For reference, corresponding to the country code s</v>
      </c>
    </row>
    <row r="3490">
      <c r="A3490" s="1">
        <v>5.0</v>
      </c>
      <c r="B3490" s="1" t="s">
        <v>3479</v>
      </c>
      <c r="C3490" t="str">
        <f>IFERROR(__xludf.DUMMYFUNCTION("GOOGLETRANSLATE(B3490, ""zh"", ""en"")"),"Throw out all want to be comfortable underwear")</f>
        <v>Throw out all want to be comfortable underwear</v>
      </c>
    </row>
    <row r="3491">
      <c r="A3491" s="1">
        <v>5.0</v>
      </c>
      <c r="B3491" s="1" t="s">
        <v>3480</v>
      </c>
      <c r="C3491" t="str">
        <f>IFERROR(__xludf.DUMMYFUNCTION("GOOGLETRANSLATE(B3491, ""zh"", ""en"")"),"Spoon a good deal of heat will meet color, not the baby will be careful with soup, four loading is also very cost-effective.")</f>
        <v>Spoon a good deal of heat will meet color, not the baby will be careful with soup, four loading is also very cost-effective.</v>
      </c>
    </row>
    <row r="3492">
      <c r="A3492" s="1">
        <v>5.0</v>
      </c>
      <c r="B3492" s="1" t="s">
        <v>3481</v>
      </c>
      <c r="C3492" t="str">
        <f>IFERROR(__xludf.DUMMYFUNCTION("GOOGLETRANSLATE(B3492, ""zh"", ""en"")"),"Less than 600 hand value for money, goods to the spent four days, things no problem! Should not the lowest price, but less than a third counter price, great value! Shoe size may try to counter, but ECCO shoes to press # 1 sports shoe size small buy on lin"&amp;"e. Very pleasant shopping experience!")</f>
        <v>Less than 600 hand value for money, goods to the spent four days, things no problem! Should not the lowest price, but less than a third counter price, great value! Shoe size may try to counter, but ECCO shoes to press # 1 sports shoe size small buy on line. Very pleasant shopping experience!</v>
      </c>
    </row>
    <row r="3493">
      <c r="A3493" s="1">
        <v>5.0</v>
      </c>
      <c r="B3493" s="1" t="s">
        <v>3482</v>
      </c>
      <c r="C3493" t="str">
        <f>IFERROR(__xludf.DUMMYFUNCTION("GOOGLETRANSLATE(B3493, ""zh"", ""en"")"),"Very satisfied with the good. Packaging is a bit low. If not transport came in, I thought it was fake, ha ha ha ha.")</f>
        <v>Very satisfied with the good. Packaging is a bit low. If not transport came in, I thought it was fake, ha ha ha ha.</v>
      </c>
    </row>
    <row r="3494">
      <c r="A3494" s="1">
        <v>5.0</v>
      </c>
      <c r="B3494" s="1" t="s">
        <v>3483</v>
      </c>
      <c r="C3494" t="str">
        <f>IFERROR(__xludf.DUMMYFUNCTION("GOOGLETRANSLATE(B3494, ""zh"", ""en"")"),"Okay okay, the insulation effect in general")</f>
        <v>Okay okay, the insulation effect in general</v>
      </c>
    </row>
    <row r="3495">
      <c r="A3495" s="1">
        <v>5.0</v>
      </c>
      <c r="B3495" s="1" t="s">
        <v>3484</v>
      </c>
      <c r="C3495" t="str">
        <f>IFERROR(__xludf.DUMMYFUNCTION("GOOGLETRANSLATE(B3495, ""zh"", ""en"")"),"He responded well to help my colleagues to buy, very good reaction")</f>
        <v>He responded well to help my colleagues to buy, very good reaction</v>
      </c>
    </row>
    <row r="3496">
      <c r="A3496" s="1">
        <v>5.0</v>
      </c>
      <c r="B3496" s="1" t="s">
        <v>3485</v>
      </c>
      <c r="C3496" t="str">
        <f>IFERROR(__xludf.DUMMYFUNCTION("GOOGLETRANSLATE(B3496, ""zh"", ""en"")"),"Quality is good, too much height and weight 182. 200 kilos, wearing a big 4x.")</f>
        <v>Quality is good, too much height and weight 182. 200 kilos, wearing a big 4x.</v>
      </c>
    </row>
    <row r="3497">
      <c r="A3497" s="1">
        <v>5.0</v>
      </c>
      <c r="B3497" s="1" t="s">
        <v>3486</v>
      </c>
      <c r="C3497" t="str">
        <f>IFERROR(__xludf.DUMMYFUNCTION("GOOGLETRANSLATE(B3497, ""zh"", ""en"")"),"Grape seed extract tablets insist on eating for some time, color really changed for the better. We will continue to adhere to eat")</f>
        <v>Grape seed extract tablets insist on eating for some time, color really changed for the better. We will continue to adhere to eat</v>
      </c>
    </row>
    <row r="3498">
      <c r="A3498" s="1">
        <v>5.0</v>
      </c>
      <c r="B3498" s="1" t="s">
        <v>3487</v>
      </c>
      <c r="C3498" t="str">
        <f>IFERROR(__xludf.DUMMYFUNCTION("GOOGLETRANSLATE(B3498, ""zh"", ""en"")"),"Good black is beautiful, the cup is very light, which has a similar color paint colorful pearl very pretty. . Japan made to turn ems, about 1-2 weeks to go.")</f>
        <v>Good black is beautiful, the cup is very light, which has a similar color paint colorful pearl very pretty. . Japan made to turn ems, about 1-2 weeks to go.</v>
      </c>
    </row>
    <row r="3499">
      <c r="A3499" s="1">
        <v>5.0</v>
      </c>
      <c r="B3499" s="1" t="s">
        <v>3488</v>
      </c>
      <c r="C3499" t="str">
        <f>IFERROR(__xludf.DUMMYFUNCTION("GOOGLETRANSLATE(B3499, ""zh"", ""en"")"),"Why did not the ink? ? Very satisfied, very good pen, writing is very comfortable, really no wrong")</f>
        <v>Why did not the ink? ? Very satisfied, very good pen, writing is very comfortable, really no wrong</v>
      </c>
    </row>
    <row r="3500">
      <c r="A3500" s="1">
        <v>5.0</v>
      </c>
      <c r="B3500" s="1" t="s">
        <v>3489</v>
      </c>
      <c r="C3500" t="str">
        <f>IFERROR(__xludf.DUMMYFUNCTION("GOOGLETRANSLATE(B3500, ""zh"", ""en"")"),"Buying experience is good, although some twists and turns just received, only to evaluate the buying experience. The first purchase is November 3, after a delay because through customs (about 10 tips, but the exact cause is unknown), the occurrence of ref"&amp;"unds (about 3 days after the arrival refund clearance problems). For unknown reasons, the customer service is recommended to re-order. Second purchase November 13 Kusakabe single, estimated arrival time for the November 30, a week ahead of the actual, 23,"&amp;" received a product. Probably because the relationship between long-distance transport, packaging is damaged deformation, packaging intact, flawless products. In accordance with the instructions debugging (package no instructions in Chinese, made through "&amp;"the official website), responsive, and smooth commissioning started using (mainly set their district, automatically time). Dial inner diameter 33mm, outer diameter of about 50mm, is indeed large, coarse my wrist (wrist width of 55mm), consciously fairly f"&amp;"it. The initial charge display H (high), one hour after commissioning reduced to M (medium). Indoor operation, there is no sun to charge. As shown in FIG. Above, for reference to buy friends.")</f>
        <v>Buying experience is good, although some twists and turns just received, only to evaluate the buying experience. The first purchase is November 3, after a delay because through customs (about 10 tips, but the exact cause is unknown), the occurrence of refunds (about 3 days after the arrival refund clearance problems). For unknown reasons, the customer service is recommended to re-order. Second purchase November 13 Kusakabe single, estimated arrival time for the November 30, a week ahead of the actual, 23, received a product. Probably because the relationship between long-distance transport, packaging is damaged deformation, packaging intact, flawless products. In accordance with the instructions debugging (package no instructions in Chinese, made through the official website), responsive, and smooth commissioning started using (mainly set their district, automatically time). Dial inner diameter 33mm, outer diameter of about 50mm, is indeed large, coarse my wrist (wrist width of 55mm), consciously fairly fit. The initial charge display H (high), one hour after commissioning reduced to M (medium). Indoor operation, there is no sun to charge. As shown in FIG. Above, for reference to buy friends.</v>
      </c>
    </row>
    <row r="3501">
      <c r="A3501" s="1">
        <v>2.0</v>
      </c>
      <c r="B3501" s="1" t="s">
        <v>3490</v>
      </c>
      <c r="C3501" t="str">
        <f>IFERROR(__xludf.DUMMYFUNCTION("GOOGLETRANSLATE(B3501, ""zh"", ""en"")"),"Physical and picture there are gaps. Obvious flaws, the return. Physical and photos there are gaps, returns a lot of trouble, buy - to enthusiasts who need to be cautious reference.")</f>
        <v>Physical and picture there are gaps. Obvious flaws, the return. Physical and photos there are gaps, returns a lot of trouble, buy - to enthusiasts who need to be cautious reference.</v>
      </c>
    </row>
    <row r="3502">
      <c r="A3502" s="1">
        <v>3.0</v>
      </c>
      <c r="B3502" s="1" t="s">
        <v>3491</v>
      </c>
      <c r="C3502" t="str">
        <f>IFERROR(__xludf.DUMMYFUNCTION("GOOGLETRANSLATE(B3502, ""zh"", ""en"")"),"Pants Pants color is completely different.")</f>
        <v>Pants Pants color is completely different.</v>
      </c>
    </row>
    <row r="3503">
      <c r="A3503" s="1">
        <v>3.0</v>
      </c>
      <c r="B3503" s="1" t="s">
        <v>3492</v>
      </c>
      <c r="C3503" t="str">
        <f>IFERROR(__xludf.DUMMYFUNCTION("GOOGLETRANSLATE(B3503, ""zh"", ""en"")"),"Front knee bleached do not know if it is deliberately doing the old bleach or what's going on. He had good pure black, knee actually looks bleached with black pants, after passing through a while, the same fade. Or it can be understood as deliberately old"&amp;", bleached. So as to get black pants, feeling does not look good. Wear more thin.")</f>
        <v>Front knee bleached do not know if it is deliberately doing the old bleach or what's going on. He had good pure black, knee actually looks bleached with black pants, after passing through a while, the same fade. Or it can be understood as deliberately old, bleached. So as to get black pants, feeling does not look good. Wear more thin.</v>
      </c>
    </row>
    <row r="3504">
      <c r="A3504" s="1">
        <v>3.0</v>
      </c>
      <c r="B3504" s="1" t="s">
        <v>3493</v>
      </c>
      <c r="C3504" t="str">
        <f>IFERROR(__xludf.DUMMYFUNCTION("GOOGLETRANSLATE(B3504, ""zh"", ""en"")"),"Too! Quality is good, it is too big to buy, usually domestic XL is just right, height 180, weight 190, wear XL grow a large portion, it is recommended to buy a small one yard!")</f>
        <v>Too! Quality is good, it is too big to buy, usually domestic XL is just right, height 180, weight 190, wear XL grow a large portion, it is recommended to buy a small one yard!</v>
      </c>
    </row>
    <row r="3505">
      <c r="A3505" s="1">
        <v>1.0</v>
      </c>
      <c r="B3505" s="1" t="s">
        <v>3494</v>
      </c>
      <c r="C3505" t="str">
        <f>IFERROR(__xludf.DUMMYFUNCTION("GOOGLETRANSLATE(B3505, ""zh"", ""en"")"),"It is no domestic warranty! ! ! China can not guarantee, just over three months on the bad, do not know whether to retire Prime members.")</f>
        <v>It is no domestic warranty! ! ! China can not guarantee, just over three months on the bad, do not know whether to retire Prime members.</v>
      </c>
    </row>
    <row r="3506">
      <c r="A3506" s="1">
        <v>1.0</v>
      </c>
      <c r="B3506" s="1" t="s">
        <v>3495</v>
      </c>
      <c r="C3506" t="str">
        <f>IFERROR(__xludf.DUMMYFUNCTION("GOOGLETRANSLATE(B3506, ""zh"", ""en"")"),"Do not buy fake fake")</f>
        <v>Do not buy fake fake</v>
      </c>
    </row>
    <row r="3507">
      <c r="A3507" s="1">
        <v>4.0</v>
      </c>
      <c r="B3507" s="1" t="s">
        <v>3496</v>
      </c>
      <c r="C3507" t="str">
        <f>IFERROR(__xludf.DUMMYFUNCTION("GOOGLETRANSLATE(B3507, ""zh"", ""en"")"),"Slightly flawed. There fur on the turn left foot toe part of a little scratches, exquisite workmanship feel as before, then there are little old shoebox.")</f>
        <v>Slightly flawed. There fur on the turn left foot toe part of a little scratches, exquisite workmanship feel as before, then there are little old shoebox.</v>
      </c>
    </row>
    <row r="3508">
      <c r="A3508" s="1">
        <v>4.0</v>
      </c>
      <c r="B3508" s="1" t="s">
        <v>3497</v>
      </c>
      <c r="C3508" t="str">
        <f>IFERROR(__xludf.DUMMYFUNCTION("GOOGLETRANSLATE(B3508, ""zh"", ""en"")"),"Black Black fade to wash several times fade do not know whether because of m m my underwear with a special lotion")</f>
        <v>Black Black fade to wash several times fade do not know whether because of m m my underwear with a special lotion</v>
      </c>
    </row>
    <row r="3509">
      <c r="A3509" s="1">
        <v>4.0</v>
      </c>
      <c r="B3509" s="1" t="s">
        <v>3498</v>
      </c>
      <c r="C3509" t="str">
        <f>IFERROR(__xludf.DUMMYFUNCTION("GOOGLETRANSLATE(B3509, ""zh"", ""en"")"),"Slightly smaller size 168cm, 92 pounds, to buy 26, is fit tight against the leg, recommendations freshman code, wear comfortable loose points will be higher")</f>
        <v>Slightly smaller size 168cm, 92 pounds, to buy 26, is fit tight against the leg, recommendations freshman code, wear comfortable loose points will be higher</v>
      </c>
    </row>
    <row r="3510">
      <c r="A3510" s="1">
        <v>4.0</v>
      </c>
      <c r="B3510" s="1" t="s">
        <v>3499</v>
      </c>
      <c r="C3510" t="str">
        <f>IFERROR(__xludf.DUMMYFUNCTION("GOOGLETRANSLATE(B3510, ""zh"", ""en"")"),"Easy operation advantages and disadvantages, the sound quality is very good for me. Very clear. Disadvantages 1 general noise in the room air conditioning fan can filter a kind of noise. To filter the human voice is very general. 2 drawback is not tight e"&amp;"nough, wear only not moving. Or feel will be out, I might head 3 is relatively small drawback it sounds sometimes suddenly she had changed a little big. 4 disadvantage not open, whether wireless mode noise. Pause and play Qing Xiang will look inside the h"&amp;"eadset while watching the video.")</f>
        <v>Easy operation advantages and disadvantages, the sound quality is very good for me. Very clear. Disadvantages 1 general noise in the room air conditioning fan can filter a kind of noise. To filter the human voice is very general. 2 drawback is not tight enough, wear only not moving. Or feel will be out, I might head 3 is relatively small drawback it sounds sometimes suddenly she had changed a little big. 4 disadvantage not open, whether wireless mode noise. Pause and play Qing Xiang will look inside the headset while watching the video.</v>
      </c>
    </row>
    <row r="3511">
      <c r="A3511" s="1">
        <v>4.0</v>
      </c>
      <c r="B3511" s="1" t="s">
        <v>3500</v>
      </c>
      <c r="C3511" t="str">
        <f>IFERROR(__xludf.DUMMYFUNCTION("GOOGLETRANSLATE(B3511, ""zh"", ""en"")"),"Thin, since the ball pretty good, but a little thin, inside the velvet is very easy to play ball")</f>
        <v>Thin, since the ball pretty good, but a little thin, inside the velvet is very easy to play ball</v>
      </c>
    </row>
    <row r="3512">
      <c r="A3512" s="1">
        <v>5.0</v>
      </c>
      <c r="B3512" s="1" t="s">
        <v>3501</v>
      </c>
      <c r="C3512" t="str">
        <f>IFERROR(__xludf.DUMMYFUNCTION("GOOGLETRANSLATE(B3512, ""zh"", ""en"")"),"East 1/3 cheaper than dog was great. big enough. Home nas entire backup down.")</f>
        <v>East 1/3 cheaper than dog was great. big enough. Home nas entire backup down.</v>
      </c>
    </row>
    <row r="3513">
      <c r="A3513" s="1">
        <v>5.0</v>
      </c>
      <c r="B3513" s="1" t="s">
        <v>3502</v>
      </c>
      <c r="C3513" t="str">
        <f>IFERROR(__xludf.DUMMYFUNCTION("GOOGLETRANSLATE(B3513, ""zh"", ""en"")"),"Basic fit do not know if Amazon made the United States of goods, arrive soon anyway, completely beyond my imagination. Legs too long, too fat, okay.")</f>
        <v>Basic fit do not know if Amazon made the United States of goods, arrive soon anyway, completely beyond my imagination. Legs too long, too fat, okay.</v>
      </c>
    </row>
    <row r="3514">
      <c r="A3514" s="1">
        <v>5.0</v>
      </c>
      <c r="B3514" s="1" t="s">
        <v>3503</v>
      </c>
      <c r="C3514" t="str">
        <f>IFERROR(__xludf.DUMMYFUNCTION("GOOGLETRANSLATE(B3514, ""zh"", ""en"")"),"Recommended nice. This top is simple models, although that is m code, but the head of a small band of people still can! recommend!")</f>
        <v>Recommended nice. This top is simple models, although that is m code, but the head of a small band of people still can! recommend!</v>
      </c>
    </row>
    <row r="3515">
      <c r="A3515" s="1">
        <v>5.0</v>
      </c>
      <c r="B3515" s="1" t="s">
        <v>3504</v>
      </c>
      <c r="C3515" t="str">
        <f>IFERROR(__xludf.DUMMYFUNCTION("GOOGLETRANSLATE(B3515, ""zh"", ""en"")"),"It does not leak ink bleeds")</f>
        <v>It does not leak ink bleeds</v>
      </c>
    </row>
    <row r="3516">
      <c r="A3516" s="1">
        <v>5.0</v>
      </c>
      <c r="B3516" s="1" t="s">
        <v>3505</v>
      </c>
      <c r="C3516" t="str">
        <f>IFERROR(__xludf.DUMMYFUNCTION("GOOGLETRANSLATE(B3516, ""zh"", ""en"")"),"Approbation of good quality, clothes yards too, wanted to return, think, or received, he did not get to know the code number is, in his own responsibility, Amazon hopes to continue to maintain this quality management and service ......")</f>
        <v>Approbation of good quality, clothes yards too, wanted to return, think, or received, he did not get to know the code number is, in his own responsibility, Amazon hopes to continue to maintain this quality management and service ......</v>
      </c>
    </row>
    <row r="3517">
      <c r="A3517" s="1">
        <v>5.0</v>
      </c>
      <c r="B3517" s="1" t="s">
        <v>3506</v>
      </c>
      <c r="C3517" t="str">
        <f>IFERROR(__xludf.DUMMYFUNCTION("GOOGLETRANSLATE(B3517, ""zh"", ""en"")"),"Hitachi's enterprise disk bought two white standard disk, the disk is Hitachi's enterprise, 7200 64M cache, on nas use. Model is relatively old, it should be hard to change the use of corporate stock, 0 on power-up time. Read and write speed test bought t"&amp;"hree years than WD's red disk faster, of course, companies move up the disc sound more objective, but a few years ago almost all of 7200, within the normal range. In this price that is simply too much cabbage, basically less than half price, plus self-sea"&amp;" Amazon purchase, more at ease.")</f>
        <v>Hitachi's enterprise disk bought two white standard disk, the disk is Hitachi's enterprise, 7200 64M cache, on nas use. Model is relatively old, it should be hard to change the use of corporate stock, 0 on power-up time. Read and write speed test bought three years than WD's red disk faster, of course, companies move up the disc sound more objective, but a few years ago almost all of 7200, within the normal range. In this price that is simply too much cabbage, basically less than half price, plus self-sea Amazon purchase, more at ease.</v>
      </c>
    </row>
    <row r="3518">
      <c r="A3518" s="1">
        <v>5.0</v>
      </c>
      <c r="B3518" s="1" t="s">
        <v>3507</v>
      </c>
      <c r="C3518" t="str">
        <f>IFERROR(__xludf.DUMMYFUNCTION("GOOGLETRANSLATE(B3518, ""zh"", ""en"")"),"Work fine, classically designed glass fiber pens, lighter, that is, the entire ink pen reservoir, design more compact. The entire pen work fine, substantially no defects, comprising a rotating portion of the tail of the pen, and after tightening the rest "&amp;"almost integration, see the gap. The most distinctive is the center of gravity of the whole pen in parts of the tiger's mouth, coupled with the cap remains the same, when you write very comfortable.")</f>
        <v>Work fine, classically designed glass fiber pens, lighter, that is, the entire ink pen reservoir, design more compact. The entire pen work fine, substantially no defects, comprising a rotating portion of the tail of the pen, and after tightening the rest almost integration, see the gap. The most distinctive is the center of gravity of the whole pen in parts of the tiger's mouth, coupled with the cap remains the same, when you write very comfortable.</v>
      </c>
    </row>
    <row r="3519">
      <c r="A3519" s="1">
        <v>5.0</v>
      </c>
      <c r="B3519" s="1" t="s">
        <v>3508</v>
      </c>
      <c r="C3519" t="str">
        <f>IFERROR(__xludf.DUMMYFUNCTION("GOOGLETRANSLATE(B3519, ""zh"", ""en"")"),"This easy to use vibration frequency is indeed high, but not so stiff feeling Braun, accustomed to electric toothbrush for me was quite gentle, clean place")</f>
        <v>This easy to use vibration frequency is indeed high, but not so stiff feeling Braun, accustomed to electric toothbrush for me was quite gentle, clean place</v>
      </c>
    </row>
    <row r="3520">
      <c r="A3520" s="1">
        <v>5.0</v>
      </c>
      <c r="B3520" s="1" t="s">
        <v>3509</v>
      </c>
      <c r="C3520" t="str">
        <f>IFERROR(__xludf.DUMMYFUNCTION("GOOGLETRANSLATE(B3520, ""zh"", ""en"")"),"Size is too large, outstanding color a little bit big, but the color and texture is very good, right when oversize, very good.")</f>
        <v>Size is too large, outstanding color a little bit big, but the color and texture is very good, right when oversize, very good.</v>
      </c>
    </row>
    <row r="3521">
      <c r="A3521" s="1">
        <v>5.0</v>
      </c>
      <c r="B3521" s="1" t="s">
        <v>3510</v>
      </c>
      <c r="C3521" t="str">
        <f>IFERROR(__xludf.DUMMYFUNCTION("GOOGLETRANSLATE(B3521, ""zh"", ""en"")"),"This quality is particularly good recommendation to buy, buy two, the price is much cheaper than the Lynx, and long overdue to buy things on Amazon, later also Huichang Lai.")</f>
        <v>This quality is particularly good recommendation to buy, buy two, the price is much cheaper than the Lynx, and long overdue to buy things on Amazon, later also Huichang Lai.</v>
      </c>
    </row>
    <row r="3522">
      <c r="A3522" s="1">
        <v>5.0</v>
      </c>
      <c r="B3522" s="1" t="s">
        <v>3511</v>
      </c>
      <c r="C3522" t="str">
        <f>IFERROR(__xludf.DUMMYFUNCTION("GOOGLETRANSLATE(B3522, ""zh"", ""en"")"),"Suitable into a suitable size, I wide foot instep is high, usually wear 36 yards, selected 35 (36EU), it is appropriate, a finger spare toe, on both sides slightly squeeze a little, the brown paragraph had wanted, but there is only black No, the arrival o"&amp;"f what we can see is also very good, leather soft and comfortable to wear.")</f>
        <v>Suitable into a suitable size, I wide foot instep is high, usually wear 36 yards, selected 35 (36EU), it is appropriate, a finger spare toe, on both sides slightly squeeze a little, the brown paragraph had wanted, but there is only black No, the arrival of what we can see is also very good, leather soft and comfortable to wear.</v>
      </c>
    </row>
    <row r="3523">
      <c r="A3523" s="1">
        <v>5.0</v>
      </c>
      <c r="B3523" s="1" t="s">
        <v>3512</v>
      </c>
      <c r="C3523" t="str">
        <f>IFERROR(__xludf.DUMMYFUNCTION("GOOGLETRANSLATE(B3523, ""zh"", ""en"")"),"Worth starting five-star praise, it is worth starting, origin India, feel workmanship are good, upper body more comfortable, cost is very high. Size standard, 165-65 s code is fit.")</f>
        <v>Worth starting five-star praise, it is worth starting, origin India, feel workmanship are good, upper body more comfortable, cost is very high. Size standard, 165-65 s code is fit.</v>
      </c>
    </row>
    <row r="3524">
      <c r="A3524" s="1">
        <v>5.0</v>
      </c>
      <c r="B3524" s="1" t="s">
        <v>3513</v>
      </c>
      <c r="C3524" t="str">
        <f>IFERROR(__xludf.DUMMYFUNCTION("GOOGLETRANSLATE(B3524, ""zh"", ""en"")"),"Not from the previous evaluation, I do not know how many wasted points, points can change money now know, they should look carefully evaluated, then I put these words to copy to go, both to earn points, but also save trouble, they go where copy the most i"&amp;"mportant thing is, do not seriously review, do not think how much worse word, sent directly to it, recommend it to everyone! ! Not from the previous evaluation, I do not know how many wasted points, points can change money now know, they should look caref"&amp;"ully evaluated, then I put these words to copy to go, both to earn points, but also save trouble, they go where copy the most important thing is, do not seriously review, do not think how much worse word, sent directly to it, recommend it to everyone! !")</f>
        <v>Not from the previous evaluation, I do not know how many wasted points, points can change money now know, they should look carefully evaluated, then I put these words to copy to go, both to earn points, but also save trouble, they go where copy the most important thing is, do not seriously review, do not think how much worse word, sent directly to it, recommend it to everyone! ! Not from the previous evaluation, I do not know how many wasted points, points can change money now know, they should look carefully evaluated, then I put these words to copy to go, both to earn points, but also save trouble, they go where copy the most important thing is, do not seriously review, do not think how much worse word, sent directly to it, recommend it to everyone! !</v>
      </c>
    </row>
    <row r="3525">
      <c r="A3525" s="1">
        <v>5.0</v>
      </c>
      <c r="B3525" s="1" t="s">
        <v>3514</v>
      </c>
      <c r="C3525" t="str">
        <f>IFERROR(__xludf.DUMMYFUNCTION("GOOGLETRANSLATE(B3525, ""zh"", ""en"")"),"Material heavy, solid! perfectly worked! Good recipes made out of noodles is quite good! Material heavy, solid! perfectly worked! Good recipes made out of noodles is quite good!")</f>
        <v>Material heavy, solid! perfectly worked! Good recipes made out of noodles is quite good! Material heavy, solid! perfectly worked! Good recipes made out of noodles is quite good!</v>
      </c>
    </row>
    <row r="3526">
      <c r="A3526" s="1">
        <v>5.0</v>
      </c>
      <c r="B3526" s="1" t="s">
        <v>3515</v>
      </c>
      <c r="C3526" t="str">
        <f>IFERROR(__xludf.DUMMYFUNCTION("GOOGLETRANSLATE(B3526, ""zh"", ""en"")"),"They pay for things impress, a leader has weight, feel good, than expected big shower")</f>
        <v>They pay for things impress, a leader has weight, feel good, than expected big shower</v>
      </c>
    </row>
    <row r="3527">
      <c r="A3527" s="1">
        <v>5.0</v>
      </c>
      <c r="B3527" s="1" t="s">
        <v>3516</v>
      </c>
      <c r="C3527" t="str">
        <f>IFERROR(__xludf.DUMMYFUNCTION("GOOGLETRANSLATE(B3527, ""zh"", ""en"")"),"It is said that when the pencil can buy a whole box, not to use it, feeling must be very good.")</f>
        <v>It is said that when the pencil can buy a whole box, not to use it, feeling must be very good.</v>
      </c>
    </row>
    <row r="3528">
      <c r="A3528" s="1">
        <v>5.0</v>
      </c>
      <c r="B3528" s="1" t="s">
        <v>3517</v>
      </c>
      <c r="C3528" t="str">
        <f>IFERROR(__xludf.DUMMYFUNCTION("GOOGLETRANSLATE(B3528, ""zh"", ""en"")"),"No. 170/60 S S 170,60 kg to buy just the right number, quality and design are good, there are headphone threading hole in his pocket, details of the design is better, we buy things on Amazon each comment, clothes yardage is indeed overseas good grasp, I w"&amp;"ant to help")</f>
        <v>No. 170/60 S S 170,60 kg to buy just the right number, quality and design are good, there are headphone threading hole in his pocket, details of the design is better, we buy things on Amazon each comment, clothes yardage is indeed overseas good grasp, I want to help</v>
      </c>
    </row>
    <row r="3529">
      <c r="A3529" s="1">
        <v>5.0</v>
      </c>
      <c r="B3529" s="1" t="s">
        <v>3518</v>
      </c>
      <c r="C3529" t="str">
        <f>IFERROR(__xludf.DUMMYFUNCTION("GOOGLETRANSLATE(B3529, ""zh"", ""en"")"),"Record results were pretty good good results, is the general appearance of the paint, a little cheap")</f>
        <v>Record results were pretty good good results, is the general appearance of the paint, a little cheap</v>
      </c>
    </row>
    <row r="3530">
      <c r="A3530" s="1">
        <v>5.0</v>
      </c>
      <c r="B3530" s="1" t="s">
        <v>3519</v>
      </c>
      <c r="C3530" t="str">
        <f>IFERROR(__xludf.DUMMYFUNCTION("GOOGLETRANSLATE(B3530, ""zh"", ""en"")"),"As expected, the size just right, something very good")</f>
        <v>As expected, the size just right, something very good</v>
      </c>
    </row>
    <row r="3531">
      <c r="A3531" s="1">
        <v>5.0</v>
      </c>
      <c r="B3531" s="1" t="s">
        <v>3520</v>
      </c>
      <c r="C3531" t="str">
        <f>IFERROR(__xludf.DUMMYFUNCTION("GOOGLETRANSLATE(B3531, ""zh"", ""en"")"),"Strong function looks nothing surprising place, but after using, you know why it is ranked first in the kitchen scissors.")</f>
        <v>Strong function looks nothing surprising place, but after using, you know why it is ranked first in the kitchen scissors.</v>
      </c>
    </row>
    <row r="3532">
      <c r="A3532" s="1">
        <v>5.0</v>
      </c>
      <c r="B3532" s="1" t="s">
        <v>3521</v>
      </c>
      <c r="C3532" t="str">
        <f>IFERROR(__xludf.DUMMYFUNCTION("GOOGLETRANSLATE(B3532, ""zh"", ""en"")"),"nice high cost of good quality")</f>
        <v>nice high cost of good quality</v>
      </c>
    </row>
    <row r="3533">
      <c r="A3533" s="1">
        <v>2.0</v>
      </c>
      <c r="B3533" s="1" t="s">
        <v>3522</v>
      </c>
      <c r="C3533" t="str">
        <f>IFERROR(__xludf.DUMMYFUNCTION("GOOGLETRANSLATE(B3533, ""zh"", ""en"")"),"Oh well good, not from the previous evaluation, I do not know how many wasted points, points can change money now know, they should look carefully evaluated, then I put these words to copy to go, both to earn points, but also save time, copy where they go"&amp;", the most important thing is, do not seriously review, do not think how much worse word, made directly on it")</f>
        <v>Oh well good, not from the previous evaluation, I do not know how many wasted points, points can change money now know, they should look carefully evaluated, then I put these words to copy to go, both to earn points, but also save time, copy where they go, the most important thing is, do not seriously review, do not think how much worse word, made directly on it</v>
      </c>
    </row>
    <row r="3534">
      <c r="A3534" s="1">
        <v>3.0</v>
      </c>
      <c r="B3534" s="1" t="s">
        <v>3523</v>
      </c>
      <c r="C3534" t="str">
        <f>IFERROR(__xludf.DUMMYFUNCTION("GOOGLETRANSLATE(B3534, ""zh"", ""en"")"),"A little disappointed, not very satisfied. Let me talk about the advantages, looks good, symmetrical, fast response. There are many shortcomings, the biggest problem is the system beep big noisy, and not adjustable. For some of my big ears, ears hurt with"&amp;" three minutes later.")</f>
        <v>A little disappointed, not very satisfied. Let me talk about the advantages, looks good, symmetrical, fast response. There are many shortcomings, the biggest problem is the system beep big noisy, and not adjustable. For some of my big ears, ears hurt with three minutes later.</v>
      </c>
    </row>
    <row r="3535">
      <c r="A3535" s="1">
        <v>3.0</v>
      </c>
      <c r="B3535" s="1" t="s">
        <v>3524</v>
      </c>
      <c r="C3535" t="str">
        <f>IFERROR(__xludf.DUMMYFUNCTION("GOOGLETRANSLATE(B3535, ""zh"", ""en"")"),"Why the poor quality of the hem s code so small shoulders so wide? ! Then pocket really is crooked, thin cashmere hair loss, buy red, are the sticky clothes, but very warm, wash fade is not serious, that is, hair loss, 130 pounds wearing a small hem.")</f>
        <v>Why the poor quality of the hem s code so small shoulders so wide? ! Then pocket really is crooked, thin cashmere hair loss, buy red, are the sticky clothes, but very warm, wash fade is not serious, that is, hair loss, 130 pounds wearing a small hem.</v>
      </c>
    </row>
    <row r="3536">
      <c r="A3536" s="1">
        <v>1.0</v>
      </c>
      <c r="B3536" s="1" t="s">
        <v>3525</v>
      </c>
      <c r="C3536" t="str">
        <f>IFERROR(__xludf.DUMMYFUNCTION("GOOGLETRANSLATE(B3536, ""zh"", ""en"")"),"Counterfeit products counterfeit products")</f>
        <v>Counterfeit products counterfeit products</v>
      </c>
    </row>
    <row r="3537">
      <c r="A3537" s="1">
        <v>1.0</v>
      </c>
      <c r="B3537" s="1" t="s">
        <v>3526</v>
      </c>
      <c r="C3537" t="str">
        <f>IFERROR(__xludf.DUMMYFUNCTION("GOOGLETRANSLATE(B3537, ""zh"", ""en"")"),"It is new? &lt;Div id = ""video-block-R2V2G56EY7E4NE"" class = ""a-section a-spacing-small a-spacing-top-mini video-block""&gt; &lt;/ div&gt; &lt;input type = ""hidden"" name = """" value = ""https://images-cn.ssl-images-amazon.com/images/I/81FGJL+gBJS.mp4"" class = ""v"&amp;"ideo-url""&gt; &lt;input type = ""hidden"" name = """" value = "" https://images-cn.ssl-images-amazon.com/images/I/B1snUTXgntS.png ""class ="" video-slate-img-url ""&gt; &amp; nbsp; okay nothing to send even a small screwdriver Han have not had to go the whole time ga"&amp;"dgets as well as a table with a friction marks BAD with out color Yes")</f>
        <v>It is new? &lt;Div id = "video-block-R2V2G56EY7E4NE" class = "a-section a-spacing-small a-spacing-top-mini video-block"&gt; &lt;/ div&gt; &lt;input type = "hidden" name = "" value = "https://images-cn.ssl-images-amazon.com/images/I/81FGJL+gBJS.mp4" class = "video-url"&gt; &lt;input type = "hidden" name = "" value = " https://images-cn.ssl-images-amazon.com/images/I/B1snUTXgntS.png "class =" video-slate-img-url "&gt; &amp; nbsp; okay nothing to send even a small screwdriver Han have not had to go the whole time gadgets as well as a table with a friction marks BAD with out color Yes</v>
      </c>
    </row>
    <row r="3538">
      <c r="A3538" s="1">
        <v>1.0</v>
      </c>
      <c r="B3538" s="1" t="s">
        <v>3527</v>
      </c>
      <c r="C3538" t="str">
        <f>IFERROR(__xludf.DUMMYFUNCTION("GOOGLETRANSLATE(B3538, ""zh"", ""en"")"),"Why not ask reply 24 hours modulation system, can not point the top right button")</f>
        <v>Why not ask reply 24 hours modulation system, can not point the top right button</v>
      </c>
    </row>
    <row r="3539">
      <c r="A3539" s="1">
        <v>4.0</v>
      </c>
      <c r="B3539" s="1" t="s">
        <v>3528</v>
      </c>
      <c r="C3539" t="str">
        <f>IFERROR(__xludf.DUMMYFUNCTION("GOOGLETRANSLATE(B3539, ""zh"", ""en"")"),"Rather long and too large is pretty nice, but really rather long too large.")</f>
        <v>Rather long and too large is pretty nice, but really rather long too large.</v>
      </c>
    </row>
    <row r="3540">
      <c r="A3540" s="1">
        <v>4.0</v>
      </c>
      <c r="B3540" s="1" t="s">
        <v>3529</v>
      </c>
      <c r="C3540" t="str">
        <f>IFERROR(__xludf.DUMMYFUNCTION("GOOGLETRANSLATE(B3540, ""zh"", ""en"")"),"It can also be very good use. It can also be very good use.")</f>
        <v>It can also be very good use. It can also be very good use.</v>
      </c>
    </row>
    <row r="3541">
      <c r="A3541" s="1">
        <v>4.0</v>
      </c>
      <c r="B3541" s="1" t="s">
        <v>3530</v>
      </c>
      <c r="C3541" t="str">
        <f>IFERROR(__xludf.DUMMYFUNCTION("GOOGLETRANSLATE(B3541, ""zh"", ""en"")"),"Larger sizes larger than another before")</f>
        <v>Larger sizes larger than another before</v>
      </c>
    </row>
    <row r="3542">
      <c r="A3542" s="1">
        <v>4.0</v>
      </c>
      <c r="B3542" s="1" t="s">
        <v>3531</v>
      </c>
      <c r="C3542" t="str">
        <f>IFERROR(__xludf.DUMMYFUNCTION("GOOGLETRANSLATE(B3542, ""zh"", ""en"")"),"I was also drunk, how are the Amazon made a comment too much trouble, no wonder a lot of things did not comment, so you can not do, little comments, customer service can not find, let us how to buy things Yeah, hey, to everyone I try to write a review of "&amp;"it in the normal wear of 40, this buy 6.5uk, a little bit big, but personally feel very good value for money, can wear, more than 200 buy, cheap, it is feeling the leather easy to wrinkle")</f>
        <v>I was also drunk, how are the Amazon made a comment too much trouble, no wonder a lot of things did not comment, so you can not do, little comments, customer service can not find, let us how to buy things Yeah, hey, to everyone I try to write a review of it in the normal wear of 40, this buy 6.5uk, a little bit big, but personally feel very good value for money, can wear, more than 200 buy, cheap, it is feeling the leather easy to wrinkle</v>
      </c>
    </row>
    <row r="3543">
      <c r="A3543" s="1">
        <v>5.0</v>
      </c>
      <c r="B3543" s="1" t="s">
        <v>3532</v>
      </c>
      <c r="C3543" t="str">
        <f>IFERROR(__xludf.DUMMYFUNCTION("GOOGLETRANSLATE(B3543, ""zh"", ""en"")"),"Winter boots good for mom, and he is a pair! Very suitable for winter wear!")</f>
        <v>Winter boots good for mom, and he is a pair! Very suitable for winter wear!</v>
      </c>
    </row>
    <row r="3544">
      <c r="A3544" s="1">
        <v>5.0</v>
      </c>
      <c r="B3544" s="1" t="s">
        <v>3533</v>
      </c>
      <c r="C3544" t="str">
        <f>IFERROR(__xludf.DUMMYFUNCTION("GOOGLETRANSLATE(B3544, ""zh"", ""en"")"),"Value for money soft water, paddle switch is large enough, a large amount of water again like a point")</f>
        <v>Value for money soft water, paddle switch is large enough, a large amount of water again like a point</v>
      </c>
    </row>
    <row r="3545">
      <c r="A3545" s="1">
        <v>5.0</v>
      </c>
      <c r="B3545" s="1" t="s">
        <v>3534</v>
      </c>
      <c r="C3545" t="str">
        <f>IFERROR(__xludf.DUMMYFUNCTION("GOOGLETRANSLATE(B3545, ""zh"", ""en"")"),"Ultra-lightweight waterproof material, baby wearing no burden, but also waterproof, good")</f>
        <v>Ultra-lightweight waterproof material, baby wearing no burden, but also waterproof, good</v>
      </c>
    </row>
    <row r="3546">
      <c r="A3546" s="1">
        <v>5.0</v>
      </c>
      <c r="B3546" s="1" t="s">
        <v>3535</v>
      </c>
      <c r="C3546" t="str">
        <f>IFERROR(__xludf.DUMMYFUNCTION("GOOGLETRANSLATE(B3546, ""zh"", ""en"")"),"Satisfaction is very beautiful, small. It is also easy to use")</f>
        <v>Satisfaction is very beautiful, small. It is also easy to use</v>
      </c>
    </row>
    <row r="3547">
      <c r="A3547" s="1">
        <v>5.0</v>
      </c>
      <c r="B3547" s="1" t="s">
        <v>3536</v>
      </c>
      <c r="C3547" t="str">
        <f>IFERROR(__xludf.DUMMYFUNCTION("GOOGLETRANSLATE(B3547, ""zh"", ""en"")"),"Like Ha ha ha, good socks, with the experience of the previous two, the size is ok, arrival time soon, is the Japanese definition of a strange color, not black, brown and dark gray is a little short color, or translation problem is difficult to describe i"&amp;"t, was not actually black")</f>
        <v>Like Ha ha ha, good socks, with the experience of the previous two, the size is ok, arrival time soon, is the Japanese definition of a strange color, not black, brown and dark gray is a little short color, or translation problem is difficult to describe it, was not actually black</v>
      </c>
    </row>
    <row r="3548">
      <c r="A3548" s="1">
        <v>5.0</v>
      </c>
      <c r="B3548" s="1" t="s">
        <v>3537</v>
      </c>
      <c r="C3548" t="str">
        <f>IFERROR(__xludf.DUMMYFUNCTION("GOOGLETRANSLATE(B3548, ""zh"", ""en"")"),"Very like to watch movies what good sound quality")</f>
        <v>Very like to watch movies what good sound quality</v>
      </c>
    </row>
    <row r="3549">
      <c r="A3549" s="1">
        <v>5.0</v>
      </c>
      <c r="B3549" s="1" t="s">
        <v>3538</v>
      </c>
      <c r="C3549" t="str">
        <f>IFERROR(__xludf.DUMMYFUNCTION("GOOGLETRANSLATE(B3549, ""zh"", ""en"")"),"Evaluation is very good, not from the previous evaluation, I do not know how many points wasted ah. Now we know that integrating such a large role, it is necessary to take written evaluation body milk taste very fragrant incense, and very moist, stick wit"&amp;"h it can have a significant whitening effect, look forward to.")</f>
        <v>Evaluation is very good, not from the previous evaluation, I do not know how many points wasted ah. Now we know that integrating such a large role, it is necessary to take written evaluation body milk taste very fragrant incense, and very moist, stick with it can have a significant whitening effect, look forward to.</v>
      </c>
    </row>
    <row r="3550">
      <c r="A3550" s="1">
        <v>5.0</v>
      </c>
      <c r="B3550" s="1" t="s">
        <v>3539</v>
      </c>
      <c r="C3550" t="str">
        <f>IFERROR(__xludf.DUMMYFUNCTION("GOOGLETRANSLATE(B3550, ""zh"", ""en"")"),"Comfortable very comfortable. Really like wearing the same, in addition to the price a little expensive disadvantages are advantages :)")</f>
        <v>Comfortable very comfortable. Really like wearing the same, in addition to the price a little expensive disadvantages are advantages :)</v>
      </c>
    </row>
    <row r="3551">
      <c r="A3551" s="1">
        <v>5.0</v>
      </c>
      <c r="B3551" s="1" t="s">
        <v>3540</v>
      </c>
      <c r="C3551" t="str">
        <f>IFERROR(__xludf.DUMMYFUNCTION("GOOGLETRANSLATE(B3551, ""zh"", ""en"")"),"Oh well baby likes this cutlery!")</f>
        <v>Oh well baby likes this cutlery!</v>
      </c>
    </row>
    <row r="3552">
      <c r="A3552" s="1">
        <v>5.0</v>
      </c>
      <c r="B3552" s="1" t="s">
        <v>3541</v>
      </c>
      <c r="C3552" t="str">
        <f>IFERROR(__xludf.DUMMYFUNCTION("GOOGLETRANSLATE(B3552, ""zh"", ""en"")"),"Cheap is the last word with respect to the domestic version, that is, some trademark fuzzy printing, the other almost! Also speed the arrival of overseas purchase, satisfaction!")</f>
        <v>Cheap is the last word with respect to the domestic version, that is, some trademark fuzzy printing, the other almost! Also speed the arrival of overseas purchase, satisfaction!</v>
      </c>
    </row>
    <row r="3553">
      <c r="A3553" s="1">
        <v>5.0</v>
      </c>
      <c r="B3553" s="1" t="s">
        <v>3542</v>
      </c>
      <c r="C3553" t="str">
        <f>IFERROR(__xludf.DUMMYFUNCTION("GOOGLETRANSLATE(B3553, ""zh"", ""en"")"),"Sennheiser 945 genuine second time in the Amazon to buy very satisfied")</f>
        <v>Sennheiser 945 genuine second time in the Amazon to buy very satisfied</v>
      </c>
    </row>
    <row r="3554">
      <c r="A3554" s="1">
        <v>5.0</v>
      </c>
      <c r="B3554" s="1" t="s">
        <v>3543</v>
      </c>
      <c r="C3554" t="str">
        <f>IFERROR(__xludf.DUMMYFUNCTION("GOOGLETRANSLATE(B3554, ""zh"", ""en"")"),"Very soft and comfortable slightly larger, but then a smaller size may be smaller, while swimming wear, do not bring slippers, really very, very comfortable, this brand-deserved reputation.")</f>
        <v>Very soft and comfortable slightly larger, but then a smaller size may be smaller, while swimming wear, do not bring slippers, really very, very comfortable, this brand-deserved reputation.</v>
      </c>
    </row>
    <row r="3555">
      <c r="A3555" s="1">
        <v>5.0</v>
      </c>
      <c r="B3555" s="1" t="s">
        <v>3544</v>
      </c>
      <c r="C3555" t="str">
        <f>IFERROR(__xludf.DUMMYFUNCTION("GOOGLETRANSLATE(B3555, ""zh"", ""en"")"),"Suitable delivery fast, quality pants okay, kind of thin, suitable for summer wear.")</f>
        <v>Suitable delivery fast, quality pants okay, kind of thin, suitable for summer wear.</v>
      </c>
    </row>
    <row r="3556">
      <c r="A3556" s="1">
        <v>5.0</v>
      </c>
      <c r="B3556" s="1" t="s">
        <v>3545</v>
      </c>
      <c r="C3556" t="str">
        <f>IFERROR(__xludf.DUMMYFUNCTION("GOOGLETRANSLATE(B3556, ""zh"", ""en"")"),"Comments very good use")</f>
        <v>Comments very good use</v>
      </c>
    </row>
    <row r="3557">
      <c r="A3557" s="1">
        <v>5.0</v>
      </c>
      <c r="B3557" s="1" t="s">
        <v>3546</v>
      </c>
      <c r="C3557" t="str">
        <f>IFERROR(__xludf.DUMMYFUNCTION("GOOGLETRANSLATE(B3557, ""zh"", ""en"")"),"I have been using WD hard disk, as this will total five days to receive it back up, fast. Hard disk is very beautiful, has a running time of giggle da da sound. Because it is only in formatted mac systems.")</f>
        <v>I have been using WD hard disk, as this will total five days to receive it back up, fast. Hard disk is very beautiful, has a running time of giggle da da sound. Because it is only in formatted mac systems.</v>
      </c>
    </row>
    <row r="3558">
      <c r="A3558" s="1">
        <v>5.0</v>
      </c>
      <c r="B3558" s="1" t="s">
        <v>3547</v>
      </c>
      <c r="C3558" t="str">
        <f>IFERROR(__xludf.DUMMYFUNCTION("GOOGLETRANSLATE(B3558, ""zh"", ""en"")"),"Table water is good, and the picture is no different entities 1, 3157 is the number of watches you can find instructions for this table with the men in the search 2, each watch features a world time world cities are GMT time zone is bjs 2 3 3 is displayed"&amp;" when the DST day, the day temperature for 5 minutes and seconds with a 4 second illuminating a compass 6 7 8 stopwatch alarm function; 3, no pressure gauge 4, waterproof performance with a hot bath no problem, ready to try to swim with ; waterproof 200 m"&amp;"; 5, the effect of the guide points can also be relatively thin; 6, waterproof experiment to almost 3 weeks,")</f>
        <v>Table water is good, and the picture is no different entities 1, 3157 is the number of watches you can find instructions for this table with the men in the search 2, each watch features a world time world cities are GMT time zone is bjs 2 3 3 is displayed when the DST day, the day temperature for 5 minutes and seconds with a 4 second illuminating a compass 6 7 8 stopwatch alarm function; 3, no pressure gauge 4, waterproof performance with a hot bath no problem, ready to try to swim with ; waterproof 200 m; 5, the effect of the guide points can also be relatively thin; 6, waterproof experiment to almost 3 weeks,</v>
      </c>
    </row>
    <row r="3559">
      <c r="A3559" s="1">
        <v>5.0</v>
      </c>
      <c r="B3559" s="1" t="s">
        <v>3548</v>
      </c>
      <c r="C3559" t="str">
        <f>IFERROR(__xludf.DUMMYFUNCTION("GOOGLETRANSLATE(B3559, ""zh"", ""en"")"),"Light, lighter insulation, thermal insulation effect is good for one day")</f>
        <v>Light, lighter insulation, thermal insulation effect is good for one day</v>
      </c>
    </row>
    <row r="3560">
      <c r="A3560" s="1">
        <v>5.0</v>
      </c>
      <c r="B3560" s="1" t="s">
        <v>3549</v>
      </c>
      <c r="C3560" t="str">
        <f>IFERROR(__xludf.DUMMYFUNCTION("GOOGLETRANSLATE(B3560, ""zh"", ""en"")"),"Things can also be, for the good core")</f>
        <v>Things can also be, for the good core</v>
      </c>
    </row>
    <row r="3561">
      <c r="A3561" s="1">
        <v>5.0</v>
      </c>
      <c r="B3561" s="1" t="s">
        <v>3550</v>
      </c>
      <c r="C3561" t="str">
        <f>IFERROR(__xludf.DUMMYFUNCTION("GOOGLETRANSLATE(B3561, ""zh"", ""en"")"),"Easy to use forceful enough, do not brush it touches the bleeding, and once the children brush hurt. Overall, good, clean than a manual brush")</f>
        <v>Easy to use forceful enough, do not brush it touches the bleeding, and once the children brush hurt. Overall, good, clean than a manual brush</v>
      </c>
    </row>
    <row r="3562">
      <c r="A3562" s="1">
        <v>5.0</v>
      </c>
      <c r="B3562" s="1" t="s">
        <v>3551</v>
      </c>
      <c r="C3562" t="str">
        <f>IFERROR(__xludf.DUMMYFUNCTION("GOOGLETRANSLATE(B3562, ""zh"", ""en"")"),"Very comfortable to wear pants all champion than some other brands are a bit long, or my legs are too short")</f>
        <v>Very comfortable to wear pants all champion than some other brands are a bit long, or my legs are too short</v>
      </c>
    </row>
    <row r="3563">
      <c r="A3563" s="1">
        <v>5.0</v>
      </c>
      <c r="B3563" s="1" t="s">
        <v>3552</v>
      </c>
      <c r="C3563" t="str">
        <f>IFERROR(__xludf.DUMMYFUNCTION("GOOGLETRANSLATE(B3563, ""zh"", ""en"")"),"The only good black five most expensive, there are many other things that are or up to several times, now is not the integrity of the Amazon, was disappointed to Asia")</f>
        <v>The only good black five most expensive, there are many other things that are or up to several times, now is not the integrity of the Amazon, was disappointed to Asia</v>
      </c>
    </row>
    <row r="3564">
      <c r="A3564" s="1">
        <v>5.0</v>
      </c>
      <c r="B3564" s="1" t="s">
        <v>3553</v>
      </c>
      <c r="C3564" t="str">
        <f>IFERROR(__xludf.DUMMYFUNCTION("GOOGLETRANSLATE(B3564, ""zh"", ""en"")"),"Good quality, that is, trousers a little big, very fond of good quality is a little big trousers, liked")</f>
        <v>Good quality, that is, trousers a little big, very fond of good quality is a little big trousers, liked</v>
      </c>
    </row>
    <row r="3565">
      <c r="A3565" s="1">
        <v>2.0</v>
      </c>
      <c r="B3565" s="1" t="s">
        <v>3554</v>
      </c>
      <c r="C3565" t="str">
        <f>IFERROR(__xludf.DUMMYFUNCTION("GOOGLETRANSLATE(B3565, ""zh"", ""en"")"),"Clothes too large, and the quality is not good. Some clothes too large, the quality is not very good, feels feel is not worth the price, not as good as about 100 LINING")</f>
        <v>Clothes too large, and the quality is not good. Some clothes too large, the quality is not very good, feels feel is not worth the price, not as good as about 100 LINING</v>
      </c>
    </row>
    <row r="3566">
      <c r="A3566" s="1">
        <v>3.0</v>
      </c>
      <c r="B3566" s="1" t="s">
        <v>3555</v>
      </c>
      <c r="C3566" t="str">
        <f>IFERROR(__xludf.DUMMYFUNCTION("GOOGLETRANSLATE(B3566, ""zh"", ""en"")"),"Size does not indicate the size of the code, I do not like this product. Taking into account the consumer pulls off very troublesome, so find someone to give someone else,")</f>
        <v>Size does not indicate the size of the code, I do not like this product. Taking into account the consumer pulls off very troublesome, so find someone to give someone else,</v>
      </c>
    </row>
    <row r="3567">
      <c r="A3567" s="1">
        <v>3.0</v>
      </c>
      <c r="B3567" s="1" t="s">
        <v>3556</v>
      </c>
      <c r="C3567" t="str">
        <f>IFERROR(__xludf.DUMMYFUNCTION("GOOGLETRANSLATE(B3567, ""zh"", ""en"")"),"Generally thicker spring sweater, rather hard.")</f>
        <v>Generally thicker spring sweater, rather hard.</v>
      </c>
    </row>
    <row r="3568">
      <c r="A3568" s="1">
        <v>3.0</v>
      </c>
      <c r="B3568" s="1" t="s">
        <v>3557</v>
      </c>
      <c r="C3568" t="str">
        <f>IFERROR(__xludf.DUMMYFUNCTION("GOOGLETRANSLATE(B3568, ""zh"", ""en"")"),"Okay, I did not feel good-looking photos! Where are wearing always felt wrong, he did not wear a few times.")</f>
        <v>Okay, I did not feel good-looking photos! Where are wearing always felt wrong, he did not wear a few times.</v>
      </c>
    </row>
    <row r="3569">
      <c r="A3569" s="1">
        <v>1.0</v>
      </c>
      <c r="B3569" s="1" t="s">
        <v>3558</v>
      </c>
      <c r="C3569" t="str">
        <f>IFERROR(__xludf.DUMMYFUNCTION("GOOGLETRANSLATE(B3569, ""zh"", ""en"")"),"low quality! Poor quality! ! There is a hole in the back of the pants, but also want to return to print bills, I do not have a printer, print out is troublesome, had to find their own stores up about the whole thing, nobody checked it before delivery? ? ?"&amp;" ? I was drunk")</f>
        <v>low quality! Poor quality! ! There is a hole in the back of the pants, but also want to return to print bills, I do not have a printer, print out is troublesome, had to find their own stores up about the whole thing, nobody checked it before delivery? ? ? ? I was drunk</v>
      </c>
    </row>
    <row r="3570">
      <c r="A3570" s="1">
        <v>1.0</v>
      </c>
      <c r="B3570" s="1" t="s">
        <v>3559</v>
      </c>
      <c r="C3570" t="str">
        <f>IFERROR(__xludf.DUMMYFUNCTION("GOOGLETRANSLATE(B3570, ""zh"", ""en"")"),"The product is defective, it is recommended Amazon shelves. While improving the quality of customer service really is rubbish! ! ! Spent three months the machine is broken, look for the Amazon, first let me find a customer service Bi Jie Chinese aftermark"&amp;"et, and said not a last resort do not say buy on overseas shopping. Chinese side said that commodity is written, WP-560, the actual commodity is 560C, 560C is not to say China maintenance repair parts models can not! Playing me ah! Rubbish! Find Amazon re"&amp;"gard, the second customer pulled a mess, not only let myself go to the official website of the United States Bi Jie after-sales contact, even when I asked tb have after-sales service, but also in turn asked why I want to buy on top of Central Asia. And to"&amp;"ld me that just because low commodity rate small part of people's opinions, I do not know how much product sales. Despite all the rhetoric that one: what we do is within the law and is legal. I Oh, this is my first time to buy things on Amazon, and last, "&amp;"really rubbish.")</f>
        <v>The product is defective, it is recommended Amazon shelves. While improving the quality of customer service really is rubbish! ! ! Spent three months the machine is broken, look for the Amazon, first let me find a customer service Bi Jie Chinese aftermarket, and said not a last resort do not say buy on overseas shopping. Chinese side said that commodity is written, WP-560, the actual commodity is 560C, 560C is not to say China maintenance repair parts models can not! Playing me ah! Rubbish! Find Amazon regard, the second customer pulled a mess, not only let myself go to the official website of the United States Bi Jie after-sales contact, even when I asked tb have after-sales service, but also in turn asked why I want to buy on top of Central Asia. And told me that just because low commodity rate small part of people's opinions, I do not know how much product sales. Despite all the rhetoric that one: what we do is within the law and is legal. I Oh, this is my first time to buy things on Amazon, and last, really rubbish.</v>
      </c>
    </row>
    <row r="3571">
      <c r="A3571" s="1">
        <v>4.0</v>
      </c>
      <c r="B3571" s="1" t="s">
        <v>3560</v>
      </c>
      <c r="C3571" t="str">
        <f>IFERROR(__xludf.DUMMYFUNCTION("GOOGLETRANSLATE(B3571, ""zh"", ""en"")"),"Dad kept a great effort to reflect the big thief")</f>
        <v>Dad kept a great effort to reflect the big thief</v>
      </c>
    </row>
    <row r="3572">
      <c r="A3572" s="1">
        <v>4.0</v>
      </c>
      <c r="B3572" s="1" t="s">
        <v>3561</v>
      </c>
      <c r="C3572" t="str">
        <f>IFERROR(__xludf.DUMMYFUNCTION("GOOGLETRANSLATE(B3572, ""zh"", ""en"")"),"Table good, good logistics and soon the table, logistics soon")</f>
        <v>Table good, good logistics and soon the table, logistics soon</v>
      </c>
    </row>
    <row r="3573">
      <c r="A3573" s="1">
        <v>4.0</v>
      </c>
      <c r="B3573" s="1" t="s">
        <v>3562</v>
      </c>
      <c r="C3573" t="str">
        <f>IFERROR(__xludf.DUMMYFUNCTION("GOOGLETRANSLATE(B3573, ""zh"", ""en"")"),"Quite satisfactory tooling shoe 255 feet long, just wear No. 7, also can work, toe protection sheet, it should be plastic, the stable heel stabilizer, and thin uppers, shoe soles thick, also wearing Yes, a little dissatisfied with the outside of his right"&amp;" foot at the ankle is a little wear ankle, the place feels like a logo of ...")</f>
        <v>Quite satisfactory tooling shoe 255 feet long, just wear No. 7, also can work, toe protection sheet, it should be plastic, the stable heel stabilizer, and thin uppers, shoe soles thick, also wearing Yes, a little dissatisfied with the outside of his right foot at the ankle is a little wear ankle, the place feels like a logo of ...</v>
      </c>
    </row>
    <row r="3574">
      <c r="A3574" s="1">
        <v>4.0</v>
      </c>
      <c r="B3574" s="1" t="s">
        <v>3563</v>
      </c>
      <c r="C3574" t="str">
        <f>IFERROR(__xludf.DUMMYFUNCTION("GOOGLETRANSLATE(B3574, ""zh"", ""en"")"),"Good clothes sleeves very fat, it is a reference to American and European body design, fabric in general. At first not pleasant to the eye, like a long time, different styles, even to buy a brand, the price of domestic difficult to buy.")</f>
        <v>Good clothes sleeves very fat, it is a reference to American and European body design, fabric in general. At first not pleasant to the eye, like a long time, different styles, even to buy a brand, the price of domestic difficult to buy.</v>
      </c>
    </row>
    <row r="3575">
      <c r="A3575" s="1">
        <v>4.0</v>
      </c>
      <c r="B3575" s="1" t="s">
        <v>3564</v>
      </c>
      <c r="C3575" t="str">
        <f>IFERROR(__xludf.DUMMYFUNCTION("GOOGLETRANSLATE(B3575, ""zh"", ""en"")"),"Not bad for Grandma, but she may be more serious joint problems, eat this no apparent effect.")</f>
        <v>Not bad for Grandma, but she may be more serious joint problems, eat this no apparent effect.</v>
      </c>
    </row>
    <row r="3576">
      <c r="A3576" s="1">
        <v>5.0</v>
      </c>
      <c r="B3576" s="1" t="s">
        <v>3565</v>
      </c>
      <c r="C3576" t="str">
        <f>IFERROR(__xludf.DUMMYFUNCTION("GOOGLETRANSLATE(B3576, ""zh"", ""en"")"),"Young and trendy to his brother to buy, buy more European and American brands, so familiar with the difference between US and Chinese code size, and selected number just good. Amazon can always surprise encounter American brand clothes and shoes of good p"&amp;"rice, buy buy buy! Excellent! A very jianling money, quality and style are too good to not have to say ~")</f>
        <v>Young and trendy to his brother to buy, buy more European and American brands, so familiar with the difference between US and Chinese code size, and selected number just good. Amazon can always surprise encounter American brand clothes and shoes of good price, buy buy buy! Excellent! A very jianling money, quality and style are too good to not have to say ~</v>
      </c>
    </row>
    <row r="3577">
      <c r="A3577" s="1">
        <v>5.0</v>
      </c>
      <c r="B3577" s="1" t="s">
        <v>3566</v>
      </c>
      <c r="C3577" t="str">
        <f>IFERROR(__xludf.DUMMYFUNCTION("GOOGLETRANSLATE(B3577, ""zh"", ""en"")"),"Oh well oh well, I liked it, very good, and finally bought")</f>
        <v>Oh well oh well, I liked it, very good, and finally bought</v>
      </c>
    </row>
    <row r="3578">
      <c r="A3578" s="1">
        <v>5.0</v>
      </c>
      <c r="B3578" s="1" t="s">
        <v>3567</v>
      </c>
      <c r="C3578" t="str">
        <f>IFERROR(__xludf.DUMMYFUNCTION("GOOGLETRANSLATE(B3578, ""zh"", ""en"")"),"Size size being positive, very comfortable very light, very satisfied")</f>
        <v>Size size being positive, very comfortable very light, very satisfied</v>
      </c>
    </row>
    <row r="3579">
      <c r="A3579" s="1">
        <v>5.0</v>
      </c>
      <c r="B3579" s="1" t="s">
        <v>3568</v>
      </c>
      <c r="C3579" t="str">
        <f>IFERROR(__xludf.DUMMYFUNCTION("GOOGLETRANSLATE(B3579, ""zh"", ""en"")"),"Good recommendation deliberately buy shoes freshman yards, snow boots bigger was comfortable. Yes!")</f>
        <v>Good recommendation deliberately buy shoes freshman yards, snow boots bigger was comfortable. Yes!</v>
      </c>
    </row>
    <row r="3580">
      <c r="A3580" s="1">
        <v>5.0</v>
      </c>
      <c r="B3580" s="1" t="s">
        <v>3569</v>
      </c>
      <c r="C3580" t="str">
        <f>IFERROR(__xludf.DUMMYFUNCTION("GOOGLETRANSLATE(B3580, ""zh"", ""en"")"),"No good taste good, no taste, color without color")</f>
        <v>No good taste good, no taste, color without color</v>
      </c>
    </row>
    <row r="3581">
      <c r="A3581" s="1">
        <v>5.0</v>
      </c>
      <c r="B3581" s="1" t="s">
        <v>3570</v>
      </c>
      <c r="C3581" t="str">
        <f>IFERROR(__xludf.DUMMYFUNCTION("GOOGLETRANSLATE(B3581, ""zh"", ""en"")"),"Retro look very pretty, roast them quickly, good food")</f>
        <v>Retro look very pretty, roast them quickly, good food</v>
      </c>
    </row>
    <row r="3582">
      <c r="A3582" s="1">
        <v>5.0</v>
      </c>
      <c r="B3582" s="1" t="s">
        <v>3571</v>
      </c>
      <c r="C3582" t="str">
        <f>IFERROR(__xludf.DUMMYFUNCTION("GOOGLETRANSLATE(B3582, ""zh"", ""en"")"),"Hope to have the effect of pelvic girdle torn down, there is no use, just given birth to the baby, but good quality")</f>
        <v>Hope to have the effect of pelvic girdle torn down, there is no use, just given birth to the baby, but good quality</v>
      </c>
    </row>
    <row r="3583">
      <c r="A3583" s="1">
        <v>5.0</v>
      </c>
      <c r="B3583" s="1" t="s">
        <v>3572</v>
      </c>
      <c r="C3583" t="str">
        <f>IFERROR(__xludf.DUMMYFUNCTION("GOOGLETRANSLATE(B3583, ""zh"", ""en"")"),"Into overseas shopping can not extricate themselves feel a little a little bit, everything else is good, beautiful prices")</f>
        <v>Into overseas shopping can not extricate themselves feel a little a little bit, everything else is good, beautiful prices</v>
      </c>
    </row>
    <row r="3584">
      <c r="A3584" s="1">
        <v>5.0</v>
      </c>
      <c r="B3584" s="1" t="s">
        <v>3573</v>
      </c>
      <c r="C3584" t="str">
        <f>IFERROR(__xludf.DUMMYFUNCTION("GOOGLETRANSLATE(B3584, ""zh"", ""en"")"),"Quality heart stopper pen is not too say, but carefully looked at, and buy a set of two 24-color set of 48 color portrait, I found that there are 15 pens are repeated, it was expensive! Heart stopper ...")</f>
        <v>Quality heart stopper pen is not too say, but carefully looked at, and buy a set of two 24-color set of 48 color portrait, I found that there are 15 pens are repeated, it was expensive! Heart stopper ...</v>
      </c>
    </row>
    <row r="3585">
      <c r="A3585" s="1">
        <v>5.0</v>
      </c>
      <c r="B3585" s="1" t="s">
        <v>3574</v>
      </c>
      <c r="C3585" t="str">
        <f>IFERROR(__xludf.DUMMYFUNCTION("GOOGLETRANSLATE(B3585, ""zh"", ""en"")"),"Very good, too fast decline in value is very good, comfortable, good-looking, that is the end of it too slippery. In addition, the price is down too fast")</f>
        <v>Very good, too fast decline in value is very good, comfortable, good-looking, that is the end of it too slippery. In addition, the price is down too fast</v>
      </c>
    </row>
    <row r="3586">
      <c r="A3586" s="1">
        <v>5.0</v>
      </c>
      <c r="B3586" s="1" t="s">
        <v>3575</v>
      </c>
      <c r="C3586" t="str">
        <f>IFERROR(__xludf.DUMMYFUNCTION("GOOGLETRANSLATE(B3586, ""zh"", ""en"")"),"Cost-effective, good sound and comfortable headphone hand is the 2011 version of the breeze, the headphones sound surprisingly good. Arrived in hand, headphones first sound boring very dry, people want to throw up; let it play for 48 hours, the headphones"&amp;" sound became open, the sound is very comfortable, I do not what that resolution analysis, a lot of Daniel have been written about a lot of things, and now with the headset is more comfortable, sound appealing and rendering power on the line. High cost, I"&amp;" suppose I bought on Amazon a very cost-effective headset.")</f>
        <v>Cost-effective, good sound and comfortable headphone hand is the 2011 version of the breeze, the headphones sound surprisingly good. Arrived in hand, headphones first sound boring very dry, people want to throw up; let it play for 48 hours, the headphones sound became open, the sound is very comfortable, I do not what that resolution analysis, a lot of Daniel have been written about a lot of things, and now with the headset is more comfortable, sound appealing and rendering power on the line. High cost, I suppose I bought on Amazon a very cost-effective headset.</v>
      </c>
    </row>
    <row r="3587">
      <c r="A3587" s="1">
        <v>5.0</v>
      </c>
      <c r="B3587" s="1" t="s">
        <v>3576</v>
      </c>
      <c r="C3587" t="str">
        <f>IFERROR(__xludf.DUMMYFUNCTION("GOOGLETRANSLATE(B3587, ""zh"", ""en"")"),"Too large one yard I 178cm, weight 93kg, buy the xl just right.")</f>
        <v>Too large one yard I 178cm, weight 93kg, buy the xl just right.</v>
      </c>
    </row>
    <row r="3588">
      <c r="A3588" s="1">
        <v>5.0</v>
      </c>
      <c r="B3588" s="1" t="s">
        <v>3577</v>
      </c>
      <c r="C3588" t="str">
        <f>IFERROR(__xludf.DUMMYFUNCTION("GOOGLETRANSLATE(B3588, ""zh"", ""en"")"),"Color and texture are good fly pretty fly, is the pressure instep. But these days to wear off no longer pressed, tears Yeah, it is with their feet to support large. Like, a preparation into the same color of Chelsea.")</f>
        <v>Color and texture are good fly pretty fly, is the pressure instep. But these days to wear off no longer pressed, tears Yeah, it is with their feet to support large. Like, a preparation into the same color of Chelsea.</v>
      </c>
    </row>
    <row r="3589">
      <c r="A3589" s="1">
        <v>5.0</v>
      </c>
      <c r="B3589" s="1" t="s">
        <v>3578</v>
      </c>
      <c r="C3589" t="str">
        <f>IFERROR(__xludf.DUMMYFUNCTION("GOOGLETRANSLATE(B3589, ""zh"", ""en"")"),"High-end atmosphere on the grade for the first time to buy an expensive razor, before it bought about 300, used two Philips head, I feel pretty good, do not know how this can be improved, I have not used, over email looking at the object are intact, the p"&amp;"ower base of the phone with the shaver general, firmly inserted into the herd.")</f>
        <v>High-end atmosphere on the grade for the first time to buy an expensive razor, before it bought about 300, used two Philips head, I feel pretty good, do not know how this can be improved, I have not used, over email looking at the object are intact, the power base of the phone with the shaver general, firmly inserted into the herd.</v>
      </c>
    </row>
    <row r="3590">
      <c r="A3590" s="1">
        <v>5.0</v>
      </c>
      <c r="B3590" s="1" t="s">
        <v>3579</v>
      </c>
      <c r="C3590" t="str">
        <f>IFERROR(__xludf.DUMMYFUNCTION("GOOGLETRANSLATE(B3590, ""zh"", ""en"")"),"Cost-effective likes to wear straight jeans, belts just, long trousers. One week of arrival. Height 180, weight 90")</f>
        <v>Cost-effective likes to wear straight jeans, belts just, long trousers. One week of arrival. Height 180, weight 90</v>
      </c>
    </row>
    <row r="3591">
      <c r="A3591" s="1">
        <v>5.0</v>
      </c>
      <c r="B3591" s="1" t="s">
        <v>3580</v>
      </c>
      <c r="C3591" t="str">
        <f>IFERROR(__xludf.DUMMYFUNCTION("GOOGLETRANSLATE(B3591, ""zh"", ""en"")"),"Size is very fond of, and, like conventional size, usually Clark12 code, this is 12 yards, No. 46")</f>
        <v>Size is very fond of, and, like conventional size, usually Clark12 code, this is 12 yards, No. 46</v>
      </c>
    </row>
    <row r="3592">
      <c r="A3592" s="1">
        <v>5.0</v>
      </c>
      <c r="B3592" s="1" t="s">
        <v>3581</v>
      </c>
      <c r="C3592" t="str">
        <f>IFERROR(__xludf.DUMMYFUNCTION("GOOGLETRANSLATE(B3592, ""zh"", ""en"")"),"Genuine direct mail to China is very convenient.")</f>
        <v>Genuine direct mail to China is very convenient.</v>
      </c>
    </row>
    <row r="3593">
      <c r="A3593" s="1">
        <v>5.0</v>
      </c>
      <c r="B3593" s="1" t="s">
        <v>3582</v>
      </c>
      <c r="C3593" t="str">
        <f>IFERROR(__xludf.DUMMYFUNCTION("GOOGLETRANSLATE(B3593, ""zh"", ""en"")"),"Suitable not use, but I heard a good, beautiful price when purchased.")</f>
        <v>Suitable not use, but I heard a good, beautiful price when purchased.</v>
      </c>
    </row>
    <row r="3594">
      <c r="A3594" s="1">
        <v>5.0</v>
      </c>
      <c r="B3594" s="1" t="s">
        <v>3583</v>
      </c>
      <c r="C3594" t="str">
        <f>IFERROR(__xludf.DUMMYFUNCTION("GOOGLETRANSLATE(B3594, ""zh"", ""en"")"),"Super satisfied. Cup quality is very good, lightweight, good texture material, Vietnam production.")</f>
        <v>Super satisfied. Cup quality is very good, lightweight, good texture material, Vietnam production.</v>
      </c>
    </row>
    <row r="3595">
      <c r="A3595" s="1">
        <v>5.0</v>
      </c>
      <c r="B3595" s="1" t="s">
        <v>3584</v>
      </c>
      <c r="C3595" t="str">
        <f>IFERROR(__xludf.DUMMYFUNCTION("GOOGLETRANSLATE(B3595, ""zh"", ""en"")"),"Champion the price is right, good quality.")</f>
        <v>Champion the price is right, good quality.</v>
      </c>
    </row>
    <row r="3596">
      <c r="A3596" s="1">
        <v>5.0</v>
      </c>
      <c r="B3596" s="1" t="s">
        <v>3585</v>
      </c>
      <c r="C3596" t="str">
        <f>IFERROR(__xludf.DUMMYFUNCTION("GOOGLETRANSLATE(B3596, ""zh"", ""en"")"),"Friends liked the first overseas Amazon purchase, I feel good.")</f>
        <v>Friends liked the first overseas Amazon purchase, I feel good.</v>
      </c>
    </row>
    <row r="3597">
      <c r="A3597" s="1">
        <v>5.0</v>
      </c>
      <c r="B3597" s="1" t="s">
        <v>3586</v>
      </c>
      <c r="C3597" t="str">
        <f>IFERROR(__xludf.DUMMYFUNCTION("GOOGLETRANSLATE(B3597, ""zh"", ""en"")"),"Value! Premium leather beautiful! The width of the body a little rough for boys.")</f>
        <v>Value! Premium leather beautiful! The width of the body a little rough for boys.</v>
      </c>
    </row>
    <row r="3598">
      <c r="A3598" s="1">
        <v>2.0</v>
      </c>
      <c r="B3598" s="1" t="s">
        <v>3587</v>
      </c>
      <c r="C3598" t="str">
        <f>IFERROR(__xludf.DUMMYFUNCTION("GOOGLETRANSLATE(B3598, ""zh"", ""en"")"),"(Gunze) Gunze CFA (Sifa [fresh] cotton long-sleeved pink underwear made in Japan M clothes too thin, not good, not cotton feel.")</f>
        <v>(Gunze) Gunze CFA (Sifa [fresh] cotton long-sleeved pink underwear made in Japan M clothes too thin, not good, not cotton feel.</v>
      </c>
    </row>
    <row r="3599">
      <c r="A3599" s="1">
        <v>3.0</v>
      </c>
      <c r="B3599" s="1" t="s">
        <v>3588</v>
      </c>
      <c r="C3599" t="str">
        <f>IFERROR(__xludf.DUMMYFUNCTION("GOOGLETRANSLATE(B3599, ""zh"", ""en"")"),"Thin, no significant fat, like the old Xiatian Gang for spring or heat, the color is very old.")</f>
        <v>Thin, no significant fat, like the old Xiatian Gang for spring or heat, the color is very old.</v>
      </c>
    </row>
    <row r="3600">
      <c r="A3600" s="1">
        <v>3.0</v>
      </c>
      <c r="B3600" s="1" t="s">
        <v>3589</v>
      </c>
      <c r="C3600" t="str">
        <f>IFERROR(__xludf.DUMMYFUNCTION("GOOGLETRANSLATE(B3600, ""zh"", ""en"")"),"The table can be fairly routine work in general, especially the strap do not feel very good, very loose. The overall look and feel it 7-8 hundred Yuan grade. General price")</f>
        <v>The table can be fairly routine work in general, especially the strap do not feel very good, very loose. The overall look and feel it 7-8 hundred Yuan grade. General price</v>
      </c>
    </row>
    <row r="3601">
      <c r="A3601" s="1">
        <v>1.0</v>
      </c>
      <c r="B3601" s="1" t="s">
        <v>3590</v>
      </c>
      <c r="C3601" t="str">
        <f>IFERROR(__xludf.DUMMYFUNCTION("GOOGLETRANSLATE(B3601, ""zh"", ""en"")"),"Not charging cup red cup red power-charging Why not power up? They can charge 12 hours once!")</f>
        <v>Not charging cup red cup red power-charging Why not power up? They can charge 12 hours once!</v>
      </c>
    </row>
    <row r="3602">
      <c r="A3602" s="1">
        <v>1.0</v>
      </c>
      <c r="B3602" s="1" t="s">
        <v>3591</v>
      </c>
      <c r="C3602" t="str">
        <f>IFERROR(__xludf.DUMMYFUNCTION("GOOGLETRANSLATE(B3602, ""zh"", ""en"")"),"Too much, too much style in general, to buy 37, I feel like 39, like wearing boots ...... refund is not easy, only Renzai")</f>
        <v>Too much, too much style in general, to buy 37, I feel like 39, like wearing boots ...... refund is not easy, only Renzai</v>
      </c>
    </row>
    <row r="3603">
      <c r="A3603" s="1">
        <v>1.0</v>
      </c>
      <c r="B3603" s="1" t="s">
        <v>3592</v>
      </c>
      <c r="C3603" t="str">
        <f>IFERROR(__xludf.DUMMYFUNCTION("GOOGLETRANSLATE(B3603, ""zh"", ""en"")"),"Item one is a 9917 color inconsistency is just another 9914, clear color, has applied for return.")</f>
        <v>Item one is a 9917 color inconsistency is just another 9914, clear color, has applied for return.</v>
      </c>
    </row>
    <row r="3604">
      <c r="A3604" s="1">
        <v>4.0</v>
      </c>
      <c r="B3604" s="1" t="s">
        <v>3593</v>
      </c>
      <c r="C3604" t="str">
        <f>IFERROR(__xludf.DUMMYFUNCTION("GOOGLETRANSLATE(B3604, ""zh"", ""en"")"),"A handle too short and tiny mini ~ operation handle is not suitable for short")</f>
        <v>A handle too short and tiny mini ~ operation handle is not suitable for short</v>
      </c>
    </row>
    <row r="3605">
      <c r="A3605" s="1">
        <v>4.0</v>
      </c>
      <c r="B3605" s="1" t="s">
        <v>3594</v>
      </c>
      <c r="C3605" t="str">
        <f>IFERROR(__xludf.DUMMYFUNCTION("GOOGLETRANSLATE(B3605, ""zh"", ""en"")"),"41 shoes the results of this wear usually slightly 7.5UK freshman code, returned trouble, make do")</f>
        <v>41 shoes the results of this wear usually slightly 7.5UK freshman code, returned trouble, make do</v>
      </c>
    </row>
    <row r="3606">
      <c r="A3606" s="1">
        <v>4.0</v>
      </c>
      <c r="B3606" s="1" t="s">
        <v>3595</v>
      </c>
      <c r="C3606" t="str">
        <f>IFERROR(__xludf.DUMMYFUNCTION("GOOGLETRANSLATE(B3606, ""zh"", ""en"")"),"And general wholesale market lacks distinction hundred dollars")</f>
        <v>And general wholesale market lacks distinction hundred dollars</v>
      </c>
    </row>
    <row r="3607">
      <c r="A3607" s="1">
        <v>4.0</v>
      </c>
      <c r="B3607" s="1" t="s">
        <v>3596</v>
      </c>
      <c r="C3607" t="str">
        <f>IFERROR(__xludf.DUMMYFUNCTION("GOOGLETRANSLATE(B3607, ""zh"", ""en"")"),"The right size is pretty good, a little oxford meaning.")</f>
        <v>The right size is pretty good, a little oxford meaning.</v>
      </c>
    </row>
    <row r="3608">
      <c r="A3608" s="1">
        <v>4.0</v>
      </c>
      <c r="B3608" s="1" t="s">
        <v>3597</v>
      </c>
      <c r="C3608" t="str">
        <f>IFERROR(__xludf.DUMMYFUNCTION("GOOGLETRANSLATE(B3608, ""zh"", ""en"")"),"Too large too large overall good feeling good")</f>
        <v>Too large too large overall good feeling good</v>
      </c>
    </row>
    <row r="3609">
      <c r="A3609" s="1">
        <v>5.0</v>
      </c>
      <c r="B3609" s="1" t="s">
        <v>3598</v>
      </c>
      <c r="C3609" t="str">
        <f>IFERROR(__xludf.DUMMYFUNCTION("GOOGLETRANSLATE(B3609, ""zh"", ""en"")"),"Panties and a good quality basic models of domestic counter the same, thin fabric strong, AIU price conscience, it is worth buying")</f>
        <v>Panties and a good quality basic models of domestic counter the same, thin fabric strong, AIU price conscience, it is worth buying</v>
      </c>
    </row>
    <row r="3610">
      <c r="A3610" s="1">
        <v>5.0</v>
      </c>
      <c r="B3610" s="1" t="s">
        <v>3599</v>
      </c>
      <c r="C3610" t="str">
        <f>IFERROR(__xludf.DUMMYFUNCTION("GOOGLETRANSLATE(B3610, ""zh"", ""en"")"),"Good very good use, go out with too convenient")</f>
        <v>Good very good use, go out with too convenient</v>
      </c>
    </row>
    <row r="3611">
      <c r="A3611" s="1">
        <v>5.0</v>
      </c>
      <c r="B3611" s="1" t="s">
        <v>3600</v>
      </c>
      <c r="C3611" t="str">
        <f>IFERROR(__xludf.DUMMYFUNCTION("GOOGLETRANSLATE(B3611, ""zh"", ""en"")"),"Good with no smell nice! No odor necessary food supplement")</f>
        <v>Good with no smell nice! No odor necessary food supplement</v>
      </c>
    </row>
    <row r="3612">
      <c r="A3612" s="1">
        <v>5.0</v>
      </c>
      <c r="B3612" s="1" t="s">
        <v>3601</v>
      </c>
      <c r="C3612" t="str">
        <f>IFERROR(__xludf.DUMMYFUNCTION("GOOGLETRANSLATE(B3612, ""zh"", ""en"")"),"Very comfortable and refined. Japanese underwear indeed unique. Very comfortable, no feeling.")</f>
        <v>Very comfortable and refined. Japanese underwear indeed unique. Very comfortable, no feeling.</v>
      </c>
    </row>
    <row r="3613">
      <c r="A3613" s="1">
        <v>5.0</v>
      </c>
      <c r="B3613" s="1" t="s">
        <v>3602</v>
      </c>
      <c r="C3613" t="str">
        <f>IFERROR(__xludf.DUMMYFUNCTION("GOOGLETRANSLATE(B3613, ""zh"", ""en"")"),"Kettle like, it is a little expensive")</f>
        <v>Kettle like, it is a little expensive</v>
      </c>
    </row>
    <row r="3614">
      <c r="A3614" s="1">
        <v>5.0</v>
      </c>
      <c r="B3614" s="1" t="s">
        <v>3603</v>
      </c>
      <c r="C3614" t="str">
        <f>IFERROR(__xludf.DUMMYFUNCTION("GOOGLETRANSLATE(B3614, ""zh"", ""en"")"),"Orthodox style jacket, it is suitable!")</f>
        <v>Orthodox style jacket, it is suitable!</v>
      </c>
    </row>
    <row r="3615">
      <c r="A3615" s="1">
        <v>5.0</v>
      </c>
      <c r="B3615" s="1" t="s">
        <v>3604</v>
      </c>
      <c r="C3615" t="str">
        <f>IFERROR(__xludf.DUMMYFUNCTION("GOOGLETRANSLATE(B3615, ""zh"", ""en"")"),"Amazon's customer experience is first-class for the first time in the Amazon Chinese overseas purchase, super good experience. First of all, the goods are genuine. My wife has a pair of female couple models domestic version of the counter to buy spent 210"&amp;"0 yuan. Contrast a bit, my twin is absolutely genuine, but the price is less than half. Comfortable shoes on the feet cry. Amazon import goods purchased overseas quality is no problem. Secondly, the quality of service Amazon always good. This pair of shoe"&amp;"s, because I wanted to receive the goods as soon as possible, choose the courier express service and expedited payment of the fee, but found a query courier delivery time schedule is not in accordance with the expedited process. Then call the customer ser"&amp;"vice, the customer may be their understanding of the situation indicate operational errors, then refund the full freight over one hundred yuan as compensation. Such customer experience is absolutely first class. I was reminded last year to buy some items "&amp;"in the East, because they do not like to return even after being received by 8 per courier. The return on the Amazon never charge any additional fees. That is why I always supported the cause of the Amazon.")</f>
        <v>Amazon's customer experience is first-class for the first time in the Amazon Chinese overseas purchase, super good experience. First of all, the goods are genuine. My wife has a pair of female couple models domestic version of the counter to buy spent 2100 yuan. Contrast a bit, my twin is absolutely genuine, but the price is less than half. Comfortable shoes on the feet cry. Amazon import goods purchased overseas quality is no problem. Secondly, the quality of service Amazon always good. This pair of shoes, because I wanted to receive the goods as soon as possible, choose the courier express service and expedited payment of the fee, but found a query courier delivery time schedule is not in accordance with the expedited process. Then call the customer service, the customer may be their understanding of the situation indicate operational errors, then refund the full freight over one hundred yuan as compensation. Such customer experience is absolutely first class. I was reminded last year to buy some items in the East, because they do not like to return even after being received by 8 per courier. The return on the Amazon never charge any additional fees. That is why I always supported the cause of the Amazon.</v>
      </c>
    </row>
    <row r="3616">
      <c r="A3616" s="1">
        <v>5.0</v>
      </c>
      <c r="B3616" s="1" t="s">
        <v>3605</v>
      </c>
      <c r="C3616" t="str">
        <f>IFERROR(__xludf.DUMMYFUNCTION("GOOGLETRANSLATE(B3616, ""zh"", ""en"")"),"Like very comfortable, plus a cold spring and autumn, the color is slightly different than the picture,")</f>
        <v>Like very comfortable, plus a cold spring and autumn, the color is slightly different than the picture,</v>
      </c>
    </row>
    <row r="3617">
      <c r="A3617" s="1">
        <v>5.0</v>
      </c>
      <c r="B3617" s="1" t="s">
        <v>3606</v>
      </c>
      <c r="C3617" t="str">
        <f>IFERROR(__xludf.DUMMYFUNCTION("GOOGLETRANSLATE(B3617, ""zh"", ""en"")"),"At my pants leg a little smaller but no serious problem")</f>
        <v>At my pants leg a little smaller but no serious problem</v>
      </c>
    </row>
    <row r="3618">
      <c r="A3618" s="1">
        <v>5.0</v>
      </c>
      <c r="B3618" s="1" t="s">
        <v>3607</v>
      </c>
      <c r="C3618" t="str">
        <f>IFERROR(__xludf.DUMMYFUNCTION("GOOGLETRANSLATE(B3618, ""zh"", ""en"")"),"Cheap leather strap, dark blue dial looks good, less one day to go before the United States to buy a needle than sound sleep at night next to put it acceptable, although usually with both hands ring, and occasionally there is a need or a good band")</f>
        <v>Cheap leather strap, dark blue dial looks good, less one day to go before the United States to buy a needle than sound sleep at night next to put it acceptable, although usually with both hands ring, and occasionally there is a need or a good band</v>
      </c>
    </row>
    <row r="3619">
      <c r="A3619" s="1">
        <v>5.0</v>
      </c>
      <c r="B3619" s="1" t="s">
        <v>3608</v>
      </c>
      <c r="C3619" t="str">
        <f>IFERROR(__xludf.DUMMYFUNCTION("GOOGLETRANSLATE(B3619, ""zh"", ""en"")"),"Well much faster than expected we received, good quality, boil it twice fried steak, non-stick pan, a single hand is not moving, very weighty. Cooker can also be used.")</f>
        <v>Well much faster than expected we received, good quality, boil it twice fried steak, non-stick pan, a single hand is not moving, very weighty. Cooker can also be used.</v>
      </c>
    </row>
    <row r="3620">
      <c r="A3620" s="1">
        <v>5.0</v>
      </c>
      <c r="B3620" s="1" t="s">
        <v>3609</v>
      </c>
      <c r="C3620" t="str">
        <f>IFERROR(__xludf.DUMMYFUNCTION("GOOGLETRANSLATE(B3620, ""zh"", ""en"")"),"Very good thermal insulation glass, insulation in more than 12 hours, has been very good.")</f>
        <v>Very good thermal insulation glass, insulation in more than 12 hours, has been very good.</v>
      </c>
    </row>
    <row r="3621">
      <c r="A3621" s="1">
        <v>5.0</v>
      </c>
      <c r="B3621" s="1" t="s">
        <v>3610</v>
      </c>
      <c r="C3621" t="str">
        <f>IFERROR(__xludf.DUMMYFUNCTION("GOOGLETRANSLATE(B3621, ""zh"", ""en"")"),"Fashionable large size, but the unexpected is very nice to wear 😘 want to feel like the first time authentic shopping pleasant transaction is no doubt in the Amazon")</f>
        <v>Fashionable large size, but the unexpected is very nice to wear 😘 want to feel like the first time authentic shopping pleasant transaction is no doubt in the Amazon</v>
      </c>
    </row>
    <row r="3622">
      <c r="A3622" s="1">
        <v>5.0</v>
      </c>
      <c r="B3622" s="1" t="s">
        <v>3611</v>
      </c>
      <c r="C3622" t="str">
        <f>IFERROR(__xludf.DUMMYFUNCTION("GOOGLETRANSLATE(B3622, ""zh"", ""en"")"),"Just received, genuine just received the goods, and other finished to see the effect of it")</f>
        <v>Just received, genuine just received the goods, and other finished to see the effect of it</v>
      </c>
    </row>
    <row r="3623">
      <c r="A3623" s="1">
        <v>5.0</v>
      </c>
      <c r="B3623" s="1" t="s">
        <v>3612</v>
      </c>
      <c r="C3623" t="str">
        <f>IFERROR(__xludf.DUMMYFUNCTION("GOOGLETRANSLATE(B3623, ""zh"", ""en"")"),"Things have not received, things have not received a refund, a refund ...... well, not from the previous evaluation, I do not know how many wasted points, points can change money now know, they should look carefully evaluated, then I put this then copy to"&amp;" go, both to earn points, but also the easy way, where are copying where, most importantly, do not seriously review, do not think how much worse word, made directly on it")</f>
        <v>Things have not received, things have not received a refund, a refund ...... well, not from the previous evaluation, I do not know how many wasted points, points can change money now know, they should look carefully evaluated, then I put this then copy to go, both to earn points, but also the easy way, where are copying where, most importantly, do not seriously review, do not think how much worse word, made directly on it</v>
      </c>
    </row>
    <row r="3624">
      <c r="A3624" s="1">
        <v>5.0</v>
      </c>
      <c r="B3624" s="1" t="s">
        <v>3613</v>
      </c>
      <c r="C3624" t="str">
        <f>IFERROR(__xludf.DUMMYFUNCTION("GOOGLETRANSLATE(B3624, ""zh"", ""en"")"),"Very good high color value, power is adequate, with two weeks also without charge, much stronger than oral B, in addition to this new version of")</f>
        <v>Very good high color value, power is adequate, with two weeks also without charge, much stronger than oral B, in addition to this new version of</v>
      </c>
    </row>
    <row r="3625">
      <c r="A3625" s="1">
        <v>5.0</v>
      </c>
      <c r="B3625" s="1" t="s">
        <v>3614</v>
      </c>
      <c r="C3625" t="str">
        <f>IFERROR(__xludf.DUMMYFUNCTION("GOOGLETRANSLATE(B3625, ""zh"", ""en"")"),"Look great with a minute of time to adjust and put the date and time, not just out walking, almost in contact while on the light source turned, walking time is still two seconds, see the previous comment, or because of lack of electricity, right, overall "&amp;"still enjoyed it, trained, trained, trained,")</f>
        <v>Look great with a minute of time to adjust and put the date and time, not just out walking, almost in contact while on the light source turned, walking time is still two seconds, see the previous comment, or because of lack of electricity, right, overall still enjoyed it, trained, trained, trained,</v>
      </c>
    </row>
    <row r="3626">
      <c r="A3626" s="1">
        <v>5.0</v>
      </c>
      <c r="B3626" s="1" t="s">
        <v>3615</v>
      </c>
      <c r="C3626" t="str">
        <f>IFERROR(__xludf.DUMMYFUNCTION("GOOGLETRANSLATE(B3626, ""zh"", ""en"")"),"It can also suction can also be a lot cheaper than the domestic price of a good bright colors")</f>
        <v>It can also suction can also be a lot cheaper than the domestic price of a good bright colors</v>
      </c>
    </row>
    <row r="3627">
      <c r="A3627" s="1">
        <v>5.0</v>
      </c>
      <c r="B3627" s="1" t="s">
        <v>3616</v>
      </c>
      <c r="C3627" t="str">
        <f>IFERROR(__xludf.DUMMYFUNCTION("GOOGLETRANSLATE(B3627, ""zh"", ""en"")"),"Size just the right size, look just fine. , The female adults enjoyed it")</f>
        <v>Size just the right size, look just fine. , The female adults enjoyed it</v>
      </c>
    </row>
    <row r="3628">
      <c r="A3628" s="1">
        <v>5.0</v>
      </c>
      <c r="B3628" s="1" t="s">
        <v>3617</v>
      </c>
      <c r="C3628" t="str">
        <f>IFERROR(__xludf.DUMMYFUNCTION("GOOGLETRANSLATE(B3628, ""zh"", ""en"")"),"Well that is a little uncomfortable when wearing white clothes through")</f>
        <v>Well that is a little uncomfortable when wearing white clothes through</v>
      </c>
    </row>
    <row r="3629">
      <c r="A3629" s="1">
        <v>5.0</v>
      </c>
      <c r="B3629" s="1" t="s">
        <v>3618</v>
      </c>
      <c r="C3629" t="str">
        <f>IFERROR(__xludf.DUMMYFUNCTION("GOOGLETRANSLATE(B3629, ""zh"", ""en"")"),"Shoe size recommendations usually wear Nike, Adidas are 255, 245 through the appropriate")</f>
        <v>Shoe size recommendations usually wear Nike, Adidas are 255, 245 through the appropriate</v>
      </c>
    </row>
    <row r="3630">
      <c r="A3630" s="1">
        <v>5.0</v>
      </c>
      <c r="B3630" s="1" t="s">
        <v>3619</v>
      </c>
      <c r="C3630" t="str">
        <f>IFERROR(__xludf.DUMMYFUNCTION("GOOGLETRANSLATE(B3630, ""zh"", ""en"")"),"M improvise wear shoes, sports shoes usually about 40.5 yards, 8W size suitable length, only slightly squeeze the forefoot, the size can also be worn for a long time. The logistics is also good, seventy-eight days went to Guangzhou, and then three days ha"&amp;"nd. Downside though is waterproof shoes, but rain wear easy to throw mud heel and calf, is really easy, which was a bit embarrassing. Wearing more than a month uppers feeling is not very Naicao, but did not argue any problems arise. Overall quite satisfac"&amp;"tory evaluation it is estimated that no cat Naicao.")</f>
        <v>M improvise wear shoes, sports shoes usually about 40.5 yards, 8W size suitable length, only slightly squeeze the forefoot, the size can also be worn for a long time. The logistics is also good, seventy-eight days went to Guangzhou, and then three days hand. Downside though is waterproof shoes, but rain wear easy to throw mud heel and calf, is really easy, which was a bit embarrassing. Wearing more than a month uppers feeling is not very Naicao, but did not argue any problems arise. Overall quite satisfactory evaluation it is estimated that no cat Naicao.</v>
      </c>
    </row>
    <row r="3631">
      <c r="A3631" s="1">
        <v>2.0</v>
      </c>
      <c r="B3631" s="1" t="s">
        <v>3620</v>
      </c>
      <c r="C3631" t="str">
        <f>IFERROR(__xludf.DUMMYFUNCTION("GOOGLETRANSLATE(B3631, ""zh"", ""en"")"),"Poor appearance not smooth, defect, simple packaging")</f>
        <v>Poor appearance not smooth, defect, simple packaging</v>
      </c>
    </row>
    <row r="3632">
      <c r="A3632" s="1">
        <v>3.0</v>
      </c>
      <c r="B3632" s="1" t="s">
        <v>3621</v>
      </c>
      <c r="C3632" t="str">
        <f>IFERROR(__xludf.DUMMYFUNCTION("GOOGLETRANSLATE(B3632, ""zh"", ""en"")"),"Size is not good grasp ah 175cm, 90kg, M number, small. L should be appropriate, it has retired. And the return is very troublesome, overseas purchase or forget it, I would not buy")</f>
        <v>Size is not good grasp ah 175cm, 90kg, M number, small. L should be appropriate, it has retired. And the return is very troublesome, overseas purchase or forget it, I would not buy</v>
      </c>
    </row>
    <row r="3633">
      <c r="A3633" s="1">
        <v>3.0</v>
      </c>
      <c r="B3633" s="1" t="s">
        <v>3622</v>
      </c>
      <c r="C3633" t="str">
        <f>IFERROR(__xludf.DUMMYFUNCTION("GOOGLETRANSLATE(B3633, ""zh"", ""en"")"),"Some upper foot wear. Shoe itself is relatively heavy, some at the upper foot wear. I do not know what the reason, these shoes did not even tag. Hot, wear quite cover their feet.")</f>
        <v>Some upper foot wear. Shoe itself is relatively heavy, some at the upper foot wear. I do not know what the reason, these shoes did not even tag. Hot, wear quite cover their feet.</v>
      </c>
    </row>
    <row r="3634">
      <c r="A3634" s="1">
        <v>3.0</v>
      </c>
      <c r="B3634" s="1" t="s">
        <v>3623</v>
      </c>
      <c r="C3634" t="str">
        <f>IFERROR(__xludf.DUMMYFUNCTION("GOOGLETRANSLATE(B3634, ""zh"", ""en"")"),"One size really big look before comments Some say big, I also bought one size larger than five, and feel as good as the work of five, but the material is still possible")</f>
        <v>One size really big look before comments Some say big, I also bought one size larger than five, and feel as good as the work of five, but the material is still possible</v>
      </c>
    </row>
    <row r="3635">
      <c r="A3635" s="1">
        <v>1.0</v>
      </c>
      <c r="B3635" s="1" t="s">
        <v>3624</v>
      </c>
      <c r="C3635" t="str">
        <f>IFERROR(__xludf.DUMMYFUNCTION("GOOGLETRANSLATE(B3635, ""zh"", ""en"")"),"Insulation watching so many bad comments insulation to buy, and spent a few days than I have hundreds of dollars short of insulation, water 12:00, and 4:00 is not hot")</f>
        <v>Insulation watching so many bad comments insulation to buy, and spent a few days than I have hundreds of dollars short of insulation, water 12:00, and 4:00 is not hot</v>
      </c>
    </row>
    <row r="3636">
      <c r="A3636" s="1">
        <v>1.0</v>
      </c>
      <c r="B3636" s="1" t="s">
        <v>3625</v>
      </c>
      <c r="C3636" t="str">
        <f>IFERROR(__xludf.DUMMYFUNCTION("GOOGLETRANSLATE(B3636, ""zh"", ""en"")"),"I do not know how to do cheated cheated spotted return")</f>
        <v>I do not know how to do cheated cheated spotted return</v>
      </c>
    </row>
    <row r="3637">
      <c r="A3637" s="1">
        <v>4.0</v>
      </c>
      <c r="B3637" s="1" t="s">
        <v>3626</v>
      </c>
      <c r="C3637" t="str">
        <f>IFERROR(__xludf.DUMMYFUNCTION("GOOGLETRANSLATE(B3637, ""zh"", ""en"")"),"Comfortable very comfortable, Ref 320, good bargain")</f>
        <v>Comfortable very comfortable, Ref 320, good bargain</v>
      </c>
    </row>
    <row r="3638">
      <c r="A3638" s="1">
        <v>4.0</v>
      </c>
      <c r="B3638" s="1" t="s">
        <v>3627</v>
      </c>
      <c r="C3638" t="str">
        <f>IFERROR(__xludf.DUMMYFUNCTION("GOOGLETRANSLATE(B3638, ""zh"", ""en"")"),"Simple simple portable decent, though a bit small, put A4 size documents properly properly.")</f>
        <v>Simple simple portable decent, though a bit small, put A4 size documents properly properly.</v>
      </c>
    </row>
    <row r="3639">
      <c r="A3639" s="1">
        <v>4.0</v>
      </c>
      <c r="B3639" s="1" t="s">
        <v>3628</v>
      </c>
      <c r="C3639" t="str">
        <f>IFERROR(__xludf.DUMMYFUNCTION("GOOGLETRANSLATE(B3639, ""zh"", ""en"")"),"Packaging did not seal it captured the No. 15, No. 20 is sent, rapidly. But express little brother called to say that Lynx Express, a bit ignorant ah. After get the goods easy to see that there was full of bills of lading, and Zhang Sesame waybill attache"&amp;"d to the top, Amazon shopping list before buying the goods did not. No seal packing seal, I do not know whether this itself. Open the product is generally looked at intact. Not use, I hope all is well, the black color is not bad. made in china")</f>
        <v>Packaging did not seal it captured the No. 15, No. 20 is sent, rapidly. But express little brother called to say that Lynx Express, a bit ignorant ah. After get the goods easy to see that there was full of bills of lading, and Zhang Sesame waybill attached to the top, Amazon shopping list before buying the goods did not. No seal packing seal, I do not know whether this itself. Open the product is generally looked at intact. Not use, I hope all is well, the black color is not bad. made in china</v>
      </c>
    </row>
    <row r="3640">
      <c r="A3640" s="1">
        <v>4.0</v>
      </c>
      <c r="B3640" s="1" t="s">
        <v>3629</v>
      </c>
      <c r="C3640" t="str">
        <f>IFERROR(__xludf.DUMMYFUNCTION("GOOGLETRANSLATE(B3640, ""zh"", ""en"")"),"Suitable This great, I 173, weight 140, large size suitable")</f>
        <v>Suitable This great, I 173, weight 140, large size suitable</v>
      </c>
    </row>
    <row r="3641">
      <c r="A3641" s="1">
        <v>4.0</v>
      </c>
      <c r="B3641" s="1" t="s">
        <v>3630</v>
      </c>
      <c r="C3641" t="str">
        <f>IFERROR(__xludf.DUMMYFUNCTION("GOOGLETRANSLATE(B3641, ""zh"", ""en"")"),"The right size, a little thin, height 168 weight 60kg S numbers just right to buy, but a little thin, not suitable for very cold when wearing the other clothes a little flaw, the front has a small hole, but too lazy to change, the price is quite satisfact"&amp;"ory.")</f>
        <v>The right size, a little thin, height 168 weight 60kg S numbers just right to buy, but a little thin, not suitable for very cold when wearing the other clothes a little flaw, the front has a small hole, but too lazy to change, the price is quite satisfactory.</v>
      </c>
    </row>
    <row r="3642">
      <c r="A3642" s="1">
        <v>5.0</v>
      </c>
      <c r="B3642" s="1" t="s">
        <v>3631</v>
      </c>
      <c r="C3642" t="str">
        <f>IFERROR(__xludf.DUMMYFUNCTION("GOOGLETRANSLATE(B3642, ""zh"", ""en"")"),"Suitable 172,72KG wear S code, suitable.")</f>
        <v>Suitable 172,72KG wear S code, suitable.</v>
      </c>
    </row>
    <row r="3643">
      <c r="A3643" s="1">
        <v>5.0</v>
      </c>
      <c r="B3643" s="1" t="s">
        <v>3632</v>
      </c>
      <c r="C3643" t="str">
        <f>IFERROR(__xludf.DUMMYFUNCTION("GOOGLETRANSLATE(B3643, ""zh"", ""en"")"),"This provides a convenient sticker monolayer zipper, adhesive labels may require the use of breast milk after storage class date easily recorded")</f>
        <v>This provides a convenient sticker monolayer zipper, adhesive labels may require the use of breast milk after storage class date easily recorded</v>
      </c>
    </row>
    <row r="3644">
      <c r="A3644" s="1">
        <v>5.0</v>
      </c>
      <c r="B3644" s="1" t="s">
        <v>3633</v>
      </c>
      <c r="C3644" t="str">
        <f>IFERROR(__xludf.DUMMYFUNCTION("GOOGLETRANSLATE(B3644, ""zh"", ""en"")"),"It can be cost-effective, cost-effective price")</f>
        <v>It can be cost-effective, cost-effective price</v>
      </c>
    </row>
    <row r="3645">
      <c r="A3645" s="1">
        <v>5.0</v>
      </c>
      <c r="B3645" s="1" t="s">
        <v>3634</v>
      </c>
      <c r="C3645" t="str">
        <f>IFERROR(__xludf.DUMMYFUNCTION("GOOGLETRANSLATE(B3645, ""zh"", ""en"")"),"Has been successfully transferred to the mainland product is very good quality, low noise, extended warranty and has applied for transfer to mainland China warranty. Also give a one and a half months warranty, good service!")</f>
        <v>Has been successfully transferred to the mainland product is very good quality, low noise, extended warranty and has applied for transfer to mainland China warranty. Also give a one and a half months warranty, good service!</v>
      </c>
    </row>
    <row r="3646">
      <c r="A3646" s="1">
        <v>5.0</v>
      </c>
      <c r="B3646" s="1" t="s">
        <v>3635</v>
      </c>
      <c r="C3646" t="str">
        <f>IFERROR(__xludf.DUMMYFUNCTION("GOOGLETRANSLATE(B3646, ""zh"", ""en"")"),"Wide head wide head, but did not feel particularly clean brush.")</f>
        <v>Wide head wide head, but did not feel particularly clean brush.</v>
      </c>
    </row>
    <row r="3647">
      <c r="A3647" s="1">
        <v>5.0</v>
      </c>
      <c r="B3647" s="1" t="s">
        <v>3636</v>
      </c>
      <c r="C3647" t="str">
        <f>IFERROR(__xludf.DUMMYFUNCTION("GOOGLETRANSLATE(B3647, ""zh"", ""en"")"),"Personally I feel that the bottle is genuine good use, feel good, with South Korea to buy the same!")</f>
        <v>Personally I feel that the bottle is genuine good use, feel good, with South Korea to buy the same!</v>
      </c>
    </row>
    <row r="3648">
      <c r="A3648" s="1">
        <v>5.0</v>
      </c>
      <c r="B3648" s="1" t="s">
        <v>3637</v>
      </c>
      <c r="C3648" t="str">
        <f>IFERROR(__xludf.DUMMYFUNCTION("GOOGLETRANSLATE(B3648, ""zh"", ""en"")"),"Very easy to use, very light. The insulation effect is also super good.")</f>
        <v>Very easy to use, very light. The insulation effect is also super good.</v>
      </c>
    </row>
    <row r="3649">
      <c r="A3649" s="1">
        <v>5.0</v>
      </c>
      <c r="B3649" s="1" t="s">
        <v>3638</v>
      </c>
      <c r="C3649" t="str">
        <f>IFERROR(__xludf.DUMMYFUNCTION("GOOGLETRANSLATE(B3649, ""zh"", ""en"")"),"A voice shaking cups bought two, green this time there will be shaking voice, that there is no red")</f>
        <v>A voice shaking cups bought two, green this time there will be shaking voice, that there is no red</v>
      </c>
    </row>
    <row r="3650">
      <c r="A3650" s="1">
        <v>5.0</v>
      </c>
      <c r="B3650" s="1" t="s">
        <v>3639</v>
      </c>
      <c r="C3650" t="str">
        <f>IFERROR(__xludf.DUMMYFUNCTION("GOOGLETRANSLATE(B3650, ""zh"", ""en"")"),"Good stuff looks good high color value. The problem is relatively thick, it is difficult to wear off")</f>
        <v>Good stuff looks good high color value. The problem is relatively thick, it is difficult to wear off</v>
      </c>
    </row>
    <row r="3651">
      <c r="A3651" s="1">
        <v>5.0</v>
      </c>
      <c r="B3651" s="1" t="s">
        <v>3640</v>
      </c>
      <c r="C3651" t="str">
        <f>IFERROR(__xludf.DUMMYFUNCTION("GOOGLETRANSLATE(B3651, ""zh"", ""en"")"),"Comfort is good, very comfortable to wear")</f>
        <v>Comfort is good, very comfortable to wear</v>
      </c>
    </row>
    <row r="3652">
      <c r="A3652" s="1">
        <v>5.0</v>
      </c>
      <c r="B3652" s="1" t="s">
        <v>3641</v>
      </c>
      <c r="C3652" t="str">
        <f>IFERROR(__xludf.DUMMYFUNCTION("GOOGLETRANSLATE(B3652, ""zh"", ""en"")"),"Bottle good bottle good, fast delivery, the seller service is also very good, it is strongly recommended to buy!")</f>
        <v>Bottle good bottle good, fast delivery, the seller service is also very good, it is strongly recommended to buy!</v>
      </c>
    </row>
    <row r="3653">
      <c r="A3653" s="1">
        <v>5.0</v>
      </c>
      <c r="B3653" s="1" t="s">
        <v>3642</v>
      </c>
      <c r="C3653" t="str">
        <f>IFERROR(__xludf.DUMMYFUNCTION("GOOGLETRANSLATE(B3653, ""zh"", ""en"")"),"Praise comfortable fabrics malleable, domestic version buy large size, full five-star praise!")</f>
        <v>Praise comfortable fabrics malleable, domestic version buy large size, full five-star praise!</v>
      </c>
    </row>
    <row r="3654">
      <c r="A3654" s="1">
        <v>5.0</v>
      </c>
      <c r="B3654" s="1" t="s">
        <v>1660</v>
      </c>
      <c r="C3654" t="str">
        <f>IFERROR(__xludf.DUMMYFUNCTION("GOOGLETRANSLATE(B3654, ""zh"", ""en"")"),"Little big a little big, but also more suitable as a low rise")</f>
        <v>Little big a little big, but also more suitable as a low rise</v>
      </c>
    </row>
    <row r="3655">
      <c r="A3655" s="1">
        <v>5.0</v>
      </c>
      <c r="B3655" s="1" t="s">
        <v>3643</v>
      </c>
      <c r="C3655" t="str">
        <f>IFERROR(__xludf.DUMMYFUNCTION("GOOGLETRANSLATE(B3655, ""zh"", ""en"")"),"perfect! ! ! Received the shoes, very good, fantastic, be described as perfect, not too much!")</f>
        <v>perfect! ! ! Received the shoes, very good, fantastic, be described as perfect, not too much!</v>
      </c>
    </row>
    <row r="3656">
      <c r="A3656" s="1">
        <v>5.0</v>
      </c>
      <c r="B3656" s="1" t="s">
        <v>3644</v>
      </c>
      <c r="C3656" t="str">
        <f>IFERROR(__xludf.DUMMYFUNCTION("GOOGLETRANSLATE(B3656, ""zh"", ""en"")"),"This looked good for a long time, this table will do business casual feel, designed to super-atmospheric. Great! ! !")</f>
        <v>This looked good for a long time, this table will do business casual feel, designed to super-atmospheric. Great! ! !</v>
      </c>
    </row>
    <row r="3657">
      <c r="A3657" s="1">
        <v>5.0</v>
      </c>
      <c r="B3657" s="1" t="s">
        <v>3645</v>
      </c>
      <c r="C3657" t="str">
        <f>IFERROR(__xludf.DUMMYFUNCTION("GOOGLETRANSLATE(B3657, ""zh"", ""en"")"),"Good quality made in China, turn around back there, huh, huh. But the quality is really good too, has been wearing for a while, and time is accurate, error is small.")</f>
        <v>Good quality made in China, turn around back there, huh, huh. But the quality is really good too, has been wearing for a while, and time is accurate, error is small.</v>
      </c>
    </row>
    <row r="3658">
      <c r="A3658" s="1">
        <v>5.0</v>
      </c>
      <c r="B3658" s="1" t="s">
        <v>3646</v>
      </c>
      <c r="C3658" t="str">
        <f>IFERROR(__xludf.DUMMYFUNCTION("GOOGLETRANSLATE(B3658, ""zh"", ""en"")"),"Good normal shoe size shoes a little wider than normal code looks very delicate but very comfortable wearing is a little foot wear look good lateral malleolus")</f>
        <v>Good normal shoe size shoes a little wider than normal code looks very delicate but very comfortable wearing is a little foot wear look good lateral malleolus</v>
      </c>
    </row>
    <row r="3659">
      <c r="A3659" s="1">
        <v>5.0</v>
      </c>
      <c r="B3659" s="1" t="s">
        <v>3647</v>
      </c>
      <c r="C3659" t="str">
        <f>IFERROR(__xludf.DUMMYFUNCTION("GOOGLETRANSLATE(B3659, ""zh"", ""en"")"),"Erbao good to buy, already have access. Than great treasure below to buy one more buttons, very soft and breathable, and if there is then a large number of nice. Japan something from delivery, arrived very fast, often shopping")</f>
        <v>Erbao good to buy, already have access. Than great treasure below to buy one more buttons, very soft and breathable, and if there is then a large number of nice. Japan something from delivery, arrived very fast, often shopping</v>
      </c>
    </row>
    <row r="3660">
      <c r="A3660" s="1">
        <v>5.0</v>
      </c>
      <c r="B3660" s="1" t="s">
        <v>3648</v>
      </c>
      <c r="C3660" t="str">
        <f>IFERROR(__xludf.DUMMYFUNCTION("GOOGLETRANSLATE(B3660, ""zh"", ""en"")"),"After DeLonghi coffee machine to use is really just fine so far, fully in line with my expectations, although there are not familiar with the individual features. Currently the most is making cappuccino, every day use, the biggest feeling is that since bo"&amp;"ught a coffee machine, a large amount of coffee beans a lot, although the espresso out a little bit, actually used to find many of the coffee beans. So unconsciously day, drink a few glasses anymore. The price of the machine in a big difference between se"&amp;"veral platforms, and even Amazon have a difference of nearly a million, and I Shanghai Amoy the Amazon, the price of the machine as long as four thousand, six thousand will not raise taxes, comparison with other inexpensive ten thousand it .")</f>
        <v>After DeLonghi coffee machine to use is really just fine so far, fully in line with my expectations, although there are not familiar with the individual features. Currently the most is making cappuccino, every day use, the biggest feeling is that since bought a coffee machine, a large amount of coffee beans a lot, although the espresso out a little bit, actually used to find many of the coffee beans. So unconsciously day, drink a few glasses anymore. The price of the machine in a big difference between several platforms, and even Amazon have a difference of nearly a million, and I Shanghai Amoy the Amazon, the price of the machine as long as four thousand, six thousand will not raise taxes, comparison with other inexpensive ten thousand it .</v>
      </c>
    </row>
    <row r="3661">
      <c r="A3661" s="1">
        <v>5.0</v>
      </c>
      <c r="B3661" s="1" t="s">
        <v>3649</v>
      </c>
      <c r="C3661" t="str">
        <f>IFERROR(__xludf.DUMMYFUNCTION("GOOGLETRANSLATE(B3661, ""zh"", ""en"")"),"Very comfortable material, very comfortable material right size, the right size")</f>
        <v>Very comfortable material, very comfortable material right size, the right size</v>
      </c>
    </row>
    <row r="3662">
      <c r="A3662" s="1">
        <v>5.0</v>
      </c>
      <c r="B3662" s="1" t="s">
        <v>3650</v>
      </c>
      <c r="C3662" t="str">
        <f>IFERROR(__xludf.DUMMYFUNCTION("GOOGLETRANSLATE(B3662, ""zh"", ""en"")"),"ecco shoes of this really good comfort is very good, I want to buy a pair of broken code")</f>
        <v>ecco shoes of this really good comfort is very good, I want to buy a pair of broken code</v>
      </c>
    </row>
    <row r="3663">
      <c r="A3663" s="1">
        <v>5.0</v>
      </c>
      <c r="B3663" s="1" t="s">
        <v>3651</v>
      </c>
      <c r="C3663" t="str">
        <f>IFERROR(__xludf.DUMMYFUNCTION("GOOGLETRANSLATE(B3663, ""zh"", ""en"")"),"Satisfaction version super good, comfortable fabrics.")</f>
        <v>Satisfaction version super good, comfortable fabrics.</v>
      </c>
    </row>
    <row r="3664">
      <c r="A3664" s="1">
        <v>2.0</v>
      </c>
      <c r="B3664" s="1" t="s">
        <v>3652</v>
      </c>
      <c r="C3664" t="str">
        <f>IFERROR(__xludf.DUMMYFUNCTION("GOOGLETRANSLATE(B3664, ""zh"", ""en"")"),"Bluetooth connection is not this machine can not communicate with the phone")</f>
        <v>Bluetooth connection is not this machine can not communicate with the phone</v>
      </c>
    </row>
    <row r="3665">
      <c r="A3665" s="1">
        <v>3.0</v>
      </c>
      <c r="B3665" s="1" t="s">
        <v>3653</v>
      </c>
      <c r="C3665" t="str">
        <f>IFERROR(__xludf.DUMMYFUNCTION("GOOGLETRANSLATE(B3665, ""zh"", ""en"")"),"To tell the truth do not recommend buying intention is for London Fog fame, plus the United States and Asia this high popularity, the country will also wear a lot of people. Disappointed after the actual start, compared with the previous into the Perry El"&amp;"lis Microfiber, regardless of style, cut, fabrics are a far cry, can barely say there is relatively thin, September days (20 degrees) can wear it. Under general known, in fact, hard to associate. Not recommended to buy.")</f>
        <v>To tell the truth do not recommend buying intention is for London Fog fame, plus the United States and Asia this high popularity, the country will also wear a lot of people. Disappointed after the actual start, compared with the previous into the Perry Ellis Microfiber, regardless of style, cut, fabrics are a far cry, can barely say there is relatively thin, September days (20 degrees) can wear it. Under general known, in fact, hard to associate. Not recommended to buy.</v>
      </c>
    </row>
    <row r="3666">
      <c r="A3666" s="1">
        <v>3.0</v>
      </c>
      <c r="B3666" s="1" t="s">
        <v>3654</v>
      </c>
      <c r="C3666" t="str">
        <f>IFERROR(__xludf.DUMMYFUNCTION("GOOGLETRANSLATE(B3666, ""zh"", ""en"")"),"I think the general feeling I the watch in general, not focusing on the scale when first seconds to go. But there is little scar on the mirror surface (plastic projection), a bit like return. But still forget. My classmates say is a parallel, worried.")</f>
        <v>I think the general feeling I the watch in general, not focusing on the scale when first seconds to go. But there is little scar on the mirror surface (plastic projection), a bit like return. But still forget. My classmates say is a parallel, worried.</v>
      </c>
    </row>
    <row r="3667">
      <c r="A3667" s="1">
        <v>1.0</v>
      </c>
      <c r="B3667" s="1" t="s">
        <v>3655</v>
      </c>
      <c r="C3667" t="str">
        <f>IFERROR(__xludf.DUMMYFUNCTION("GOOGLETRANSLATE(B3667, ""zh"", ""en"")"),"Suspected fake really easy to use is still unknown, but the packaging is very simple people dissatisfied with just a plastic bag, stuffed SF box came, I want to give as well, how this send? Serious doubts about non-genuine, before I bought Amazon at least"&amp;" eight Tiger Thermos cup, each supporting carton packaging.")</f>
        <v>Suspected fake really easy to use is still unknown, but the packaging is very simple people dissatisfied with just a plastic bag, stuffed SF box came, I want to give as well, how this send? Serious doubts about non-genuine, before I bought Amazon at least eight Tiger Thermos cup, each supporting carton packaging.</v>
      </c>
    </row>
    <row r="3668">
      <c r="A3668" s="1">
        <v>1.0</v>
      </c>
      <c r="B3668" s="1" t="s">
        <v>3656</v>
      </c>
      <c r="C3668" t="str">
        <f>IFERROR(__xludf.DUMMYFUNCTION("GOOGLETRANSLATE(B3668, ""zh"", ""en"")"),"Found a rotten hole. Found a rotten hole.")</f>
        <v>Found a rotten hole. Found a rotten hole.</v>
      </c>
    </row>
    <row r="3669">
      <c r="A3669" s="1">
        <v>1.0</v>
      </c>
      <c r="B3669" s="1" t="s">
        <v>3657</v>
      </c>
      <c r="C3669" t="str">
        <f>IFERROR(__xludf.DUMMYFUNCTION("GOOGLETRANSLATE(B3669, ""zh"", ""en"")"),"Three months with a bad three months, suddenly electric charge can not, for the charger and cable, also can not charge, seeing no power can not be switched. Not superstition foreign brands")</f>
        <v>Three months with a bad three months, suddenly electric charge can not, for the charger and cable, also can not charge, seeing no power can not be switched. Not superstition foreign brands</v>
      </c>
    </row>
    <row r="3670">
      <c r="A3670" s="1">
        <v>4.0</v>
      </c>
      <c r="B3670" s="1" t="s">
        <v>3658</v>
      </c>
      <c r="C3670" t="str">
        <f>IFERROR(__xludf.DUMMYFUNCTION("GOOGLETRANSLATE(B3670, ""zh"", ""en"")"),"We also can not let the weather in Hebei coal people exposure to cold air would not know good or not okay! Okay")</f>
        <v>We also can not let the weather in Hebei coal people exposure to cold air would not know good or not okay! Okay</v>
      </c>
    </row>
    <row r="3671">
      <c r="A3671" s="1">
        <v>4.0</v>
      </c>
      <c r="B3671" s="1" t="s">
        <v>3659</v>
      </c>
      <c r="C3671" t="str">
        <f>IFERROR(__xludf.DUMMYFUNCTION("GOOGLETRANSLATE(B3671, ""zh"", ""en"")"),"Number 34, a little more than expected or can work a little tight, the addition of Lycra fabric, microprojectiles. Law-abiding, pants, worth buying")</f>
        <v>Number 34, a little more than expected or can work a little tight, the addition of Lycra fabric, microprojectiles. Law-abiding, pants, worth buying</v>
      </c>
    </row>
    <row r="3672">
      <c r="A3672" s="1">
        <v>4.0</v>
      </c>
      <c r="B3672" s="1" t="s">
        <v>3660</v>
      </c>
      <c r="C3672" t="str">
        <f>IFERROR(__xludf.DUMMYFUNCTION("GOOGLETRANSLATE(B3672, ""zh"", ""en"")"),"Would recommend it to other friends handsome shoes, the price is higher than US Amoy. The only drawback, the international express delivery too slow")</f>
        <v>Would recommend it to other friends handsome shoes, the price is higher than US Amoy. The only drawback, the international express delivery too slow</v>
      </c>
    </row>
    <row r="3673">
      <c r="A3673" s="1">
        <v>4.0</v>
      </c>
      <c r="B3673" s="1" t="s">
        <v>3661</v>
      </c>
      <c r="C3673" t="str">
        <f>IFERROR(__xludf.DUMMYFUNCTION("GOOGLETRANSLATE(B3673, ""zh"", ""en"")"),"It looks beautiful, slightly small problem! Orders three days after delivery, from delivery to receive a week. Pretty loom, it is also important for two rubbing surfaces, the second speed film about 40 minutes. For the first time with a black powder throw"&amp;" throw, the second time with no. Sound big, but also to accept. Head shaking some time to work, for the first time with a pretty tight, but twice with a bit Akira, I do not know why.")</f>
        <v>It looks beautiful, slightly small problem! Orders three days after delivery, from delivery to receive a week. Pretty loom, it is also important for two rubbing surfaces, the second speed film about 40 minutes. For the first time with a black powder throw throw, the second time with no. Sound big, but also to accept. Head shaking some time to work, for the first time with a pretty tight, but twice with a bit Akira, I do not know why.</v>
      </c>
    </row>
    <row r="3674">
      <c r="A3674" s="1">
        <v>4.0</v>
      </c>
      <c r="B3674" s="1" t="s">
        <v>3662</v>
      </c>
      <c r="C3674" t="str">
        <f>IFERROR(__xludf.DUMMYFUNCTION("GOOGLETRANSLATE(B3674, ""zh"", ""en"")"),"Why trade name called glass? Capacity is really too big, not glass, it is the kettle ah! !")</f>
        <v>Why trade name called glass? Capacity is really too big, not glass, it is the kettle ah! !</v>
      </c>
    </row>
    <row r="3675">
      <c r="A3675" s="1">
        <v>5.0</v>
      </c>
      <c r="B3675" s="1" t="s">
        <v>3663</v>
      </c>
      <c r="C3675" t="str">
        <f>IFERROR(__xludf.DUMMYFUNCTION("GOOGLETRANSLATE(B3675, ""zh"", ""en"")"),"Size Fabric comfortable, a little thin")</f>
        <v>Size Fabric comfortable, a little thin</v>
      </c>
    </row>
    <row r="3676">
      <c r="A3676" s="1">
        <v>5.0</v>
      </c>
      <c r="B3676" s="1" t="s">
        <v>3664</v>
      </c>
      <c r="C3676" t="str">
        <f>IFERROR(__xludf.DUMMYFUNCTION("GOOGLETRANSLATE(B3676, ""zh"", ""en"")"),"Did not pay attention to quality can also buy big, he bought a big One")</f>
        <v>Did not pay attention to quality can also buy big, he bought a big One</v>
      </c>
    </row>
    <row r="3677">
      <c r="A3677" s="1">
        <v>5.0</v>
      </c>
      <c r="B3677" s="1" t="s">
        <v>3665</v>
      </c>
      <c r="C3677" t="str">
        <f>IFERROR(__xludf.DUMMYFUNCTION("GOOGLETRANSLATE(B3677, ""zh"", ""en"")"),"Good black five very cheap, 180cm, 89kg, clothes, pants are buy XL, wear more relaxed, never felt self-cultivation, feel should just buy a smaller size.")</f>
        <v>Good black five very cheap, 180cm, 89kg, clothes, pants are buy XL, wear more relaxed, never felt self-cultivation, feel should just buy a smaller size.</v>
      </c>
    </row>
    <row r="3678">
      <c r="A3678" s="1">
        <v>5.0</v>
      </c>
      <c r="B3678" s="1" t="s">
        <v>3666</v>
      </c>
      <c r="C3678" t="str">
        <f>IFERROR(__xludf.DUMMYFUNCTION("GOOGLETRANSLATE(B3678, ""zh"", ""en"")"),"Good only large domestic sector, can wash dishes, wash the cup almost")</f>
        <v>Good only large domestic sector, can wash dishes, wash the cup almost</v>
      </c>
    </row>
    <row r="3679">
      <c r="A3679" s="1">
        <v>5.0</v>
      </c>
      <c r="B3679" s="1" t="s">
        <v>3667</v>
      </c>
      <c r="C3679" t="str">
        <f>IFERROR(__xludf.DUMMYFUNCTION("GOOGLETRANSLATE(B3679, ""zh"", ""en"")"),"Clearance six days is too slow to Chinese customs clearance ten days twenty days hand. Height 153 weight 45 is slightly larger waistline.")</f>
        <v>Clearance six days is too slow to Chinese customs clearance ten days twenty days hand. Height 153 weight 45 is slightly larger waistline.</v>
      </c>
    </row>
    <row r="3680">
      <c r="A3680" s="1">
        <v>5.0</v>
      </c>
      <c r="B3680" s="1" t="s">
        <v>3668</v>
      </c>
      <c r="C3680" t="str">
        <f>IFERROR(__xludf.DUMMYFUNCTION("GOOGLETRANSLATE(B3680, ""zh"", ""en"")"),"Very satisfied with a good product, no problem")</f>
        <v>Very satisfied with a good product, no problem</v>
      </c>
    </row>
    <row r="3681">
      <c r="A3681" s="1">
        <v>5.0</v>
      </c>
      <c r="B3681" s="1" t="s">
        <v>3669</v>
      </c>
      <c r="C3681" t="str">
        <f>IFERROR(__xludf.DUMMYFUNCTION("GOOGLETRANSLATE(B3681, ""zh"", ""en"")"),"Shoes too large shoes too large, wanted to wear a pad to pad before buying. Results of the internal high enough cushion insole. Overall still comfortable, especially for someone like me feet wide. Easy to buy a small 0.5uk")</f>
        <v>Shoes too large shoes too large, wanted to wear a pad to pad before buying. Results of the internal high enough cushion insole. Overall still comfortable, especially for someone like me feet wide. Easy to buy a small 0.5uk</v>
      </c>
    </row>
    <row r="3682">
      <c r="A3682" s="1">
        <v>5.0</v>
      </c>
      <c r="B3682" s="1" t="s">
        <v>3670</v>
      </c>
      <c r="C3682" t="str">
        <f>IFERROR(__xludf.DUMMYFUNCTION("GOOGLETRANSLATE(B3682, ""zh"", ""en"")"),"Very much! Specialized teacher recommended, after using it can not do without it! A few years ago in Taobao bought a set, and now the whole country is basically gone, so Amazon to buy hey hey hey ~")</f>
        <v>Very much! Specialized teacher recommended, after using it can not do without it! A few years ago in Taobao bought a set, and now the whole country is basically gone, so Amazon to buy hey hey hey ~</v>
      </c>
    </row>
    <row r="3683">
      <c r="A3683" s="1">
        <v>5.0</v>
      </c>
      <c r="B3683" s="1" t="s">
        <v>3671</v>
      </c>
      <c r="C3683" t="str">
        <f>IFERROR(__xludf.DUMMYFUNCTION("GOOGLETRANSLATE(B3683, ""zh"", ""en"")"),"Calvin Klein pants usually wear 26 yards, this wear s yards just right, bikini models is not very low waist, waist look good wearing.")</f>
        <v>Calvin Klein pants usually wear 26 yards, this wear s yards just right, bikini models is not very low waist, waist look good wearing.</v>
      </c>
    </row>
    <row r="3684">
      <c r="A3684" s="1">
        <v>5.0</v>
      </c>
      <c r="B3684" s="1" t="s">
        <v>3672</v>
      </c>
      <c r="C3684" t="str">
        <f>IFERROR(__xludf.DUMMYFUNCTION("GOOGLETRANSLATE(B3684, ""zh"", ""en"")"),"Like wearing a feeling a little hard, a little heavy, but the price still is to force, like this one right.")</f>
        <v>Like wearing a feeling a little hard, a little heavy, but the price still is to force, like this one right.</v>
      </c>
    </row>
    <row r="3685">
      <c r="A3685" s="1">
        <v>5.0</v>
      </c>
      <c r="B3685" s="1" t="s">
        <v>3673</v>
      </c>
      <c r="C3685" t="str">
        <f>IFERROR(__xludf.DUMMYFUNCTION("GOOGLETRANSLATE(B3685, ""zh"", ""en"")"),"Size just satisfaction, the fabric soft and flexible, very comfortable.")</f>
        <v>Size just satisfaction, the fabric soft and flexible, very comfortable.</v>
      </c>
    </row>
    <row r="3686">
      <c r="A3686" s="1">
        <v>5.0</v>
      </c>
      <c r="B3686" s="1" t="s">
        <v>3674</v>
      </c>
      <c r="C3686" t="str">
        <f>IFERROR(__xludf.DUMMYFUNCTION("GOOGLETRANSLATE(B3686, ""zh"", ""en"")"),"Recommended fast, five went to Yan watches the value of good-looking than the picture.")</f>
        <v>Recommended fast, five went to Yan watches the value of good-looking than the picture.</v>
      </c>
    </row>
    <row r="3687">
      <c r="A3687" s="1">
        <v>5.0</v>
      </c>
      <c r="B3687" s="1" t="s">
        <v>3675</v>
      </c>
      <c r="C3687" t="str">
        <f>IFERROR(__xludf.DUMMYFUNCTION("GOOGLETRANSLATE(B3687, ""zh"", ""en"")"),"I liked it, first Tuen first fork above received scratches, applied for a replacement, the next day they received, like, first Tuen")</f>
        <v>I liked it, first Tuen first fork above received scratches, applied for a replacement, the next day they received, like, first Tuen</v>
      </c>
    </row>
    <row r="3688">
      <c r="A3688" s="1">
        <v>5.0</v>
      </c>
      <c r="B3688" s="1" t="s">
        <v>3676</v>
      </c>
      <c r="C3688" t="str">
        <f>IFERROR(__xludf.DUMMYFUNCTION("GOOGLETRANSLATE(B3688, ""zh"", ""en"")"),"Also can ah! The right size, clothing is also good. But the future may never buy ua things!")</f>
        <v>Also can ah! The right size, clothing is also good. But the future may never buy ua things!</v>
      </c>
    </row>
    <row r="3689">
      <c r="A3689" s="1">
        <v>5.0</v>
      </c>
      <c r="B3689" s="1" t="s">
        <v>3677</v>
      </c>
      <c r="C3689" t="str">
        <f>IFERROR(__xludf.DUMMYFUNCTION("GOOGLETRANSLATE(B3689, ""zh"", ""en"")"),"Value for money value for money, the price of such work, the same domestic brand certainly can not buy. Easy installation, temperature effect is also very good, worth buying!")</f>
        <v>Value for money value for money, the price of such work, the same domestic brand certainly can not buy. Easy installation, temperature effect is also very good, worth buying!</v>
      </c>
    </row>
    <row r="3690">
      <c r="A3690" s="1">
        <v>5.0</v>
      </c>
      <c r="B3690" s="1" t="s">
        <v>3678</v>
      </c>
      <c r="C3690" t="str">
        <f>IFERROR(__xludf.DUMMYFUNCTION("GOOGLETRANSLATE(B3690, ""zh"", ""en"")"),"Flagship is the flagship started unpacking when it felt like a very ugly old-fashioned now feeling better and better workmanship is very high indeed the instruments of German origin with high separation did not like the legendary so difficult to push the "&amp;"passion just plug in the headphones feel very good with my HD600 want more than a little ho are not less really is undervalued good headphones")</f>
        <v>Flagship is the flagship started unpacking when it felt like a very ugly old-fashioned now feeling better and better workmanship is very high indeed the instruments of German origin with high separation did not like the legendary so difficult to push the passion just plug in the headphones feel very good with my HD600 want more than a little ho are not less really is undervalued good headphones</v>
      </c>
    </row>
    <row r="3691">
      <c r="A3691" s="1">
        <v>5.0</v>
      </c>
      <c r="B3691" s="1" t="s">
        <v>3679</v>
      </c>
      <c r="C3691" t="str">
        <f>IFERROR(__xludf.DUMMYFUNCTION("GOOGLETRANSLATE(B3691, ""zh"", ""en"")"),"The fabric is very comfortable, size is accurate 174cm / 64kg wear S mom is very fit, fabric soft and thick, fine workmanship, very good upper body effect this color. All in all, buy the most satisfying piece of clothing")</f>
        <v>The fabric is very comfortable, size is accurate 174cm / 64kg wear S mom is very fit, fabric soft and thick, fine workmanship, very good upper body effect this color. All in all, buy the most satisfying piece of clothing</v>
      </c>
    </row>
    <row r="3692">
      <c r="A3692" s="1">
        <v>5.0</v>
      </c>
      <c r="B3692" s="1" t="s">
        <v>3680</v>
      </c>
      <c r="C3692" t="str">
        <f>IFERROR(__xludf.DUMMYFUNCTION("GOOGLETRANSLATE(B3692, ""zh"", ""en"")"),"Good phone headset treble great, but the key is not clip the ears! Sound good, the price is relatively long time to wear hot. Picture color is not the kind of high light effect")</f>
        <v>Good phone headset treble great, but the key is not clip the ears! Sound good, the price is relatively long time to wear hot. Picture color is not the kind of high light effect</v>
      </c>
    </row>
    <row r="3693">
      <c r="A3693" s="1">
        <v>5.0</v>
      </c>
      <c r="B3693" s="1" t="s">
        <v>3681</v>
      </c>
      <c r="C3693" t="str">
        <f>IFERROR(__xludf.DUMMYFUNCTION("GOOGLETRANSLATE(B3693, ""zh"", ""en"")"),"Good good, that is uncomfortable strap too hard.")</f>
        <v>Good good, that is uncomfortable strap too hard.</v>
      </c>
    </row>
    <row r="3694">
      <c r="A3694" s="1">
        <v>5.0</v>
      </c>
      <c r="B3694" s="1" t="s">
        <v>3682</v>
      </c>
      <c r="C3694" t="str">
        <f>IFERROR(__xludf.DUMMYFUNCTION("GOOGLETRANSLATE(B3694, ""zh"", ""en"")"),"Satisfying shopping cortex very good. It is people like.")</f>
        <v>Satisfying shopping cortex very good. It is people like.</v>
      </c>
    </row>
    <row r="3695">
      <c r="A3695" s="1">
        <v>5.0</v>
      </c>
      <c r="B3695" s="1" t="s">
        <v>3683</v>
      </c>
      <c r="C3695" t="str">
        <f>IFERROR(__xludf.DUMMYFUNCTION("GOOGLETRANSLATE(B3695, ""zh"", ""en"")"),"Good very comfortable, feel good material")</f>
        <v>Good very comfortable, feel good material</v>
      </c>
    </row>
    <row r="3696">
      <c r="A3696" s="1">
        <v>2.0</v>
      </c>
      <c r="B3696" s="1" t="s">
        <v>3684</v>
      </c>
      <c r="C3696" t="str">
        <f>IFERROR(__xludf.DUMMYFUNCTION("GOOGLETRANSLATE(B3696, ""zh"", ""en"")"),"The same size fan! Seventy-eight bought with the money at least, 29 to 31 also fat, the most fit one is 31, and then later buy 30 to buy 29 just luck! Only two considered more appropriate")</f>
        <v>The same size fan! Seventy-eight bought with the money at least, 29 to 31 also fat, the most fit one is 31, and then later buy 30 to buy 29 just luck! Only two considered more appropriate</v>
      </c>
    </row>
    <row r="3697">
      <c r="A3697" s="1">
        <v>3.0</v>
      </c>
      <c r="B3697" s="1" t="s">
        <v>3685</v>
      </c>
      <c r="C3697" t="str">
        <f>IFERROR(__xludf.DUMMYFUNCTION("GOOGLETRANSLATE(B3697, ""zh"", ""en"")"),"Fabric too hard version good fabric is a perfect wash water is not too soft. Next time still want to buy cotton")</f>
        <v>Fabric too hard version good fabric is a perfect wash water is not too soft. Next time still want to buy cotton</v>
      </c>
    </row>
    <row r="3698">
      <c r="A3698" s="1">
        <v>3.0</v>
      </c>
      <c r="B3698" s="1" t="s">
        <v>3686</v>
      </c>
      <c r="C3698" t="str">
        <f>IFERROR(__xludf.DUMMYFUNCTION("GOOGLETRANSLATE(B3698, ""zh"", ""en"")"),"Size Size is very serious irregularities are not allowed! Simply can not wear! Large sorts")</f>
        <v>Size Size is very serious irregularities are not allowed! Simply can not wear! Large sorts</v>
      </c>
    </row>
    <row r="3699">
      <c r="A3699" s="1">
        <v>1.0</v>
      </c>
      <c r="B3699" s="1" t="s">
        <v>3687</v>
      </c>
      <c r="C3699" t="str">
        <f>IFERROR(__xludf.DUMMYFUNCTION("GOOGLETRANSLATE(B3699, ""zh"", ""en"")"),"This is something very fake my worst time shopping on amazon, and two brush head is a package, packed in a plastic bag, a total of five bags, plastic bags is very kind of rough, open brush it is obviously not clear on typesetting, word genuine original us"&amp;"e is very clear, but also bristles with genuine completely different, the bristles have irregular and curved, only the protective cover of the brush head still looked like the real, but no wool. The brush head is a British mail, but the box is a protectiv"&amp;"e film of Hong Kong, Hong Kong repackaged it, really do not understand. This is a failure of shopping, there will be no next time.")</f>
        <v>This is something very fake my worst time shopping on amazon, and two brush head is a package, packed in a plastic bag, a total of five bags, plastic bags is very kind of rough, open brush it is obviously not clear on typesetting, word genuine original use is very clear, but also bristles with genuine completely different, the bristles have irregular and curved, only the protective cover of the brush head still looked like the real, but no wool. The brush head is a British mail, but the box is a protective film of Hong Kong, Hong Kong repackaged it, really do not understand. This is a failure of shopping, there will be no next time.</v>
      </c>
    </row>
    <row r="3700">
      <c r="A3700" s="1">
        <v>1.0</v>
      </c>
      <c r="B3700" s="1" t="s">
        <v>3688</v>
      </c>
      <c r="C3700" t="str">
        <f>IFERROR(__xludf.DUMMYFUNCTION("GOOGLETRANSLATE(B3700, ""zh"", ""en"")"),"Really rubbish, buy a few 8t really brought the garbage 4t, 8t sent to buy a few of 4t")</f>
        <v>Really rubbish, buy a few 8t really brought the garbage 4t, 8t sent to buy a few of 4t</v>
      </c>
    </row>
    <row r="3701">
      <c r="A3701" s="1">
        <v>1.0</v>
      </c>
      <c r="B3701" s="1" t="s">
        <v>3689</v>
      </c>
      <c r="C3701" t="str">
        <f>IFERROR(__xludf.DUMMYFUNCTION("GOOGLETRANSLATE(B3701, ""zh"", ""en"")"),"Color light skinned shoes did not fit the continent's national conditions, a rain to mud, anti-fur really good care can not afford injuries. Good raw rubber-soled, soft and non-slip. Closing price of RMB 400 yuan cheaper than the shoes Belle Group. Amazon"&amp;" species recommended shipping merchandise to introduce more point, the types of goods are now shipping too little. Purchase a membership of little value.")</f>
        <v>Color light skinned shoes did not fit the continent's national conditions, a rain to mud, anti-fur really good care can not afford injuries. Good raw rubber-soled, soft and non-slip. Closing price of RMB 400 yuan cheaper than the shoes Belle Group. Amazon species recommended shipping merchandise to introduce more point, the types of goods are now shipping too little. Purchase a membership of little value.</v>
      </c>
    </row>
    <row r="3702">
      <c r="A3702" s="1">
        <v>4.0</v>
      </c>
      <c r="B3702" s="1" t="s">
        <v>3690</v>
      </c>
      <c r="C3702" t="str">
        <f>IFERROR(__xludf.DUMMYFUNCTION("GOOGLETRANSLATE(B3702, ""zh"", ""en"")"),"Cost can be slightly smaller waist. You can wear. Version better. Colors are more special, blue, blue quite special. Thick material")</f>
        <v>Cost can be slightly smaller waist. You can wear. Version better. Colors are more special, blue, blue quite special. Thick material</v>
      </c>
    </row>
    <row r="3703">
      <c r="A3703" s="1">
        <v>4.0</v>
      </c>
      <c r="B3703" s="1" t="s">
        <v>3691</v>
      </c>
      <c r="C3703" t="str">
        <f>IFERROR(__xludf.DUMMYFUNCTION("GOOGLETRANSLATE(B3703, ""zh"", ""en"")"),"This pair of wide GT2000 long narrow and relatively wide GT2000 wear these long narrow compared to buy 42 yards 42 yards feeling a little big")</f>
        <v>This pair of wide GT2000 long narrow and relatively wide GT2000 wear these long narrow compared to buy 42 yards 42 yards feeling a little big</v>
      </c>
    </row>
    <row r="3704">
      <c r="A3704" s="1">
        <v>4.0</v>
      </c>
      <c r="B3704" s="1" t="s">
        <v>3692</v>
      </c>
      <c r="C3704" t="str">
        <f>IFERROR(__xludf.DUMMYFUNCTION("GOOGLETRANSLATE(B3704, ""zh"", ""en"")"),"Good pants height 173, weight 85 kg, bought 3 * 630 appropriate.")</f>
        <v>Good pants height 173, weight 85 kg, bought 3 * 630 appropriate.</v>
      </c>
    </row>
    <row r="3705">
      <c r="A3705" s="1">
        <v>4.0</v>
      </c>
      <c r="B3705" s="1" t="s">
        <v>3693</v>
      </c>
      <c r="C3705" t="str">
        <f>IFERROR(__xludf.DUMMYFUNCTION("GOOGLETRANSLATE(B3705, ""zh"", ""en"")"),"Fortunately, it will be spinning, the function is good, and so on for a long time")</f>
        <v>Fortunately, it will be spinning, the function is good, and so on for a long time</v>
      </c>
    </row>
    <row r="3706">
      <c r="A3706" s="1">
        <v>5.0</v>
      </c>
      <c r="B3706" s="1" t="s">
        <v>3694</v>
      </c>
      <c r="C3706" t="str">
        <f>IFERROR(__xludf.DUMMYFUNCTION("GOOGLETRANSLATE(B3706, ""zh"", ""en"")"),"Good, the atmosphere is quite satisfactory appearance, texture, quite like it. Back with a look at the quality of it")</f>
        <v>Good, the atmosphere is quite satisfactory appearance, texture, quite like it. Back with a look at the quality of it</v>
      </c>
    </row>
    <row r="3707">
      <c r="A3707" s="1">
        <v>5.0</v>
      </c>
      <c r="B3707" s="1" t="s">
        <v>3695</v>
      </c>
      <c r="C3707" t="str">
        <f>IFERROR(__xludf.DUMMYFUNCTION("GOOGLETRANSLATE(B3707, ""zh"", ""en"")"),"To help grass for a long time, around are using this key to write very smooth, but comes with the ink tube is blue, we should pay attention! My only regret is that forgot to buy the ink on the, ah ah ah I crack me up")</f>
        <v>To help grass for a long time, around are using this key to write very smooth, but comes with the ink tube is blue, we should pay attention! My only regret is that forgot to buy the ink on the, ah ah ah I crack me up</v>
      </c>
    </row>
    <row r="3708">
      <c r="A3708" s="1">
        <v>5.0</v>
      </c>
      <c r="B3708" s="1" t="s">
        <v>3696</v>
      </c>
      <c r="C3708" t="str">
        <f>IFERROR(__xludf.DUMMYFUNCTION("GOOGLETRANSLATE(B3708, ""zh"", ""en"")"),"Sexy comfortable my husband 178cm, 168 pounds, wearing LL just a little a little loose, not thick, very comfortable to wear. Fashion for young men. This put on quite sexy")</f>
        <v>Sexy comfortable my husband 178cm, 168 pounds, wearing LL just a little a little loose, not thick, very comfortable to wear. Fashion for young men. This put on quite sexy</v>
      </c>
    </row>
    <row r="3709">
      <c r="A3709" s="1">
        <v>5.0</v>
      </c>
      <c r="B3709" s="1" t="s">
        <v>3697</v>
      </c>
      <c r="C3709" t="str">
        <f>IFERROR(__xludf.DUMMYFUNCTION("GOOGLETRANSLATE(B3709, ""zh"", ""en"")"),"Said that under the first sea Amoy experience, and so a full two weeks before to the appearance of very low-key, display relatively simple. The only dislike is the strap a little hard, beginning with not very adapt")</f>
        <v>Said that under the first sea Amoy experience, and so a full two weeks before to the appearance of very low-key, display relatively simple. The only dislike is the strap a little hard, beginning with not very adapt</v>
      </c>
    </row>
    <row r="3710">
      <c r="A3710" s="1">
        <v>5.0</v>
      </c>
      <c r="B3710" s="1" t="s">
        <v>3698</v>
      </c>
      <c r="C3710" t="str">
        <f>IFERROR(__xludf.DUMMYFUNCTION("GOOGLETRANSLATE(B3710, ""zh"", ""en"")"),"Temperature sensing spoon in case something hot tongue suddenly turned white, a little bit cooler will change along with the color, something very good use, express delivery soon.")</f>
        <v>Temperature sensing spoon in case something hot tongue suddenly turned white, a little bit cooler will change along with the color, something very good use, express delivery soon.</v>
      </c>
    </row>
    <row r="3711">
      <c r="A3711" s="1">
        <v>5.0</v>
      </c>
      <c r="B3711" s="1" t="s">
        <v>3699</v>
      </c>
      <c r="C3711" t="str">
        <f>IFERROR(__xludf.DUMMYFUNCTION("GOOGLETRANSLATE(B3711, ""zh"", ""en"")"),"A little longer worry about the future no such pants to wear, very comfortable, that is a little longer, but easy to change")</f>
        <v>A little longer worry about the future no such pants to wear, very comfortable, that is a little longer, but easy to change</v>
      </c>
    </row>
    <row r="3712">
      <c r="A3712" s="1">
        <v>5.0</v>
      </c>
      <c r="B3712" s="1" t="s">
        <v>3700</v>
      </c>
      <c r="C3712" t="str">
        <f>IFERROR(__xludf.DUMMYFUNCTION("GOOGLETRANSLATE(B3712, ""zh"", ""en"")"),"Like good quality, not counter a lot cheaper, very comfortable to wear.")</f>
        <v>Like good quality, not counter a lot cheaper, very comfortable to wear.</v>
      </c>
    </row>
    <row r="3713">
      <c r="A3713" s="1">
        <v>5.0</v>
      </c>
      <c r="B3713" s="1" t="s">
        <v>3701</v>
      </c>
      <c r="C3713" t="str">
        <f>IFERROR(__xludf.DUMMYFUNCTION("GOOGLETRANSLATE(B3713, ""zh"", ""en"")"),"The right size, good quality. 1.75 meters tall and weighing 75 kg, m number is appropriate. Pants good quality, and now Amazon to change the delivery of SF than the original What a lot of friends through courier.")</f>
        <v>The right size, good quality. 1.75 meters tall and weighing 75 kg, m number is appropriate. Pants good quality, and now Amazon to change the delivery of SF than the original What a lot of friends through courier.</v>
      </c>
    </row>
    <row r="3714">
      <c r="A3714" s="1">
        <v>5.0</v>
      </c>
      <c r="B3714" s="1" t="s">
        <v>3702</v>
      </c>
      <c r="C3714" t="str">
        <f>IFERROR(__xludf.DUMMYFUNCTION("GOOGLETRANSLATE(B3714, ""zh"", ""en"")"),"Like 170cm120 pounds just right, like the male vote is really good")</f>
        <v>Like 170cm120 pounds just right, like the male vote is really good</v>
      </c>
    </row>
    <row r="3715">
      <c r="A3715" s="1">
        <v>5.0</v>
      </c>
      <c r="B3715" s="1" t="s">
        <v>3703</v>
      </c>
      <c r="C3715" t="str">
        <f>IFERROR(__xludf.DUMMYFUNCTION("GOOGLETRANSLATE(B3715, ""zh"", ""en"")"),"Worth buying Solid-state hard drives are so light that they almost think they have nothing in them, so they can read it out. It's just over 460G. Hope to use it for a long time.")</f>
        <v>Worth buying Solid-state hard drives are so light that they almost think they have nothing in them, so they can read it out. It's just over 460G. Hope to use it for a long time.</v>
      </c>
    </row>
    <row r="3716">
      <c r="A3716" s="1">
        <v>5.0</v>
      </c>
      <c r="B3716" s="1" t="s">
        <v>3704</v>
      </c>
      <c r="C3716" t="str">
        <f>IFERROR(__xludf.DUMMYFUNCTION("GOOGLETRANSLATE(B3716, ""zh"", ""en"")"),"Cleaning-saving porridge trouble for the first time to send over to buy pot, the pot fell two and a half years, and re-order one, has been with the LC and staub cast iron pot, clay pot is the first time to buy, feel porridge really quickly, soon be able t"&amp;"o make porridge thickens, the five co porridge, soup is just right, too small flutter easy pot. The disadvantage is not good cleaning, wok when not wash with cold water, such as a bad cold wash pot, especially in the middle of the lid. There have each fin"&amp;"ished dry trouble.")</f>
        <v>Cleaning-saving porridge trouble for the first time to send over to buy pot, the pot fell two and a half years, and re-order one, has been with the LC and staub cast iron pot, clay pot is the first time to buy, feel porridge really quickly, soon be able to make porridge thickens, the five co porridge, soup is just right, too small flutter easy pot. The disadvantage is not good cleaning, wok when not wash with cold water, such as a bad cold wash pot, especially in the middle of the lid. There have each finished dry trouble.</v>
      </c>
    </row>
    <row r="3717">
      <c r="A3717" s="1">
        <v>5.0</v>
      </c>
      <c r="B3717" s="1" t="s">
        <v>3705</v>
      </c>
      <c r="C3717" t="str">
        <f>IFERROR(__xludf.DUMMYFUNCTION("GOOGLETRANSLATE(B3717, ""zh"", ""en"")"),"Good quality looked good, feeling soft, store goods in the hope that the baby cry willing to eat.")</f>
        <v>Good quality looked good, feeling soft, store goods in the hope that the baby cry willing to eat.</v>
      </c>
    </row>
    <row r="3718">
      <c r="A3718" s="1">
        <v>5.0</v>
      </c>
      <c r="B3718" s="1" t="s">
        <v>3706</v>
      </c>
      <c r="C3718" t="str">
        <f>IFERROR(__xludf.DUMMYFUNCTION("GOOGLETRANSLATE(B3718, ""zh"", ""en"")"),"Large capacity large capacity, enough interfaces, high cost, perfect fit Mac os. As an aside, Amazon purchased abroad are insured and return policy is really in trouble, with other vendors than the obvious competitive enough ah.")</f>
        <v>Large capacity large capacity, enough interfaces, high cost, perfect fit Mac os. As an aside, Amazon purchased abroad are insured and return policy is really in trouble, with other vendors than the obvious competitive enough ah.</v>
      </c>
    </row>
    <row r="3719">
      <c r="A3719" s="1">
        <v>5.0</v>
      </c>
      <c r="B3719" s="1" t="s">
        <v>3707</v>
      </c>
      <c r="C3719" t="str">
        <f>IFERROR(__xludf.DUMMYFUNCTION("GOOGLETRANSLATE(B3719, ""zh"", ""en"")"),"Turnip cabbage, personal likes. Premium sound is what I want, very good, very good treble, not harsh and delicate. Bass a little thick. Fortunately, we can accept.")</f>
        <v>Turnip cabbage, personal likes. Premium sound is what I want, very good, very good treble, not harsh and delicate. Bass a little thick. Fortunately, we can accept.</v>
      </c>
    </row>
    <row r="3720">
      <c r="A3720" s="1">
        <v>5.0</v>
      </c>
      <c r="B3720" s="1" t="s">
        <v>3708</v>
      </c>
      <c r="C3720" t="str">
        <f>IFERROR(__xludf.DUMMYFUNCTION("GOOGLETRANSLATE(B3720, ""zh"", ""en"")"),"Household worth recommending good, high cost, use coffee is a bit cumbersome to use, water boxes, some small. But home very affordable!")</f>
        <v>Household worth recommending good, high cost, use coffee is a bit cumbersome to use, water boxes, some small. But home very affordable!</v>
      </c>
    </row>
    <row r="3721">
      <c r="A3721" s="1">
        <v>5.0</v>
      </c>
      <c r="B3721" s="1" t="s">
        <v>3709</v>
      </c>
      <c r="C3721" t="str">
        <f>IFERROR(__xludf.DUMMYFUNCTION("GOOGLETRANSLATE(B3721, ""zh"", ""en"")"),"Nice clothes and listening to customer recommendation with regard to the other brands of clothes, buy the S number a little smaller, 174cm, 74kg, M number should be right. Very good quality clothes")</f>
        <v>Nice clothes and listening to customer recommendation with regard to the other brands of clothes, buy the S number a little smaller, 174cm, 74kg, M number should be right. Very good quality clothes</v>
      </c>
    </row>
    <row r="3722">
      <c r="A3722" s="1">
        <v>5.0</v>
      </c>
      <c r="B3722" s="1" t="s">
        <v>3710</v>
      </c>
      <c r="C3722" t="str">
        <f>IFERROR(__xludf.DUMMYFUNCTION("GOOGLETRANSLATE(B3722, ""zh"", ""en"")"),"Comfortable, tight, lightweight shoe is not elaborate, personal feeling pretty simple atmosphere, low-key appearance. The foot feels comfortable, weekdays are wearing shoes 43, the normal code, just the right length, I am slightly higher instep, shoes and"&amp;" wrapped tight, close to the side of the leather particularly soft socks, shoes penetrate when feeling comfortable, in general, as relatively lightweight shoes, try to walk a few steps feel very light")</f>
        <v>Comfortable, tight, lightweight shoe is not elaborate, personal feeling pretty simple atmosphere, low-key appearance. The foot feels comfortable, weekdays are wearing shoes 43, the normal code, just the right length, I am slightly higher instep, shoes and wrapped tight, close to the side of the leather particularly soft socks, shoes penetrate when feeling comfortable, in general, as relatively lightweight shoes, try to walk a few steps feel very light</v>
      </c>
    </row>
    <row r="3723">
      <c r="A3723" s="1">
        <v>5.0</v>
      </c>
      <c r="B3723" s="1" t="s">
        <v>3711</v>
      </c>
      <c r="C3723" t="str">
        <f>IFERROR(__xludf.DUMMYFUNCTION("GOOGLETRANSLATE(B3723, ""zh"", ""en"")"),"Meng very good sporks, kids like it,")</f>
        <v>Meng very good sporks, kids like it,</v>
      </c>
    </row>
    <row r="3724">
      <c r="A3724" s="1">
        <v>5.0</v>
      </c>
      <c r="B3724" s="1" t="s">
        <v>3712</v>
      </c>
      <c r="C3724" t="str">
        <f>IFERROR(__xludf.DUMMYFUNCTION("GOOGLETRANSLATE(B3724, ""zh"", ""en"")"),"Pigeon bottle bottle of good, very soft nipple for babies to suck effortless, great")</f>
        <v>Pigeon bottle bottle of good, very soft nipple for babies to suck effortless, great</v>
      </c>
    </row>
    <row r="3725">
      <c r="A3725" s="1">
        <v>5.0</v>
      </c>
      <c r="B3725" s="1" t="s">
        <v>3713</v>
      </c>
      <c r="C3725" t="str">
        <f>IFERROR(__xludf.DUMMYFUNCTION("GOOGLETRANSLATE(B3725, ""zh"", ""en"")"),"Boss with this bowl, super practical, continue to buy up her second child with the boss of this bowl, super practical, continue to buy up the second child")</f>
        <v>Boss with this bowl, super practical, continue to buy up her second child with the boss of this bowl, super practical, continue to buy up the second child</v>
      </c>
    </row>
    <row r="3726">
      <c r="A3726" s="1">
        <v>5.0</v>
      </c>
      <c r="B3726" s="1" t="s">
        <v>3714</v>
      </c>
      <c r="C3726" t="str">
        <f>IFERROR(__xludf.DUMMYFUNCTION("GOOGLETRANSLATE(B3726, ""zh"", ""en"")"),"Buy leather buy leather shoe mouth is really small, hard to wear off thieves, this non-leather and leather material is better to look good, this does not look good after wearing pleated thief, I recommend to buy leather.")</f>
        <v>Buy leather buy leather shoe mouth is really small, hard to wear off thieves, this non-leather and leather material is better to look good, this does not look good after wearing pleated thief, I recommend to buy leather.</v>
      </c>
    </row>
    <row r="3727">
      <c r="A3727" s="1">
        <v>5.0</v>
      </c>
      <c r="B3727" s="1" t="s">
        <v>3715</v>
      </c>
      <c r="C3727" t="str">
        <f>IFERROR(__xludf.DUMMYFUNCTION("GOOGLETRANSLATE(B3727, ""zh"", ""en"")"),"Cost-effective, robust been wearing ecco shoes, this little foot pressure, is the reason the model wrong?")</f>
        <v>Cost-effective, robust been wearing ecco shoes, this little foot pressure, is the reason the model wrong?</v>
      </c>
    </row>
    <row r="3728">
      <c r="A3728" s="1">
        <v>2.0</v>
      </c>
      <c r="B3728" s="1" t="s">
        <v>3716</v>
      </c>
      <c r="C3728" t="str">
        <f>IFERROR(__xludf.DUMMYFUNCTION("GOOGLETRANSLATE(B3728, ""zh"", ""en"")"),"Evaluation of the right length, thigh lateral fat, can not wear, or give it fat")</f>
        <v>Evaluation of the right length, thigh lateral fat, can not wear, or give it fat</v>
      </c>
    </row>
    <row r="3729">
      <c r="A3729" s="1">
        <v>3.0</v>
      </c>
      <c r="B3729" s="1" t="s">
        <v>3717</v>
      </c>
      <c r="C3729" t="str">
        <f>IFERROR(__xludf.DUMMYFUNCTION("GOOGLETRANSLATE(B3729, ""zh"", ""en"")"),"Generally it a little short, fat degree can, colors and fabrics to be worse than the pictures show, the fabric is very thin, it is not the grade.")</f>
        <v>Generally it a little short, fat degree can, colors and fabrics to be worse than the pictures show, the fabric is very thin, it is not the grade.</v>
      </c>
    </row>
    <row r="3730">
      <c r="A3730" s="1">
        <v>3.0</v>
      </c>
      <c r="B3730" s="1" t="s">
        <v>3718</v>
      </c>
      <c r="C3730" t="str">
        <f>IFERROR(__xludf.DUMMYFUNCTION("GOOGLETRANSLATE(B3730, ""zh"", ""en"")"),"Good use of key watch this kind of thing for a long, long time to test out its quality, I bought have been very accurate time to go last year, but the mirror is usually little attention to the resin is not easily scratched. The watch this price, the value"&amp;"!")</f>
        <v>Good use of key watch this kind of thing for a long, long time to test out its quality, I bought have been very accurate time to go last year, but the mirror is usually little attention to the resin is not easily scratched. The watch this price, the value!</v>
      </c>
    </row>
    <row r="3731">
      <c r="A3731" s="1">
        <v>3.0</v>
      </c>
      <c r="B3731" s="1" t="s">
        <v>3719</v>
      </c>
      <c r="C3731" t="str">
        <f>IFERROR(__xludf.DUMMYFUNCTION("GOOGLETRANSLATE(B3731, ""zh"", ""en"")"),"The wind is not strong domestic use to convert the first, original design voltage is 250v, 220v only domestic wind is not strong enough.")</f>
        <v>The wind is not strong domestic use to convert the first, original design voltage is 250v, 220v only domestic wind is not strong enough.</v>
      </c>
    </row>
    <row r="3732">
      <c r="A3732" s="1">
        <v>1.0</v>
      </c>
      <c r="B3732" s="1" t="s">
        <v>3720</v>
      </c>
      <c r="C3732" t="str">
        <f>IFERROR(__xludf.DUMMYFUNCTION("GOOGLETRANSLATE(B3732, ""zh"", ""en"")"),"Good cheap affordable big pot, like eating candy QQ, like one day to eat two totally could not help ah. I do not know how to effect, to eat and see, eat 21 Jin before he kind of deposit.")</f>
        <v>Good cheap affordable big pot, like eating candy QQ, like one day to eat two totally could not help ah. I do not know how to effect, to eat and see, eat 21 Jin before he kind of deposit.</v>
      </c>
    </row>
    <row r="3733">
      <c r="A3733" s="1">
        <v>1.0</v>
      </c>
      <c r="B3733" s="1" t="s">
        <v>3721</v>
      </c>
      <c r="C3733" t="str">
        <f>IFERROR(__xludf.DUMMYFUNCTION("GOOGLETRANSLATE(B3733, ""zh"", ""en"")"),"Lee jeans poor quality, unlike the real. Regret the purchase.")</f>
        <v>Lee jeans poor quality, unlike the real. Regret the purchase.</v>
      </c>
    </row>
    <row r="3734">
      <c r="A3734" s="1">
        <v>4.0</v>
      </c>
      <c r="B3734" s="1" t="s">
        <v>3722</v>
      </c>
      <c r="C3734" t="str">
        <f>IFERROR(__xludf.DUMMYFUNCTION("GOOGLETRANSLATE(B3734, ""zh"", ""en"")"),"In addition to the dial can also be installed inside a little crooked, the other okay.")</f>
        <v>In addition to the dial can also be installed inside a little crooked, the other okay.</v>
      </c>
    </row>
    <row r="3735">
      <c r="A3735" s="1">
        <v>4.0</v>
      </c>
      <c r="B3735" s="1" t="s">
        <v>3723</v>
      </c>
      <c r="C3735" t="str">
        <f>IFERROR(__xludf.DUMMYFUNCTION("GOOGLETRANSLATE(B3735, ""zh"", ""en"")"),"No trial nice suggestion to try before you buy. Bring behind big and round. No trial nice suggestion to try before you buy. Bring behind big and round.")</f>
        <v>No trial nice suggestion to try before you buy. Bring behind big and round. No trial nice suggestion to try before you buy. Bring behind big and round.</v>
      </c>
    </row>
    <row r="3736">
      <c r="A3736" s="1">
        <v>4.0</v>
      </c>
      <c r="B3736" s="1" t="s">
        <v>3724</v>
      </c>
      <c r="C3736" t="str">
        <f>IFERROR(__xludf.DUMMYFUNCTION("GOOGLETRANSLATE(B3736, ""zh"", ""en"")"),"Sound great, but really wearing comfort. . . Keke see this package, sank a length; the headset on your head, the chuck ah, cold heart and a part of it! But, but, when the voice sounded the moment, simply intoxicated. Audition song of God with a song Jacky"&amp;", high resolution sound, not even out of breath hitting the teeth voices are very clear, a lot of three-dimensional sense Goethe SR80E also previously used (Okay, I admit grado be seconds)! Note Note that this is not just a pot of effort and look forward "&amp;"to the effect of the open burning!")</f>
        <v>Sound great, but really wearing comfort. . . Keke see this package, sank a length; the headset on your head, the chuck ah, cold heart and a part of it! But, but, when the voice sounded the moment, simply intoxicated. Audition song of God with a song Jacky, high resolution sound, not even out of breath hitting the teeth voices are very clear, a lot of three-dimensional sense Goethe SR80E also previously used (Okay, I admit grado be seconds)! Note Note that this is not just a pot of effort and look forward to the effect of the open burning!</v>
      </c>
    </row>
    <row r="3737">
      <c r="A3737" s="1">
        <v>4.0</v>
      </c>
      <c r="B3737" s="1" t="s">
        <v>3725</v>
      </c>
      <c r="C3737" t="str">
        <f>IFERROR(__xludf.DUMMYFUNCTION("GOOGLETRANSLATE(B3737, ""zh"", ""en"")"),"A bit like home pants home pants a little bit biased, but really wear pants when the home is also inappropriate.")</f>
        <v>A bit like home pants home pants a little bit biased, but really wear pants when the home is also inappropriate.</v>
      </c>
    </row>
    <row r="3738">
      <c r="A3738" s="1">
        <v>4.0</v>
      </c>
      <c r="B3738" s="1" t="s">
        <v>3726</v>
      </c>
      <c r="C3738" t="str">
        <f>IFERROR(__xludf.DUMMYFUNCTION("GOOGLETRANSLATE(B3738, ""zh"", ""en"")"),"Yes, that is code number is too large 175CM / 53KG, Bust 86cm, just wear XS, XXS also like tight, the fabric more comfortable, the price is very good, code number is too large, but also seldom XS code")</f>
        <v>Yes, that is code number is too large 175CM / 53KG, Bust 86cm, just wear XS, XXS also like tight, the fabric more comfortable, the price is very good, code number is too large, but also seldom XS code</v>
      </c>
    </row>
    <row r="3739">
      <c r="A3739" s="1">
        <v>5.0</v>
      </c>
      <c r="B3739" s="1" t="s">
        <v>3727</v>
      </c>
      <c r="C3739" t="str">
        <f>IFERROR(__xludf.DUMMYFUNCTION("GOOGLETRANSLATE(B3739, ""zh"", ""en"")"),"Good shopping experience very well, foot feeling good, ah do not have to scrape together words")</f>
        <v>Good shopping experience very well, foot feeling good, ah do not have to scrape together words</v>
      </c>
    </row>
    <row r="3740">
      <c r="A3740" s="1">
        <v>5.0</v>
      </c>
      <c r="B3740" s="1" t="s">
        <v>3728</v>
      </c>
      <c r="C3740" t="str">
        <f>IFERROR(__xludf.DUMMYFUNCTION("GOOGLETRANSLATE(B3740, ""zh"", ""en"")"),"Praise, who bought who knows. Around 1500 shoes, the price to buy really good deal. 6cd just right, she usually wear 37 shoes. Working-class, first-class leather. delicate. Not bloated. Yet rugged. Praise.")</f>
        <v>Praise, who bought who knows. Around 1500 shoes, the price to buy really good deal. 6cd just right, she usually wear 37 shoes. Working-class, first-class leather. delicate. Not bloated. Yet rugged. Praise.</v>
      </c>
    </row>
    <row r="3741">
      <c r="A3741" s="1">
        <v>5.0</v>
      </c>
      <c r="B3741" s="1" t="s">
        <v>3729</v>
      </c>
      <c r="C3741" t="str">
        <f>IFERROR(__xludf.DUMMYFUNCTION("GOOGLETRANSLATE(B3741, ""zh"", ""en"")"),"UPS expects satisfactory logistics drink before the time is very accurate product tastes good satisfaction is ON his home 24G vanilla cocoa flavor is very strong due to the cross-border transport box packaging has basically been broken to open")</f>
        <v>UPS expects satisfactory logistics drink before the time is very accurate product tastes good satisfaction is ON his home 24G vanilla cocoa flavor is very strong due to the cross-border transport box packaging has basically been broken to open</v>
      </c>
    </row>
    <row r="3742">
      <c r="A3742" s="1">
        <v>5.0</v>
      </c>
      <c r="B3742" s="1" t="s">
        <v>3730</v>
      </c>
      <c r="C3742" t="str">
        <f>IFERROR(__xludf.DUMMYFUNCTION("GOOGLETRANSLATE(B3742, ""zh"", ""en"")"),"Well worth version, Slim, worth starting.")</f>
        <v>Well worth version, Slim, worth starting.</v>
      </c>
    </row>
    <row r="3743">
      <c r="A3743" s="1">
        <v>5.0</v>
      </c>
      <c r="B3743" s="1" t="s">
        <v>3731</v>
      </c>
      <c r="C3743" t="str">
        <f>IFERROR(__xludf.DUMMYFUNCTION("GOOGLETRANSLATE(B3743, ""zh"", ""en"")"),"Logistics quickly, the coffee machine is very beautiful! Read online a few days, choose this model, leadership is mainly home use, logistics very fast, less than a week to the Post, open look, looks very pretty, and packaging is also very tight, that is, "&amp;"no instructions in Chinese, the other is Romania produced, not Italian origin, it makes me somewhat regret. In addition, we are waiting to enjoy fresh coffee.")</f>
        <v>Logistics quickly, the coffee machine is very beautiful! Read online a few days, choose this model, leadership is mainly home use, logistics very fast, less than a week to the Post, open look, looks very pretty, and packaging is also very tight, that is, no instructions in Chinese, the other is Romania produced, not Italian origin, it makes me somewhat regret. In addition, we are waiting to enjoy fresh coffee.</v>
      </c>
    </row>
    <row r="3744">
      <c r="A3744" s="1">
        <v>5.0</v>
      </c>
      <c r="B3744" s="1" t="s">
        <v>3732</v>
      </c>
      <c r="C3744" t="str">
        <f>IFERROR(__xludf.DUMMYFUNCTION("GOOGLETRANSLATE(B3744, ""zh"", ""en"")"),"Brushing good assistant adorable, easy to use than the battery charging money or money, it is important, to protect the teeth from childhood, is really important.")</f>
        <v>Brushing good assistant adorable, easy to use than the battery charging money or money, it is important, to protect the teeth from childhood, is really important.</v>
      </c>
    </row>
    <row r="3745">
      <c r="A3745" s="1">
        <v>5.0</v>
      </c>
      <c r="B3745" s="1" t="s">
        <v>3733</v>
      </c>
      <c r="C3745" t="str">
        <f>IFERROR(__xludf.DUMMYFUNCTION("GOOGLETRANSLATE(B3745, ""zh"", ""en"")"),"Feeling good stuff looked pretty good, sound quality is very good, much cheaper than Jingdong, specifically asked the customer service under domestic warranty, praise")</f>
        <v>Feeling good stuff looked pretty good, sound quality is very good, much cheaper than Jingdong, specifically asked the customer service under domestic warranty, praise</v>
      </c>
    </row>
    <row r="3746">
      <c r="A3746" s="1">
        <v>5.0</v>
      </c>
      <c r="B3746" s="1" t="s">
        <v>3734</v>
      </c>
      <c r="C3746" t="str">
        <f>IFERROR(__xludf.DUMMYFUNCTION("GOOGLETRANSLATE(B3746, ""zh"", ""en"")"),"This pair of comfortable very comfortable with the size puma shoes as usual")</f>
        <v>This pair of comfortable very comfortable with the size puma shoes as usual</v>
      </c>
    </row>
    <row r="3747">
      <c r="A3747" s="1">
        <v>5.0</v>
      </c>
      <c r="B3747" s="1" t="s">
        <v>3735</v>
      </c>
      <c r="C3747" t="str">
        <f>IFERROR(__xludf.DUMMYFUNCTION("GOOGLETRANSLATE(B3747, ""zh"", ""en"")"),"Authentic genuine doubt, very meticulous workmanship")</f>
        <v>Authentic genuine doubt, very meticulous workmanship</v>
      </c>
    </row>
    <row r="3748">
      <c r="A3748" s="1">
        <v>5.0</v>
      </c>
      <c r="B3748" s="1" t="s">
        <v>3736</v>
      </c>
      <c r="C3748" t="str">
        <f>IFERROR(__xludf.DUMMYFUNCTION("GOOGLETRANSLATE(B3748, ""zh"", ""en"")"),"Rinse the intensity of flushing water pressure right size, look beautiful, one charge can feel a week")</f>
        <v>Rinse the intensity of flushing water pressure right size, look beautiful, one charge can feel a week</v>
      </c>
    </row>
    <row r="3749">
      <c r="A3749" s="1">
        <v>5.0</v>
      </c>
      <c r="B3749" s="1" t="s">
        <v>3737</v>
      </c>
      <c r="C3749" t="str">
        <f>IFERROR(__xludf.DUMMYFUNCTION("GOOGLETRANSLATE(B3749, ""zh"", ""en"")"),"Like 💕, quality assurance pants good 👌, the code is a big point, but still very fond of, is worth having")</f>
        <v>Like 💕, quality assurance pants good 👌, the code is a big point, but still very fond of, is worth having</v>
      </c>
    </row>
    <row r="3750">
      <c r="A3750" s="1">
        <v>5.0</v>
      </c>
      <c r="B3750" s="1" t="s">
        <v>3738</v>
      </c>
      <c r="C3750" t="str">
        <f>IFERROR(__xludf.DUMMYFUNCTION("GOOGLETRANSLATE(B3750, ""zh"", ""en"")"),"Great too comfortable, like wearing the same")</f>
        <v>Great too comfortable, like wearing the same</v>
      </c>
    </row>
    <row r="3751">
      <c r="A3751" s="1">
        <v>5.0</v>
      </c>
      <c r="B3751" s="1" t="s">
        <v>3739</v>
      </c>
      <c r="C3751" t="str">
        <f>IFERROR(__xludf.DUMMYFUNCTION("GOOGLETRANSLATE(B3751, ""zh"", ""en"")"),"The actual merchandise than drawing a good picture of the true color is the color looks in general, but the start is quite engaging. And wear good results. Recommended to start.")</f>
        <v>The actual merchandise than drawing a good picture of the true color is the color looks in general, but the start is quite engaging. And wear good results. Recommended to start.</v>
      </c>
    </row>
    <row r="3752">
      <c r="A3752" s="1">
        <v>5.0</v>
      </c>
      <c r="B3752" s="1" t="s">
        <v>3740</v>
      </c>
      <c r="C3752" t="str">
        <f>IFERROR(__xludf.DUMMYFUNCTION("GOOGLETRANSLATE(B3752, ""zh"", ""en"")"),"Bluetooth is doing it does not know the Bluetooth function is doing")</f>
        <v>Bluetooth is doing it does not know the Bluetooth function is doing</v>
      </c>
    </row>
    <row r="3753">
      <c r="A3753" s="1">
        <v>5.0</v>
      </c>
      <c r="B3753" s="1" t="s">
        <v>3741</v>
      </c>
      <c r="C3753" t="str">
        <f>IFERROR(__xludf.DUMMYFUNCTION("GOOGLETRANSLATE(B3753, ""zh"", ""en"")"),"Good use is useful, roasted steaks to delicious than pan fried, juice and tender and more")</f>
        <v>Good use is useful, roasted steaks to delicious than pan fried, juice and tender and more</v>
      </c>
    </row>
    <row r="3754">
      <c r="A3754" s="1">
        <v>5.0</v>
      </c>
      <c r="B3754" s="1" t="s">
        <v>3742</v>
      </c>
      <c r="C3754" t="str">
        <f>IFERROR(__xludf.DUMMYFUNCTION("GOOGLETRANSLATE(B3754, ""zh"", ""en"")"),"This size is too large clothes size is too large at least two yards of it, can only be to someone else to wear.")</f>
        <v>This size is too large clothes size is too large at least two yards of it, can only be to someone else to wear.</v>
      </c>
    </row>
    <row r="3755">
      <c r="A3755" s="1">
        <v>5.0</v>
      </c>
      <c r="B3755" s="1" t="s">
        <v>3743</v>
      </c>
      <c r="C3755" t="str">
        <f>IFERROR(__xludf.DUMMYFUNCTION("GOOGLETRANSLATE(B3755, ""zh"", ""en"")"),"Ao very thick too warm, a little tight")</f>
        <v>Ao very thick too warm, a little tight</v>
      </c>
    </row>
    <row r="3756">
      <c r="A3756" s="1">
        <v>5.0</v>
      </c>
      <c r="B3756" s="1" t="s">
        <v>3744</v>
      </c>
      <c r="C3756" t="str">
        <f>IFERROR(__xludf.DUMMYFUNCTION("GOOGLETRANSLATE(B3756, ""zh"", ""en"")"),"Yes. Good quality, simple but not simple style, ultra-like.")</f>
        <v>Yes. Good quality, simple but not simple style, ultra-like.</v>
      </c>
    </row>
    <row r="3757">
      <c r="A3757" s="1">
        <v>5.0</v>
      </c>
      <c r="B3757" s="1" t="s">
        <v>3745</v>
      </c>
      <c r="C3757" t="str">
        <f>IFERROR(__xludf.DUMMYFUNCTION("GOOGLETRANSLATE(B3757, ""zh"", ""en"")"),"Very nice very nice")</f>
        <v>Very nice very nice</v>
      </c>
    </row>
    <row r="3758">
      <c r="A3758" s="1">
        <v>5.0</v>
      </c>
      <c r="B3758" s="1" t="s">
        <v>3746</v>
      </c>
      <c r="C3758" t="str">
        <f>IFERROR(__xludf.DUMMYFUNCTION("GOOGLETRANSLATE(B3758, ""zh"", ""en"")"),"Classic law-abiding classics in a pen, no fancy decoration. Nib carving as good as Ashkenazi Japanese, a little sorry it's worth. Hand is found written in blue ink, the uncertainty is the factory testing, or retreat to return the goods. Try down, no probl"&amp;"em.")</f>
        <v>Classic law-abiding classics in a pen, no fancy decoration. Nib carving as good as Ashkenazi Japanese, a little sorry it's worth. Hand is found written in blue ink, the uncertainty is the factory testing, or retreat to return the goods. Try down, no problem.</v>
      </c>
    </row>
    <row r="3759">
      <c r="A3759" s="1">
        <v>5.0</v>
      </c>
      <c r="B3759" s="1" t="s">
        <v>3747</v>
      </c>
      <c r="C3759" t="str">
        <f>IFERROR(__xludf.DUMMYFUNCTION("GOOGLETRANSLATE(B3759, ""zh"", ""en"")"),"Good quality line drawing Dutch manufacturing can expect good quality long-term point")</f>
        <v>Good quality line drawing Dutch manufacturing can expect good quality long-term point</v>
      </c>
    </row>
    <row r="3760">
      <c r="A3760" s="1">
        <v>5.0</v>
      </c>
      <c r="B3760" s="1" t="s">
        <v>3748</v>
      </c>
      <c r="C3760" t="str">
        <f>IFERROR(__xludf.DUMMYFUNCTION("GOOGLETRANSLATE(B3760, ""zh"", ""en"")"),"Very good feel very good, very smooth writing, of course, I still liked the old junior high school with a mechanical pencil, then have a few dollars, now Kenichi a whim bought this, I feel very satisfied, of course, I may be useless mechanical pencil too "&amp;"good reason. . .")</f>
        <v>Very good feel very good, very smooth writing, of course, I still liked the old junior high school with a mechanical pencil, then have a few dollars, now Kenichi a whim bought this, I feel very satisfied, of course, I may be useless mechanical pencil too good reason. . .</v>
      </c>
    </row>
    <row r="3761">
      <c r="A3761" s="1">
        <v>2.0</v>
      </c>
      <c r="B3761" s="1" t="s">
        <v>3749</v>
      </c>
      <c r="C3761" t="str">
        <f>IFERROR(__xludf.DUMMYFUNCTION("GOOGLETRANSLATE(B3761, ""zh"", ""en"")"),"Wrong color color and image color that much difference, picture display light blue, dark blue kind, express delivery time is approximately 20 days.")</f>
        <v>Wrong color color and image color that much difference, picture display light blue, dark blue kind, express delivery time is approximately 20 days.</v>
      </c>
    </row>
    <row r="3762">
      <c r="A3762" s="1">
        <v>3.0</v>
      </c>
      <c r="B3762" s="1" t="s">
        <v>3750</v>
      </c>
      <c r="C3762" t="str">
        <f>IFERROR(__xludf.DUMMYFUNCTION("GOOGLETRANSLATE(B3762, ""zh"", ""en"")"),"Serious sticky hair, can not wear ah! ! ! Serious sticky hair, can not wear ah! ! !")</f>
        <v>Serious sticky hair, can not wear ah! ! ! Serious sticky hair, can not wear ah! ! !</v>
      </c>
    </row>
    <row r="3763">
      <c r="A3763" s="1">
        <v>3.0</v>
      </c>
      <c r="B3763" s="1" t="s">
        <v>3751</v>
      </c>
      <c r="C3763" t="str">
        <f>IFERROR(__xludf.DUMMYFUNCTION("GOOGLETRANSLATE(B3763, ""zh"", ""en"")"),"Quality is generally too large one yard, it seems the general quality")</f>
        <v>Quality is generally too large one yard, it seems the general quality</v>
      </c>
    </row>
    <row r="3764">
      <c r="A3764" s="1">
        <v>1.0</v>
      </c>
      <c r="B3764" s="1" t="s">
        <v>3752</v>
      </c>
      <c r="C3764" t="str">
        <f>IFERROR(__xludf.DUMMYFUNCTION("GOOGLETRANSLATE(B3764, ""zh"", ""en"")"),"M sharp, rough, no ink absorber. Look at the reviews do not buy early, this brand superstition, look into the two, there is no ink absorber, has been ink sac, blotter where to buy? Ink sac where to buy? There is a sharp M, daily writing does not apply onl"&amp;"y to sign a signature word and thought, return shipping can not afford to retire. . . To buy things in the future we must look at the comment.")</f>
        <v>M sharp, rough, no ink absorber. Look at the reviews do not buy early, this brand superstition, look into the two, there is no ink absorber, has been ink sac, blotter where to buy? Ink sac where to buy? There is a sharp M, daily writing does not apply only to sign a signature word and thought, return shipping can not afford to retire. . . To buy things in the future we must look at the comment.</v>
      </c>
    </row>
    <row r="3765">
      <c r="A3765" s="1">
        <v>1.0</v>
      </c>
      <c r="B3765" s="1" t="s">
        <v>3753</v>
      </c>
      <c r="C3765" t="str">
        <f>IFERROR(__xludf.DUMMYFUNCTION("GOOGLETRANSLATE(B3765, ""zh"", ""en"")"),"Amazon first time shopping, the whole experience very poor product pages on two models map, they look very good, but to get his hand was disappointing, first of all clothes have a color, not a map in black, but dark blue , followed by the material feels v"&amp;"ery rough, messy clothes thread a lot, in short, do not recommend buying")</f>
        <v>Amazon first time shopping, the whole experience very poor product pages on two models map, they look very good, but to get his hand was disappointing, first of all clothes have a color, not a map in black, but dark blue , followed by the material feels very rough, messy clothes thread a lot, in short, do not recommend buying</v>
      </c>
    </row>
    <row r="3766">
      <c r="A3766" s="1">
        <v>1.0</v>
      </c>
      <c r="B3766" s="1" t="s">
        <v>3754</v>
      </c>
      <c r="C3766" t="str">
        <f>IFERROR(__xludf.DUMMYFUNCTION("GOOGLETRANSLATE(B3766, ""zh"", ""en"")"),"General word too thick, not worth the price. Also water and more.")</f>
        <v>General word too thick, not worth the price. Also water and more.</v>
      </c>
    </row>
    <row r="3767">
      <c r="A3767" s="1">
        <v>4.0</v>
      </c>
      <c r="B3767" s="1" t="s">
        <v>3755</v>
      </c>
      <c r="C3767" t="str">
        <f>IFERROR(__xludf.DUMMYFUNCTION("GOOGLETRANSLATE(B3767, ""zh"", ""en"")"),"Size and bought the wrong size too big too much")</f>
        <v>Size and bought the wrong size too big too much</v>
      </c>
    </row>
    <row r="3768">
      <c r="A3768" s="1">
        <v>4.0</v>
      </c>
      <c r="B3768" s="1" t="s">
        <v>3756</v>
      </c>
      <c r="C3768" t="str">
        <f>IFERROR(__xludf.DUMMYFUNCTION("GOOGLETRANSLATE(B3768, ""zh"", ""en"")"),"To wear a little bit small, the top of the foot, the foot was wrapped a little tight.")</f>
        <v>To wear a little bit small, the top of the foot, the foot was wrapped a little tight.</v>
      </c>
    </row>
    <row r="3769">
      <c r="A3769" s="1">
        <v>4.0</v>
      </c>
      <c r="B3769" s="1" t="s">
        <v>3757</v>
      </c>
      <c r="C3769" t="str">
        <f>IFERROR(__xludf.DUMMYFUNCTION("GOOGLETRANSLATE(B3769, ""zh"", ""en"")"),"Pilling serious pilling serious, can only wear season, warm and good")</f>
        <v>Pilling serious pilling serious, can only wear season, warm and good</v>
      </c>
    </row>
    <row r="3770">
      <c r="A3770" s="1">
        <v>4.0</v>
      </c>
      <c r="B3770" s="1" t="s">
        <v>3758</v>
      </c>
      <c r="C3770" t="str">
        <f>IFERROR(__xludf.DUMMYFUNCTION("GOOGLETRANSLATE(B3770, ""zh"", ""en"")"),"very satisfied! ! Good, very good quality, but also comfortable to wear.")</f>
        <v>very satisfied! ! Good, very good quality, but also comfortable to wear.</v>
      </c>
    </row>
    <row r="3771">
      <c r="A3771" s="1">
        <v>4.0</v>
      </c>
      <c r="B3771" s="1" t="s">
        <v>3759</v>
      </c>
      <c r="C3771" t="str">
        <f>IFERROR(__xludf.DUMMYFUNCTION("GOOGLETRANSLATE(B3771, ""zh"", ""en"")"),"Annoying clothes have to be pretty good, right title, is the English version a little larger than the Asian version, the fastener head on the right side, just use may not adapt")</f>
        <v>Annoying clothes have to be pretty good, right title, is the English version a little larger than the Asian version, the fastener head on the right side, just use may not adapt</v>
      </c>
    </row>
    <row r="3772">
      <c r="A3772" s="1">
        <v>5.0</v>
      </c>
      <c r="B3772" s="1" t="s">
        <v>3760</v>
      </c>
      <c r="C3772" t="str">
        <f>IFERROR(__xludf.DUMMYFUNCTION("GOOGLETRANSLATE(B3772, ""zh"", ""en"")"),"Quality can be, but also when the pockets. Feeling a little backpack. Touches men and women can use")</f>
        <v>Quality can be, but also when the pockets. Feeling a little backpack. Touches men and women can use</v>
      </c>
    </row>
    <row r="3773">
      <c r="A3773" s="1">
        <v>5.0</v>
      </c>
      <c r="B3773" s="1" t="s">
        <v>3761</v>
      </c>
      <c r="C3773" t="str">
        <f>IFERROR(__xludf.DUMMYFUNCTION("GOOGLETRANSLATE(B3773, ""zh"", ""en"")"),"Clothes clothes a little longer, but you can wear")</f>
        <v>Clothes clothes a little longer, but you can wear</v>
      </c>
    </row>
    <row r="3774">
      <c r="A3774" s="1">
        <v>5.0</v>
      </c>
      <c r="B3774" s="1" t="s">
        <v>3762</v>
      </c>
      <c r="C3774" t="str">
        <f>IFERROR(__xludf.DUMMYFUNCTION("GOOGLETRANSLATE(B3774, ""zh"", ""en"")"),"Small for a few days to comment, go out a little cup of water on the bag just right, the color is more like it.")</f>
        <v>Small for a few days to comment, go out a little cup of water on the bag just right, the color is more like it.</v>
      </c>
    </row>
    <row r="3775">
      <c r="A3775" s="1">
        <v>5.0</v>
      </c>
      <c r="B3775" s="1" t="s">
        <v>3763</v>
      </c>
      <c r="C3775" t="str">
        <f>IFERROR(__xludf.DUMMYFUNCTION("GOOGLETRANSLATE(B3775, ""zh"", ""en"")"),"Very worthwhile purchase to buy the lowest price 760.43, plus taxes, but 850 yuan, a lot cheaper than domestic (with a special voucher East also need 979 yuan), in fact seven days on receipt of the goods, there is no excessive packaging, simple original b"&amp;"ubble box packaging, produced in Malaysia, is slightly thicker than a 2T bit, but nothing issue into hard pack. Built-in hard disk management of various backup encryption software, sound is very small, about the transmission speed 60-80MB / S, the actual "&amp;"capacity of about 3.7T, different numbers and domestic sales, the United States still trust the quality management system, very satisfied, we recommend purchase.")</f>
        <v>Very worthwhile purchase to buy the lowest price 760.43, plus taxes, but 850 yuan, a lot cheaper than domestic (with a special voucher East also need 979 yuan), in fact seven days on receipt of the goods, there is no excessive packaging, simple original bubble box packaging, produced in Malaysia, is slightly thicker than a 2T bit, but nothing issue into hard pack. Built-in hard disk management of various backup encryption software, sound is very small, about the transmission speed 60-80MB / S, the actual capacity of about 3.7T, different numbers and domestic sales, the United States still trust the quality management system, very satisfied, we recommend purchase.</v>
      </c>
    </row>
    <row r="3776">
      <c r="A3776" s="1">
        <v>5.0</v>
      </c>
      <c r="B3776" s="1" t="s">
        <v>3764</v>
      </c>
      <c r="C3776" t="str">
        <f>IFERROR(__xludf.DUMMYFUNCTION("GOOGLETRANSLATE(B3776, ""zh"", ""en"")"),"Size shoes is very beautiful, a little tight at the instep out, the right size, usually domestic general size 39, US Code 7 loose")</f>
        <v>Size shoes is very beautiful, a little tight at the instep out, the right size, usually domestic general size 39, US Code 7 loose</v>
      </c>
    </row>
    <row r="3777">
      <c r="A3777" s="1">
        <v>5.0</v>
      </c>
      <c r="B3777" s="1" t="s">
        <v>3765</v>
      </c>
      <c r="C3777" t="str">
        <f>IFERROR(__xludf.DUMMYFUNCTION("GOOGLETRANSLATE(B3777, ""zh"", ""en"")"),"Satisfying shopping version of the type well, to wear for the summer or fall.")</f>
        <v>Satisfying shopping version of the type well, to wear for the summer or fall.</v>
      </c>
    </row>
    <row r="3778">
      <c r="A3778" s="1">
        <v>5.0</v>
      </c>
      <c r="B3778" s="1" t="s">
        <v>3766</v>
      </c>
      <c r="C3778" t="str">
        <f>IFERROR(__xludf.DUMMYFUNCTION("GOOGLETRANSLATE(B3778, ""zh"", ""en"")"),"High quality sound high quality headphones, but it must be on the amp. Direct Push does not work, empty sound, high-frequency two uncontrollable. After parsing put on a strong, open sound field, the human voice was okay, relatively omnivorous.")</f>
        <v>High quality sound high quality headphones, but it must be on the amp. Direct Push does not work, empty sound, high-frequency two uncontrollable. After parsing put on a strong, open sound field, the human voice was okay, relatively omnivorous.</v>
      </c>
    </row>
    <row r="3779">
      <c r="A3779" s="1">
        <v>5.0</v>
      </c>
      <c r="B3779" s="1" t="s">
        <v>3767</v>
      </c>
      <c r="C3779" t="str">
        <f>IFERROR(__xludf.DUMMYFUNCTION("GOOGLETRANSLATE(B3779, ""zh"", ""en"")"),"Snacks good to wear")</f>
        <v>Snacks good to wear</v>
      </c>
    </row>
    <row r="3780">
      <c r="A3780" s="1">
        <v>5.0</v>
      </c>
      <c r="B3780" s="1" t="s">
        <v>3768</v>
      </c>
      <c r="C3780" t="str">
        <f>IFERROR(__xludf.DUMMYFUNCTION("GOOGLETRANSLATE(B3780, ""zh"", ""en"")"),"Good shoes overseas purchase, the time of receipt is given than when orders are expected to be faster than a week, praise! Shoes is very beautiful, very good material, work is also very good, especially the soles of the material, work is also very good. T"&amp;"hen praise! Price: cost and freight tariffs on a total of 450 are less than the Shanghai store selling shoes a lot cheaper, but good style. Then praise! Express domestic segment is good luck, big name, delivery experience can be bad. No prior notice to ex"&amp;"plain directly to the abundance of goods put up nest boxes, unpacking to see shoes and seeking the cover of the carton cracked a big middle seam, good shoes, not including the affected intact, a false alarm. SF Express can only give such a bad review!")</f>
        <v>Good shoes overseas purchase, the time of receipt is given than when orders are expected to be faster than a week, praise! Shoes is very beautiful, very good material, work is also very good, especially the soles of the material, work is also very good. Then praise! Price: cost and freight tariffs on a total of 450 are less than the Shanghai store selling shoes a lot cheaper, but good style. Then praise! Express domestic segment is good luck, big name, delivery experience can be bad. No prior notice to explain directly to the abundance of goods put up nest boxes, unpacking to see shoes and seeking the cover of the carton cracked a big middle seam, good shoes, not including the affected intact, a false alarm. SF Express can only give such a bad review!</v>
      </c>
    </row>
    <row r="3781">
      <c r="A3781" s="1">
        <v>5.0</v>
      </c>
      <c r="B3781" s="1" t="s">
        <v>3769</v>
      </c>
      <c r="C3781" t="str">
        <f>IFERROR(__xludf.DUMMYFUNCTION("GOOGLETRANSLATE(B3781, ""zh"", ""en"")"),"Just relaxed. 173cm 77kg buy this pants just 33W * 30L.")</f>
        <v>Just relaxed. 173cm 77kg buy this pants just 33W * 30L.</v>
      </c>
    </row>
    <row r="3782">
      <c r="A3782" s="1">
        <v>5.0</v>
      </c>
      <c r="B3782" s="1" t="s">
        <v>3770</v>
      </c>
      <c r="C3782" t="str">
        <f>IFERROR(__xludf.DUMMYFUNCTION("GOOGLETRANSLATE(B3782, ""zh"", ""en"")"),"Okay good clothes is to buy small, I 173 64kg, should wear m")</f>
        <v>Okay good clothes is to buy small, I 173 64kg, should wear m</v>
      </c>
    </row>
    <row r="3783">
      <c r="A3783" s="1">
        <v>5.0</v>
      </c>
      <c r="B3783" s="1" t="s">
        <v>3771</v>
      </c>
      <c r="C3783" t="str">
        <f>IFERROR(__xludf.DUMMYFUNCTION("GOOGLETRANSLATE(B3783, ""zh"", ""en"")"),"Good right size, very good.")</f>
        <v>Good right size, very good.</v>
      </c>
    </row>
    <row r="3784">
      <c r="A3784" s="1">
        <v>5.0</v>
      </c>
      <c r="B3784" s="1" t="s">
        <v>3772</v>
      </c>
      <c r="C3784" t="str">
        <f>IFERROR(__xludf.DUMMYFUNCTION("GOOGLETRANSLATE(B3784, ""zh"", ""en"")"),"Pants good, flexible and elastic, very good, not fat, just right. My height 176 weight 86kg, sturdy body not fat.")</f>
        <v>Pants good, flexible and elastic, very good, not fat, just right. My height 176 weight 86kg, sturdy body not fat.</v>
      </c>
    </row>
    <row r="3785">
      <c r="A3785" s="1">
        <v>5.0</v>
      </c>
      <c r="B3785" s="1" t="s">
        <v>3773</v>
      </c>
      <c r="C3785" t="str">
        <f>IFERROR(__xludf.DUMMYFUNCTION("GOOGLETRANSLATE(B3785, ""zh"", ""en"")"),"Very nice, pleasant experience. To help his girlfriend to buy, appropriate code number, work better than expected, the logistics faster than expected, good expectations management, this is a pleasant shopping experience. I want to wear long no quality pro"&amp;"blems.")</f>
        <v>Very nice, pleasant experience. To help his girlfriend to buy, appropriate code number, work better than expected, the logistics faster than expected, good expectations management, this is a pleasant shopping experience. I want to wear long no quality problems.</v>
      </c>
    </row>
    <row r="3786">
      <c r="A3786" s="1">
        <v>5.0</v>
      </c>
      <c r="B3786" s="1" t="s">
        <v>3774</v>
      </c>
      <c r="C3786" t="str">
        <f>IFERROR(__xludf.DUMMYFUNCTION("GOOGLETRANSLATE(B3786, ""zh"", ""en"")"),"Lee is my love. Lee pants, material good, good type version, good quality, good-looking and comfortable to wear, very satisfied!")</f>
        <v>Lee is my love. Lee pants, material good, good type version, good quality, good-looking and comfortable to wear, very satisfied!</v>
      </c>
    </row>
    <row r="3787">
      <c r="A3787" s="1">
        <v>5.0</v>
      </c>
      <c r="B3787" s="1" t="s">
        <v>3775</v>
      </c>
      <c r="C3787" t="str">
        <f>IFERROR(__xludf.DUMMYFUNCTION("GOOGLETRANSLATE(B3787, ""zh"", ""en"")"),"Very soft very soft, much more than on a treasure flagship store to buy soft. Not from the previous evaluation, I do not know how many wasted points, points can change money now know, they should look carefully evaluated, then I put these words to copy to"&amp;" go, both to earn points, but also save trouble, they go where copy the most important thing is, do not seriously review, do not think how much worse word, sent directly to it, recommend it to everyone! !")</f>
        <v>Very soft very soft, much more than on a treasure flagship store to buy soft. Not from the previous evaluation, I do not know how many wasted points, points can change money now know, they should look carefully evaluated, then I put these words to copy to go, both to earn points, but also save trouble, they go where copy the most important thing is, do not seriously review, do not think how much worse word, sent directly to it, recommend it to everyone! !</v>
      </c>
    </row>
    <row r="3788">
      <c r="A3788" s="1">
        <v>5.0</v>
      </c>
      <c r="B3788" s="1" t="s">
        <v>3776</v>
      </c>
      <c r="C3788" t="str">
        <f>IFERROR(__xludf.DUMMYFUNCTION("GOOGLETRANSLATE(B3788, ""zh"", ""en"")"),"Good to hear the bass texture, closer to the human voice, high-frequency natural, good to hear. Although not HIFI headphones, listening to pop music but in respect of such a voice. Simple simple, do not wave appearance, sound value.")</f>
        <v>Good to hear the bass texture, closer to the human voice, high-frequency natural, good to hear. Although not HIFI headphones, listening to pop music but in respect of such a voice. Simple simple, do not wave appearance, sound value.</v>
      </c>
    </row>
    <row r="3789">
      <c r="A3789" s="1">
        <v>5.0</v>
      </c>
      <c r="B3789" s="1" t="s">
        <v>3777</v>
      </c>
      <c r="C3789" t="str">
        <f>IFERROR(__xludf.DUMMYFUNCTION("GOOGLETRANSLATE(B3789, ""zh"", ""en"")"),"174, 75KG, M number just right. Very good quality stuff, very comfortable. 174, 75KG, M number just right. Very good quality stuff, very comfortable.")</f>
        <v>174, 75KG, M number just right. Very good quality stuff, very comfortable. 174, 75KG, M number just right. Very good quality stuff, very comfortable.</v>
      </c>
    </row>
    <row r="3790">
      <c r="A3790" s="1">
        <v>5.0</v>
      </c>
      <c r="B3790" s="1" t="s">
        <v>3778</v>
      </c>
      <c r="C3790" t="str">
        <f>IFERROR(__xludf.DUMMYFUNCTION("GOOGLETRANSLATE(B3790, ""zh"", ""en"")"),"Price is also very looking forward to when you can buy, get our hands did not disappoint me 160,58kg buy the W29")</f>
        <v>Price is also very looking forward to when you can buy, get our hands did not disappoint me 160,58kg buy the W29</v>
      </c>
    </row>
    <row r="3791">
      <c r="A3791" s="1">
        <v>5.0</v>
      </c>
      <c r="B3791" s="1" t="s">
        <v>3779</v>
      </c>
      <c r="C3791" t="str">
        <f>IFERROR(__xludf.DUMMYFUNCTION("GOOGLETRANSLATE(B3791, ""zh"", ""en"")"),"Good easy to use, and replace the straw")</f>
        <v>Good easy to use, and replace the straw</v>
      </c>
    </row>
    <row r="3792">
      <c r="A3792" s="1">
        <v>5.0</v>
      </c>
      <c r="B3792" s="1" t="s">
        <v>3780</v>
      </c>
      <c r="C3792" t="str">
        <f>IFERROR(__xludf.DUMMYFUNCTION("GOOGLETRANSLATE(B3792, ""zh"", ""en"")"),"Tights Yes, I belly a little big 😓😓😓 ...... great age, and a little pot. 177/77. Buy the L number, wearing a very fit, the sleeves a little longer, there is the stomach where stretched tight, very noticeable belly 😓 ...... seems to do 200 sit-ups ever"&amp;"y day ...... 😂")</f>
        <v>Tights Yes, I belly a little big 😓😓😓 ...... great age, and a little pot. 177/77. Buy the L number, wearing a very fit, the sleeves a little longer, there is the stomach where stretched tight, very noticeable belly 😓 ...... seems to do 200 sit-ups every day ...... 😂</v>
      </c>
    </row>
    <row r="3793">
      <c r="A3793" s="1">
        <v>5.0</v>
      </c>
      <c r="B3793" s="1" t="s">
        <v>3781</v>
      </c>
      <c r="C3793" t="str">
        <f>IFERROR(__xludf.DUMMYFUNCTION("GOOGLETRANSLATE(B3793, ""zh"", ""en"")"),"Backpack is also good, the right size, comfortable carrying")</f>
        <v>Backpack is also good, the right size, comfortable carrying</v>
      </c>
    </row>
    <row r="3794">
      <c r="A3794" s="1">
        <v>2.0</v>
      </c>
      <c r="B3794" s="1" t="s">
        <v>3782</v>
      </c>
      <c r="C3794" t="str">
        <f>IFERROR(__xludf.DUMMYFUNCTION("GOOGLETRANSLATE(B3794, ""zh"", ""en"")"),"Severe water directed at Yan value to buy, but to use them especially Zaoxin, due to a leak very serious! ! ! Discard ~")</f>
        <v>Severe water directed at Yan value to buy, but to use them especially Zaoxin, due to a leak very serious! ! ! Discard ~</v>
      </c>
    </row>
    <row r="3795">
      <c r="A3795" s="1">
        <v>3.0</v>
      </c>
      <c r="B3795" s="1" t="s">
        <v>3783</v>
      </c>
      <c r="C3795" t="str">
        <f>IFERROR(__xludf.DUMMYFUNCTION("GOOGLETRANSLATE(B3795, ""zh"", ""en"")"),"Okay a little big color too blue, long sleeves big bust")</f>
        <v>Okay a little big color too blue, long sleeves big bust</v>
      </c>
    </row>
    <row r="3796">
      <c r="A3796" s="1">
        <v>3.0</v>
      </c>
      <c r="B3796" s="1" t="s">
        <v>3784</v>
      </c>
      <c r="C3796" t="str">
        <f>IFERROR(__xludf.DUMMYFUNCTION("GOOGLETRANSLATE(B3796, ""zh"", ""en"")"),"Fade is hard to believe is genuine, that says made in China, South Korea is a two-dimensional code, the kind of color like a washed faded, the white side also stained with red dot -")</f>
        <v>Fade is hard to believe is genuine, that says made in China, South Korea is a two-dimensional code, the kind of color like a washed faded, the white side also stained with red dot -</v>
      </c>
    </row>
    <row r="3797">
      <c r="A3797" s="1">
        <v>3.0</v>
      </c>
      <c r="B3797" s="1" t="s">
        <v>3785</v>
      </c>
      <c r="C3797" t="str">
        <f>IFERROR(__xludf.DUMMYFUNCTION("GOOGLETRANSLATE(B3797, ""zh"", ""en"")"),"The title is very thin, not feel like looking at the signs are genuine")</f>
        <v>The title is very thin, not feel like looking at the signs are genuine</v>
      </c>
    </row>
    <row r="3798">
      <c r="A3798" s="1">
        <v>1.0</v>
      </c>
      <c r="B3798" s="1" t="s">
        <v>3786</v>
      </c>
      <c r="C3798" t="str">
        <f>IFERROR(__xludf.DUMMYFUNCTION("GOOGLETRANSLATE(B3798, ""zh"", ""en"")"),"Leaking spent some time on the deformation of rubber gasket, and severe water do not know why")</f>
        <v>Leaking spent some time on the deformation of rubber gasket, and severe water do not know why</v>
      </c>
    </row>
    <row r="3799">
      <c r="A3799" s="1">
        <v>1.0</v>
      </c>
      <c r="B3799" s="1" t="s">
        <v>3787</v>
      </c>
      <c r="C3799" t="str">
        <f>IFERROR(__xludf.DUMMYFUNCTION("GOOGLETRANSLATE(B3799, ""zh"", ""en"")"),"Always wrong clothes rather long, chest logo is not the same color with the picture, bought a lot of pieces are like this, there is no picture styles do not buy, but also hung")</f>
        <v>Always wrong clothes rather long, chest logo is not the same color with the picture, bought a lot of pieces are like this, there is no picture styles do not buy, but also hung</v>
      </c>
    </row>
    <row r="3800">
      <c r="A3800" s="1">
        <v>4.0</v>
      </c>
      <c r="B3800" s="1" t="s">
        <v>3788</v>
      </c>
      <c r="C3800" t="str">
        <f>IFERROR(__xludf.DUMMYFUNCTION("GOOGLETRANSLATE(B3800, ""zh"", ""en"")"),"Too much, too large for 180,190 pounds, 220 pounds no problem too wide, too cumbersome returnable")</f>
        <v>Too much, too large for 180,190 pounds, 220 pounds no problem too wide, too cumbersome returnable</v>
      </c>
    </row>
    <row r="3801">
      <c r="A3801" s="1">
        <v>4.0</v>
      </c>
      <c r="B3801" s="1" t="s">
        <v>3789</v>
      </c>
      <c r="C3801" t="str">
        <f>IFERROR(__xludf.DUMMYFUNCTION("GOOGLETRANSLATE(B3801, ""zh"", ""en"")"),"Probably because I'm tall arch pad a thin insole slightly crowded work what is good probably because I pad a thin insole high arch a little crowded when everyday wear very comfortable quite like this brand and other activities to buy two pairs for the wea"&amp;"r of the Amazon a good deal")</f>
        <v>Probably because I'm tall arch pad a thin insole slightly crowded work what is good probably because I pad a thin insole high arch a little crowded when everyday wear very comfortable quite like this brand and other activities to buy two pairs for the wear of the Amazon a good deal</v>
      </c>
    </row>
    <row r="3802">
      <c r="A3802" s="1">
        <v>4.0</v>
      </c>
      <c r="B3802" s="1" t="s">
        <v>3790</v>
      </c>
      <c r="C3802" t="str">
        <f>IFERROR(__xludf.DUMMYFUNCTION("GOOGLETRANSLATE(B3802, ""zh"", ""en"")"),"High arches were careful to buy! Starting 7 days from order hand, the German shipping. Sure enough, comments and said the same, high arches would be very crowded. My feet are normal, a little difficult to go into, but go into the fine. But a little higher"&amp;" will be crowded. After wearing the effect is good, a little handsome.")</f>
        <v>High arches were careful to buy! Starting 7 days from order hand, the German shipping. Sure enough, comments and said the same, high arches would be very crowded. My feet are normal, a little difficult to go into, but go into the fine. But a little higher will be crowded. After wearing the effect is good, a little handsome.</v>
      </c>
    </row>
    <row r="3803">
      <c r="A3803" s="1">
        <v>4.0</v>
      </c>
      <c r="B3803" s="1" t="s">
        <v>3791</v>
      </c>
      <c r="C3803" t="str">
        <f>IFERROR(__xludf.DUMMYFUNCTION("GOOGLETRANSLATE(B3803, ""zh"", ""en"")"),"Some thin pants and large I 170cm, 76kg. Sea Amoy experience to know before I buy s code, but this is still too big pants, but also some a little longer. Looser pants, cuffs not very tight kind. Cloth worn like a feeling of hemp, I feel the price is quite"&amp;" satisfactory.")</f>
        <v>Some thin pants and large I 170cm, 76kg. Sea Amoy experience to know before I buy s code, but this is still too big pants, but also some a little longer. Looser pants, cuffs not very tight kind. Cloth worn like a feeling of hemp, I feel the price is quite satisfactory.</v>
      </c>
    </row>
    <row r="3804">
      <c r="A3804" s="1">
        <v>4.0</v>
      </c>
      <c r="B3804" s="1" t="s">
        <v>3792</v>
      </c>
      <c r="C3804" t="str">
        <f>IFERROR(__xludf.DUMMYFUNCTION("GOOGLETRANSLATE(B3804, ""zh"", ""en"")"),"And not with a bottle bought together, not by")</f>
        <v>And not with a bottle bought together, not by</v>
      </c>
    </row>
    <row r="3805">
      <c r="A3805" s="1">
        <v>5.0</v>
      </c>
      <c r="B3805" s="1" t="s">
        <v>3793</v>
      </c>
      <c r="C3805" t="str">
        <f>IFERROR(__xludf.DUMMYFUNCTION("GOOGLETRANSLATE(B3805, ""zh"", ""en"")"),"Lee this pants with elastic, fabric is very comfortable, suitable for outdoor sports, give praise")</f>
        <v>Lee this pants with elastic, fabric is very comfortable, suitable for outdoor sports, give praise</v>
      </c>
    </row>
    <row r="3806">
      <c r="A3806" s="1">
        <v>5.0</v>
      </c>
      <c r="B3806" s="1" t="s">
        <v>3794</v>
      </c>
      <c r="C3806" t="str">
        <f>IFERROR(__xludf.DUMMYFUNCTION("GOOGLETRANSLATE(B3806, ""zh"", ""en"")"),"Yes softer fine.")</f>
        <v>Yes softer fine.</v>
      </c>
    </row>
    <row r="3807">
      <c r="A3807" s="1">
        <v>5.0</v>
      </c>
      <c r="B3807" s="1" t="s">
        <v>3795</v>
      </c>
      <c r="C3807" t="str">
        <f>IFERROR(__xludf.DUMMYFUNCTION("GOOGLETRANSLATE(B3807, ""zh"", ""en"")"),"Something I feel very good, but I was very satisfied with this looser cap")</f>
        <v>Something I feel very good, but I was very satisfied with this looser cap</v>
      </c>
    </row>
    <row r="3808">
      <c r="A3808" s="1">
        <v>5.0</v>
      </c>
      <c r="B3808" s="1" t="s">
        <v>3796</v>
      </c>
      <c r="C3808" t="str">
        <f>IFERROR(__xludf.DUMMYFUNCTION("GOOGLETRANSLATE(B3808, ""zh"", ""en"")"),"Fabric comfortable, simple and elegant models. 172/73 has the stomach, shoulder and chest in numbers are very fit, may be bottoming wear, summer wear if you need to buy a bigger size, otherwise the sweat will close to the skin. Personally I feel that this"&amp;" T-shirt size closer to the standard of Asians, did not afraid to buy a big feeling.")</f>
        <v>Fabric comfortable, simple and elegant models. 172/73 has the stomach, shoulder and chest in numbers are very fit, may be bottoming wear, summer wear if you need to buy a bigger size, otherwise the sweat will close to the skin. Personally I feel that this T-shirt size closer to the standard of Asians, did not afraid to buy a big feeling.</v>
      </c>
    </row>
    <row r="3809">
      <c r="A3809" s="1">
        <v>5.0</v>
      </c>
      <c r="B3809" s="1" t="s">
        <v>3797</v>
      </c>
      <c r="C3809" t="str">
        <f>IFERROR(__xludf.DUMMYFUNCTION("GOOGLETRANSLATE(B3809, ""zh"", ""en"")"),"Without a shower hose without hose, please pay attention to buy")</f>
        <v>Without a shower hose without hose, please pay attention to buy</v>
      </c>
    </row>
    <row r="3810">
      <c r="A3810" s="1">
        <v>5.0</v>
      </c>
      <c r="B3810" s="1" t="s">
        <v>3798</v>
      </c>
      <c r="C3810" t="str">
        <f>IFERROR(__xludf.DUMMYFUNCTION("GOOGLETRANSLATE(B3810, ""zh"", ""en"")"),"Cute straw cup appearance of good quality, good grip children, as well as replace straw, worth buying")</f>
        <v>Cute straw cup appearance of good quality, good grip children, as well as replace straw, worth buying</v>
      </c>
    </row>
    <row r="3811">
      <c r="A3811" s="1">
        <v>5.0</v>
      </c>
      <c r="B3811" s="1" t="s">
        <v>3799</v>
      </c>
      <c r="C3811" t="str">
        <f>IFERROR(__xludf.DUMMYFUNCTION("GOOGLETRANSLATE(B3811, ""zh"", ""en"")"),"Overall to praise it 16 orders, 18 delivery, today received it fairly quickly. The package also can be, there are air-cushioning pockets. Watch the appearance of no problem, just need to adjust the next time.")</f>
        <v>Overall to praise it 16 orders, 18 delivery, today received it fairly quickly. The package also can be, there are air-cushioning pockets. Watch the appearance of no problem, just need to adjust the next time.</v>
      </c>
    </row>
    <row r="3812">
      <c r="A3812" s="1">
        <v>5.0</v>
      </c>
      <c r="B3812" s="1" t="s">
        <v>3800</v>
      </c>
      <c r="C3812" t="str">
        <f>IFERROR(__xludf.DUMMYFUNCTION("GOOGLETRANSLATE(B3812, ""zh"", ""en"")"),"Style classic style I liked it, the price is very affordable, is the smallest only 36 yards, if there are 35 more appropriate.")</f>
        <v>Style classic style I liked it, the price is very affordable, is the smallest only 36 yards, if there are 35 more appropriate.</v>
      </c>
    </row>
    <row r="3813">
      <c r="A3813" s="1">
        <v>5.0</v>
      </c>
      <c r="B3813" s="1" t="s">
        <v>3801</v>
      </c>
      <c r="C3813" t="str">
        <f>IFERROR(__xludf.DUMMYFUNCTION("GOOGLETRANSLATE(B3813, ""zh"", ""en"")"),"Product quality is good, the right size to judge from the material should be genuine, definitely better than those brands of China-made materials. I 173, weight 65kg, S code just wear. This section belongs to the thin section, should be more suitable for "&amp;"spring and autumn wear.")</f>
        <v>Product quality is good, the right size to judge from the material should be genuine, definitely better than those brands of China-made materials. I 173, weight 65kg, S code just wear. This section belongs to the thin section, should be more suitable for spring and autumn wear.</v>
      </c>
    </row>
    <row r="3814">
      <c r="A3814" s="1">
        <v>5.0</v>
      </c>
      <c r="B3814" s="1" t="s">
        <v>3802</v>
      </c>
      <c r="C3814" t="str">
        <f>IFERROR(__xludf.DUMMYFUNCTION("GOOGLETRANSLATE(B3814, ""zh"", ""en"")"),"Good sound quality headphones Sony Dafa is good! Good sound good buy lots of Sony headphones")</f>
        <v>Good sound quality headphones Sony Dafa is good! Good sound good buy lots of Sony headphones</v>
      </c>
    </row>
    <row r="3815">
      <c r="A3815" s="1">
        <v>5.0</v>
      </c>
      <c r="B3815" s="1" t="s">
        <v>3803</v>
      </c>
      <c r="C3815" t="str">
        <f>IFERROR(__xludf.DUMMYFUNCTION("GOOGLETRANSLATE(B3815, ""zh"", ""en"")"),"Perfect coffee machine from the exterior to the function is perfect, easy to use, the coffee produced is also ok, the value of the home Member free shipping")</f>
        <v>Perfect coffee machine from the exterior to the function is perfect, easy to use, the coffee produced is also ok, the value of the home Member free shipping</v>
      </c>
    </row>
    <row r="3816">
      <c r="A3816" s="1">
        <v>5.0</v>
      </c>
      <c r="B3816" s="1" t="s">
        <v>3804</v>
      </c>
      <c r="C3816" t="str">
        <f>IFERROR(__xludf.DUMMYFUNCTION("GOOGLETRANSLATE(B3816, ""zh"", ""en"")"),"Cheap very fit, the price to buy is still very suitable clark")</f>
        <v>Cheap very fit, the price to buy is still very suitable clark</v>
      </c>
    </row>
    <row r="3817">
      <c r="A3817" s="1">
        <v>5.0</v>
      </c>
      <c r="B3817" s="1" t="s">
        <v>3805</v>
      </c>
      <c r="C3817" t="str">
        <f>IFERROR(__xludf.DUMMYFUNCTION("GOOGLETRANSLATE(B3817, ""zh"", ""en"")"),"Business travel essential travel essential travel, head slightly larger, but in the acceptable range")</f>
        <v>Business travel essential travel essential travel, head slightly larger, but in the acceptable range</v>
      </c>
    </row>
    <row r="3818">
      <c r="A3818" s="1">
        <v>5.0</v>
      </c>
      <c r="B3818" s="1" t="s">
        <v>3806</v>
      </c>
      <c r="C3818" t="str">
        <f>IFERROR(__xludf.DUMMYFUNCTION("GOOGLETRANSLATE(B3818, ""zh"", ""en"")"),"Five Star is very good")</f>
        <v>Five Star is very good</v>
      </c>
    </row>
    <row r="3819">
      <c r="A3819" s="1">
        <v>5.0</v>
      </c>
      <c r="B3819" s="1" t="s">
        <v>3807</v>
      </c>
      <c r="C3819" t="str">
        <f>IFERROR(__xludf.DUMMYFUNCTION("GOOGLETRANSLATE(B3819, ""zh"", ""en"")"),"Yan high value, is using the right size, not screw down a bit leaky, but the cup is like, the right size, carry very convenient!")</f>
        <v>Yan high value, is using the right size, not screw down a bit leaky, but the cup is like, the right size, carry very convenient!</v>
      </c>
    </row>
    <row r="3820">
      <c r="A3820" s="1">
        <v>5.0</v>
      </c>
      <c r="B3820" s="1" t="s">
        <v>3808</v>
      </c>
      <c r="C3820" t="str">
        <f>IFERROR(__xludf.DUMMYFUNCTION("GOOGLETRANSLATE(B3820, ""zh"", ""en"")"),"Good, cheaper than the store")</f>
        <v>Good, cheaper than the store</v>
      </c>
    </row>
    <row r="3821">
      <c r="A3821" s="1">
        <v>5.0</v>
      </c>
      <c r="B3821" s="1" t="s">
        <v>3809</v>
      </c>
      <c r="C3821" t="str">
        <f>IFERROR(__xludf.DUMMYFUNCTION("GOOGLETRANSLATE(B3821, ""zh"", ""en"")"),"Good socks very comfortable, fit, fast")</f>
        <v>Good socks very comfortable, fit, fast</v>
      </c>
    </row>
    <row r="3822">
      <c r="A3822" s="1">
        <v>5.0</v>
      </c>
      <c r="B3822" s="1" t="s">
        <v>3810</v>
      </c>
      <c r="C3822" t="str">
        <f>IFERROR(__xludf.DUMMYFUNCTION("GOOGLETRANSLATE(B3822, ""zh"", ""en"")"),"AIU good price to buy, the price is particularly good, quality Ye Hao pen.")</f>
        <v>AIU good price to buy, the price is particularly good, quality Ye Hao pen.</v>
      </c>
    </row>
    <row r="3823">
      <c r="A3823" s="1">
        <v>5.0</v>
      </c>
      <c r="B3823" s="1" t="s">
        <v>2253</v>
      </c>
      <c r="C3823" t="str">
        <f>IFERROR(__xludf.DUMMYFUNCTION("GOOGLETRANSLATE(B3823, ""zh"", ""en"")"),"Very Good Very Good")</f>
        <v>Very Good Very Good</v>
      </c>
    </row>
    <row r="3824">
      <c r="A3824" s="1">
        <v>5.0</v>
      </c>
      <c r="B3824" s="1" t="s">
        <v>3811</v>
      </c>
      <c r="C3824" t="str">
        <f>IFERROR(__xludf.DUMMYFUNCTION("GOOGLETRANSLATE(B3824, ""zh"", ""en"")"),"Praise good, very in line with expectations")</f>
        <v>Praise good, very in line with expectations</v>
      </c>
    </row>
    <row r="3825">
      <c r="A3825" s="1">
        <v>5.0</v>
      </c>
      <c r="B3825" s="1" t="s">
        <v>3812</v>
      </c>
      <c r="C3825" t="str">
        <f>IFERROR(__xludf.DUMMYFUNCTION("GOOGLETRANSLATE(B3825, ""zh"", ""en"")"),"Very good very good, the children now prefer to brush your teeth, the price is much cheaper than the domestic")</f>
        <v>Very good very good, the children now prefer to brush your teeth, the price is much cheaper than the domestic</v>
      </c>
    </row>
    <row r="3826">
      <c r="A3826" s="1">
        <v>5.0</v>
      </c>
      <c r="B3826" s="1" t="s">
        <v>3813</v>
      </c>
      <c r="C3826" t="str">
        <f>IFERROR(__xludf.DUMMYFUNCTION("GOOGLETRANSLATE(B3826, ""zh"", ""en"")"),"Good genuine, express soon, very satisfied with my wife")</f>
        <v>Good genuine, express soon, very satisfied with my wife</v>
      </c>
    </row>
    <row r="3827">
      <c r="A3827" s="1">
        <v>2.0</v>
      </c>
      <c r="B3827" s="1" t="s">
        <v>3814</v>
      </c>
      <c r="C3827" t="str">
        <f>IFERROR(__xludf.DUMMYFUNCTION("GOOGLETRANSLATE(B3827, ""zh"", ""en"")"),"No use, is too narrow for basic flat chest child wear")</f>
        <v>No use, is too narrow for basic flat chest child wear</v>
      </c>
    </row>
    <row r="3828">
      <c r="A3828" s="1">
        <v>3.0</v>
      </c>
      <c r="B3828" s="1" t="s">
        <v>3815</v>
      </c>
      <c r="C3828" t="str">
        <f>IFERROR(__xludf.DUMMYFUNCTION("GOOGLETRANSLATE(B3828, ""zh"", ""en"")"),"Material hard, have a sense of cheap cotton fabrics, Indonesia works. I am feeling a little stiff. Wear for all occasions.")</f>
        <v>Material hard, have a sense of cheap cotton fabrics, Indonesia works. I am feeling a little stiff. Wear for all occasions.</v>
      </c>
    </row>
    <row r="3829">
      <c r="A3829" s="1">
        <v>3.0</v>
      </c>
      <c r="B3829" s="1" t="s">
        <v>3816</v>
      </c>
      <c r="C3829" t="str">
        <f>IFERROR(__xludf.DUMMYFUNCTION("GOOGLETRANSLATE(B3829, ""zh"", ""en"")"),"After the made in china got today, unpacked: manufacture of non-European original, 100% Chinese.")</f>
        <v>After the made in china got today, unpacked: manufacture of non-European original, 100% Chinese.</v>
      </c>
    </row>
    <row r="3830">
      <c r="A3830" s="1">
        <v>1.0</v>
      </c>
      <c r="B3830" s="1" t="s">
        <v>3817</v>
      </c>
      <c r="C3830" t="str">
        <f>IFERROR(__xludf.DUMMYFUNCTION("GOOGLETRANSLATE(B3830, ""zh"", ""en"")"),"Too bad for the first time to the negative feedback shelf life, the product of Advent, 19 November expired, we do not buy, who to buy unlucky")</f>
        <v>Too bad for the first time to the negative feedback shelf life, the product of Advent, 19 November expired, we do not buy, who to buy unlucky</v>
      </c>
    </row>
    <row r="3831">
      <c r="A3831" s="1">
        <v>1.0</v>
      </c>
      <c r="B3831" s="1" t="s">
        <v>3818</v>
      </c>
      <c r="C3831" t="str">
        <f>IFERROR(__xludf.DUMMYFUNCTION("GOOGLETRANSLATE(B3831, ""zh"", ""en"")"),"Bad lot sucks collar wrinkled in a circle, very wide cuffs which")</f>
        <v>Bad lot sucks collar wrinkled in a circle, very wide cuffs which</v>
      </c>
    </row>
    <row r="3832">
      <c r="A3832" s="1">
        <v>1.0</v>
      </c>
      <c r="B3832" s="1" t="s">
        <v>3819</v>
      </c>
      <c r="C3832" t="str">
        <f>IFERROR(__xludf.DUMMYFUNCTION("GOOGLETRANSLATE(B3832, ""zh"", ""en"")"),"There are a steal for the split-off seal a pack, changed a cut has been the subject of a bigger wash T-shirt")</f>
        <v>There are a steal for the split-off seal a pack, changed a cut has been the subject of a bigger wash T-shirt</v>
      </c>
    </row>
    <row r="3833">
      <c r="A3833" s="1">
        <v>4.0</v>
      </c>
      <c r="B3833" s="1" t="s">
        <v>3820</v>
      </c>
      <c r="C3833" t="str">
        <f>IFERROR(__xludf.DUMMYFUNCTION("GOOGLETRANSLATE(B3833, ""zh"", ""en"")"),"Head circumference 59 a little tight in the summer just to buy a belt, is no head code selection, 59 wearing 58 a little tight. Also brim is relatively small, so there are difficulties, I bought a dress handsome, advised to carefully consider a friend bou"&amp;"ght the shade")</f>
        <v>Head circumference 59 a little tight in the summer just to buy a belt, is no head code selection, 59 wearing 58 a little tight. Also brim is relatively small, so there are difficulties, I bought a dress handsome, advised to carefully consider a friend bought the shade</v>
      </c>
    </row>
    <row r="3834">
      <c r="A3834" s="1">
        <v>4.0</v>
      </c>
      <c r="B3834" s="1" t="s">
        <v>3821</v>
      </c>
      <c r="C3834" t="str">
        <f>IFERROR(__xludf.DUMMYFUNCTION("GOOGLETRANSLATE(B3834, ""zh"", ""en"")"),"Before buying watches the bottom right sign the bottom right there is a small sign, this is not, and why? ? ?")</f>
        <v>Before buying watches the bottom right sign the bottom right there is a small sign, this is not, and why? ? ?</v>
      </c>
    </row>
    <row r="3835">
      <c r="A3835" s="1">
        <v>4.0</v>
      </c>
      <c r="B3835" s="1" t="s">
        <v>3822</v>
      </c>
      <c r="C3835" t="str">
        <f>IFERROR(__xludf.DUMMYFUNCTION("GOOGLETRANSLATE(B3835, ""zh"", ""en"")"),"T-shirt dress more relaxed, the fabric is also good. When underwear and other cold weather wear it")</f>
        <v>T-shirt dress more relaxed, the fabric is also good. When underwear and other cold weather wear it</v>
      </c>
    </row>
    <row r="3836">
      <c r="A3836" s="1">
        <v>4.0</v>
      </c>
      <c r="B3836" s="1" t="s">
        <v>3823</v>
      </c>
      <c r="C3836" t="str">
        <f>IFERROR(__xludf.DUMMYFUNCTION("GOOGLETRANSLATE(B3836, ""zh"", ""en"")"),"Dana just classic classic handsome Mountains, shoes classic handsome. Leather, V bottom, gtx, seam so powerful noise immunity performance.")</f>
        <v>Dana just classic classic handsome Mountains, shoes classic handsome. Leather, V bottom, gtx, seam so powerful noise immunity performance.</v>
      </c>
    </row>
    <row r="3837">
      <c r="A3837" s="1">
        <v>4.0</v>
      </c>
      <c r="B3837" s="1" t="s">
        <v>3824</v>
      </c>
      <c r="C3837" t="str">
        <f>IFERROR(__xludf.DUMMYFUNCTION("GOOGLETRANSLATE(B3837, ""zh"", ""en"")"),"Slightly larger foot 26.5cm 8-8.5 yards wearing very comfortable slightly larger than the hundreds of thousands of Taobao, here more cost-effective")</f>
        <v>Slightly larger foot 26.5cm 8-8.5 yards wearing very comfortable slightly larger than the hundreds of thousands of Taobao, here more cost-effective</v>
      </c>
    </row>
    <row r="3838">
      <c r="A3838" s="1">
        <v>5.0</v>
      </c>
      <c r="B3838" s="1" t="s">
        <v>3825</v>
      </c>
      <c r="C3838" t="str">
        <f>IFERROR(__xludf.DUMMYFUNCTION("GOOGLETRANSLATE(B3838, ""zh"", ""en"")"),"Very good lightweight portable")</f>
        <v>Very good lightweight portable</v>
      </c>
    </row>
    <row r="3839">
      <c r="A3839" s="1">
        <v>5.0</v>
      </c>
      <c r="B3839" s="1" t="s">
        <v>3826</v>
      </c>
      <c r="C3839" t="str">
        <f>IFERROR(__xludf.DUMMYFUNCTION("GOOGLETRANSLATE(B3839, ""zh"", ""en"")"),"The bank has also considered a relatively comfortable enough a little L")</f>
        <v>The bank has also considered a relatively comfortable enough a little L</v>
      </c>
    </row>
    <row r="3840">
      <c r="A3840" s="1">
        <v>5.0</v>
      </c>
      <c r="B3840" s="1" t="s">
        <v>2612</v>
      </c>
      <c r="C3840" t="str">
        <f>IFERROR(__xludf.DUMMYFUNCTION("GOOGLETRANSLATE(B3840, ""zh"", ""en"")"),"Clothes fit, like")</f>
        <v>Clothes fit, like</v>
      </c>
    </row>
    <row r="3841">
      <c r="A3841" s="1">
        <v>5.0</v>
      </c>
      <c r="B3841" s="1" t="s">
        <v>3827</v>
      </c>
      <c r="C3841" t="str">
        <f>IFERROR(__xludf.DUMMYFUNCTION("GOOGLETRANSLATE(B3841, ""zh"", ""en"")"),"Watches can be imported, the Japanese brand is good, even better than the domestic watch, with hands very comfortable, very Le hand")</f>
        <v>Watches can be imported, the Japanese brand is good, even better than the domestic watch, with hands very comfortable, very Le hand</v>
      </c>
    </row>
    <row r="3842">
      <c r="A3842" s="1">
        <v>5.0</v>
      </c>
      <c r="B3842" s="1" t="s">
        <v>3828</v>
      </c>
      <c r="C3842" t="str">
        <f>IFERROR(__xludf.DUMMYFUNCTION("GOOGLETRANSLATE(B3842, ""zh"", ""en"")"),"Perfectly good material, the right size, do not even cut trousers")</f>
        <v>Perfectly good material, the right size, do not even cut trousers</v>
      </c>
    </row>
    <row r="3843">
      <c r="A3843" s="1">
        <v>5.0</v>
      </c>
      <c r="B3843" s="1" t="s">
        <v>3829</v>
      </c>
      <c r="C3843" t="str">
        <f>IFERROR(__xludf.DUMMYFUNCTION("GOOGLETRANSLATE(B3843, ""zh"", ""en"")"),"Install the master is also very like ants in learning master Anju Cui. Skilled, first-class service, good attitude")</f>
        <v>Install the master is also very like ants in learning master Anju Cui. Skilled, first-class service, good attitude</v>
      </c>
    </row>
    <row r="3844">
      <c r="A3844" s="1">
        <v>5.0</v>
      </c>
      <c r="B3844" s="1" t="s">
        <v>3830</v>
      </c>
      <c r="C3844" t="str">
        <f>IFERROR(__xludf.DUMMYFUNCTION("GOOGLETRANSLATE(B3844, ""zh"", ""en"")"),"Good sound, affordable headset. Sound quality is very good, very balanced tri-band, Naiting, nice, omnivorous. And hd25 rival. As it is the professional headset, wearing some tight, ear a little small.")</f>
        <v>Good sound, affordable headset. Sound quality is very good, very balanced tri-band, Naiting, nice, omnivorous. And hd25 rival. As it is the professional headset, wearing some tight, ear a little small.</v>
      </c>
    </row>
    <row r="3845">
      <c r="A3845" s="1">
        <v>5.0</v>
      </c>
      <c r="B3845" s="1" t="s">
        <v>3831</v>
      </c>
      <c r="C3845" t="str">
        <f>IFERROR(__xludf.DUMMYFUNCTION("GOOGLETRANSLATE(B3845, ""zh"", ""en"")"),"Good material, Asia heavier than buy, recommend a smaller size. European code, Asians wear slightly larger, next time to buy a smaller size. Material is very good, cost-effective, genuine. This is too large, the hem length in clothes.")</f>
        <v>Good material, Asia heavier than buy, recommend a smaller size. European code, Asians wear slightly larger, next time to buy a smaller size. Material is very good, cost-effective, genuine. This is too large, the hem length in clothes.</v>
      </c>
    </row>
    <row r="3846">
      <c r="A3846" s="1">
        <v>5.0</v>
      </c>
      <c r="B3846" s="1" t="s">
        <v>3832</v>
      </c>
      <c r="C3846" t="str">
        <f>IFERROR(__xludf.DUMMYFUNCTION("GOOGLETRANSLATE(B3846, ""zh"", ""en"")"),"Very easy to use easy to use, very easy to use, very clean brush")</f>
        <v>Very easy to use easy to use, very easy to use, very clean brush</v>
      </c>
    </row>
    <row r="3847">
      <c r="A3847" s="1">
        <v>5.0</v>
      </c>
      <c r="B3847" s="1" t="s">
        <v>3833</v>
      </c>
      <c r="C3847" t="str">
        <f>IFERROR(__xludf.DUMMYFUNCTION("GOOGLETRANSLATE(B3847, ""zh"", ""en"")"),"But quick-drying material Performance thicker, though not UA's top series, but the material and workmanship is very good, very suitable for everyday wear. Slightly thicker but quick-drying material.")</f>
        <v>But quick-drying material Performance thicker, though not UA's top series, but the material and workmanship is very good, very suitable for everyday wear. Slightly thicker but quick-drying material.</v>
      </c>
    </row>
    <row r="3848">
      <c r="A3848" s="1">
        <v>5.0</v>
      </c>
      <c r="B3848" s="1" t="s">
        <v>3834</v>
      </c>
      <c r="C3848" t="str">
        <f>IFERROR(__xludf.DUMMYFUNCTION("GOOGLETRANSLATE(B3848, ""zh"", ""en"")"),"That's great! ! Buy these pants to participate in Tengchong Gaoligong run cross country, but to buy time relatively late, I thought before the game certainly can not get, which I do not know, just before departure received a package, No. 9 wearing these p"&amp;"ants ran 55 kilometers, 12 of the women had, the whole race legs and waist were no obvious discomfort, feel like, and their integration, is really a powerful compression pants! Praise praise praise! ! !")</f>
        <v>That's great! ! Buy these pants to participate in Tengchong Gaoligong run cross country, but to buy time relatively late, I thought before the game certainly can not get, which I do not know, just before departure received a package, No. 9 wearing these pants ran 55 kilometers, 12 of the women had, the whole race legs and waist were no obvious discomfort, feel like, and their integration, is really a powerful compression pants! Praise praise praise! ! !</v>
      </c>
    </row>
    <row r="3849">
      <c r="A3849" s="1">
        <v>5.0</v>
      </c>
      <c r="B3849" s="1" t="s">
        <v>3835</v>
      </c>
      <c r="C3849" t="str">
        <f>IFERROR(__xludf.DUMMYFUNCTION("GOOGLETRANSLATE(B3849, ""zh"", ""en"")"),"Easy to use inexpensive good, perfectly matching 790cc, original blade officially retired after serving two years")</f>
        <v>Easy to use inexpensive good, perfectly matching 790cc, original blade officially retired after serving two years</v>
      </c>
    </row>
    <row r="3850">
      <c r="A3850" s="1">
        <v>5.0</v>
      </c>
      <c r="B3850" s="1" t="s">
        <v>3836</v>
      </c>
      <c r="C3850" t="str">
        <f>IFERROR(__xludf.DUMMYFUNCTION("GOOGLETRANSLATE(B3850, ""zh"", ""en"")"),"Love is praise, love, loved")</f>
        <v>Love is praise, love, loved</v>
      </c>
    </row>
    <row r="3851">
      <c r="A3851" s="1">
        <v>5.0</v>
      </c>
      <c r="B3851" s="1" t="s">
        <v>3837</v>
      </c>
      <c r="C3851" t="str">
        <f>IFERROR(__xludf.DUMMYFUNCTION("GOOGLETRANSLATE(B3851, ""zh"", ""en"")"),"Pants quality line weight 128, height 170, purchased W31L30, a little bit big, winter wear can also be right.")</f>
        <v>Pants quality line weight 128, height 170, purchased W31L30, a little bit big, winter wear can also be right.</v>
      </c>
    </row>
    <row r="3852">
      <c r="A3852" s="1">
        <v>5.0</v>
      </c>
      <c r="B3852" s="1" t="s">
        <v>3838</v>
      </c>
      <c r="C3852" t="str">
        <f>IFERROR(__xludf.DUMMYFUNCTION("GOOGLETRANSLATE(B3852, ""zh"", ""en"")"),"Essential health care products, every day a")</f>
        <v>Essential health care products, every day a</v>
      </c>
    </row>
    <row r="3853">
      <c r="A3853" s="1">
        <v>5.0</v>
      </c>
      <c r="B3853" s="1" t="s">
        <v>3839</v>
      </c>
      <c r="C3853" t="str">
        <f>IFERROR(__xludf.DUMMYFUNCTION("GOOGLETRANSLATE(B3853, ""zh"", ""en"")"),"Good size standards, but the calf is still relatively loose, can not and Korean ratio. Chase assessment, wearing pants a little larger, it feels bigger one yards, not the water.")</f>
        <v>Good size standards, but the calf is still relatively loose, can not and Korean ratio. Chase assessment, wearing pants a little larger, it feels bigger one yards, not the water.</v>
      </c>
    </row>
    <row r="3854">
      <c r="A3854" s="1">
        <v>5.0</v>
      </c>
      <c r="B3854" s="1" t="s">
        <v>3840</v>
      </c>
      <c r="C3854" t="str">
        <f>IFERROR(__xludf.DUMMYFUNCTION("GOOGLETRANSLATE(B3854, ""zh"", ""en"")"),"Like the price is good, this brand of underwear is good, I liked it")</f>
        <v>Like the price is good, this brand of underwear is good, I liked it</v>
      </c>
    </row>
    <row r="3855">
      <c r="A3855" s="1">
        <v>5.0</v>
      </c>
      <c r="B3855" s="1" t="s">
        <v>3841</v>
      </c>
      <c r="C3855" t="str">
        <f>IFERROR(__xludf.DUMMYFUNCTION("GOOGLETRANSLATE(B3855, ""zh"", ""en"")"),"Bargain price is very good at home two electric toothbrushes are suitable, cost-effective price")</f>
        <v>Bargain price is very good at home two electric toothbrushes are suitable, cost-effective price</v>
      </c>
    </row>
    <row r="3856">
      <c r="A3856" s="1">
        <v>5.0</v>
      </c>
      <c r="B3856" s="1" t="s">
        <v>3842</v>
      </c>
      <c r="C3856" t="str">
        <f>IFERROR(__xludf.DUMMYFUNCTION("GOOGLETRANSLATE(B3856, ""zh"", ""en"")"),"Something good, that is a little less expensive. it is good! Something good, that is a little less expensive.")</f>
        <v>Something good, that is a little less expensive. it is good! Something good, that is a little less expensive.</v>
      </c>
    </row>
    <row r="3857">
      <c r="A3857" s="1">
        <v>5.0</v>
      </c>
      <c r="B3857" s="1" t="s">
        <v>3843</v>
      </c>
      <c r="C3857" t="str">
        <f>IFERROR(__xludf.DUMMYFUNCTION("GOOGLETRANSLATE(B3857, ""zh"", ""en"")"),"Very comfortable ~ ~ ~ very comfortable, size is too large a number, but fortunately, the price Well, much cheaper than domestic, a week received the goods, Amazon purchase more and more overseas to force!")</f>
        <v>Very comfortable ~ ~ ~ very comfortable, size is too large a number, but fortunately, the price Well, much cheaper than domestic, a week received the goods, Amazon purchase more and more overseas to force!</v>
      </c>
    </row>
    <row r="3858">
      <c r="A3858" s="1">
        <v>5.0</v>
      </c>
      <c r="B3858" s="1" t="s">
        <v>3844</v>
      </c>
      <c r="C3858" t="str">
        <f>IFERROR(__xludf.DUMMYFUNCTION("GOOGLETRANSLATE(B3858, ""zh"", ""en"")"),"It looks pretty good! It looks good! Possible")</f>
        <v>It looks pretty good! It looks good! Possible</v>
      </c>
    </row>
    <row r="3859">
      <c r="A3859" s="1">
        <v>2.0</v>
      </c>
      <c r="B3859" s="1" t="s">
        <v>3845</v>
      </c>
      <c r="C3859" t="str">
        <f>IFERROR(__xludf.DUMMYFUNCTION("GOOGLETRANSLATE(B3859, ""zh"", ""en"")"),"Look good look good, which is velvet drops, warm")</f>
        <v>Look good look good, which is velvet drops, warm</v>
      </c>
    </row>
    <row r="3860">
      <c r="A3860" s="1">
        <v>3.0</v>
      </c>
      <c r="B3860" s="1" t="s">
        <v>3846</v>
      </c>
      <c r="C3860" t="str">
        <f>IFERROR(__xludf.DUMMYFUNCTION("GOOGLETRANSLATE(B3860, ""zh"", ""en"")"),"This dress length with a width of discord I do not know the evaluation it is too big or too small, 172 to buy s number is too long but it is too small for 175 people to wear around 55kg")</f>
        <v>This dress length with a width of discord I do not know the evaluation it is too big or too small, 172 to buy s number is too long but it is too small for 175 people to wear around 55kg</v>
      </c>
    </row>
    <row r="3861">
      <c r="A3861" s="1">
        <v>3.0</v>
      </c>
      <c r="B3861" s="1" t="s">
        <v>3847</v>
      </c>
      <c r="C3861" t="str">
        <f>IFERROR(__xludf.DUMMYFUNCTION("GOOGLETRANSLATE(B3861, ""zh"", ""en"")"),"Super high price, will buy! Super high price, will buy!")</f>
        <v>Super high price, will buy! Super high price, will buy!</v>
      </c>
    </row>
    <row r="3862">
      <c r="A3862" s="1">
        <v>3.0</v>
      </c>
      <c r="B3862" s="1" t="s">
        <v>3848</v>
      </c>
      <c r="C3862" t="str">
        <f>IFERROR(__xludf.DUMMYFUNCTION("GOOGLETRANSLATE(B3862, ""zh"", ""en"")"),"After such a hand to receive the package, is actually the case, serious doubts are not the way to be transferred packet. How kind of pressure, so it will not be pressed into ...")</f>
        <v>After such a hand to receive the package, is actually the case, serious doubts are not the way to be transferred packet. How kind of pressure, so it will not be pressed into ...</v>
      </c>
    </row>
    <row r="3863">
      <c r="A3863" s="1">
        <v>1.0</v>
      </c>
      <c r="B3863" s="1" t="s">
        <v>3849</v>
      </c>
      <c r="C3863" t="str">
        <f>IFERROR(__xludf.DUMMYFUNCTION("GOOGLETRANSLATE(B3863, ""zh"", ""en"")"),"The quality is too thin and have no value, and almost gauze, bought a lot of pieces, this very disappointing")</f>
        <v>The quality is too thin and have no value, and almost gauze, bought a lot of pieces, this very disappointing</v>
      </c>
    </row>
    <row r="3864">
      <c r="A3864" s="1">
        <v>1.0</v>
      </c>
      <c r="B3864" s="1" t="s">
        <v>3850</v>
      </c>
      <c r="C3864" t="str">
        <f>IFERROR(__xludf.DUMMYFUNCTION("GOOGLETRANSLATE(B3864, ""zh"", ""en"")"),"Already do not recommend buying larger sizes than domestic psychological preparation, according to the size shopping guide product page has bought a smaller size, I did not expect this much larger than domestic size, too fat for too long. Absolutely can n"&amp;"ot wear.")</f>
        <v>Already do not recommend buying larger sizes than domestic psychological preparation, according to the size shopping guide product page has bought a smaller size, I did not expect this much larger than domestic size, too fat for too long. Absolutely can not wear.</v>
      </c>
    </row>
    <row r="3865">
      <c r="A3865" s="1">
        <v>1.0</v>
      </c>
      <c r="B3865" s="1" t="s">
        <v>3851</v>
      </c>
      <c r="C3865" t="str">
        <f>IFERROR(__xludf.DUMMYFUNCTION("GOOGLETRANSLATE(B3865, ""zh"", ""en"")"),"Defective defective!")</f>
        <v>Defective defective!</v>
      </c>
    </row>
    <row r="3866">
      <c r="A3866" s="1">
        <v>4.0</v>
      </c>
      <c r="B3866" s="1" t="s">
        <v>3852</v>
      </c>
      <c r="C3866" t="str">
        <f>IFERROR(__xludf.DUMMYFUNCTION("GOOGLETRANSLATE(B3866, ""zh"", ""en"")"),"Large size shoes are good, but the size is too large, they are unable to buy back overseas, only idle.")</f>
        <v>Large size shoes are good, but the size is too large, they are unable to buy back overseas, only idle.</v>
      </c>
    </row>
    <row r="3867">
      <c r="A3867" s="1">
        <v>4.0</v>
      </c>
      <c r="B3867" s="1" t="s">
        <v>3853</v>
      </c>
      <c r="C3867" t="str">
        <f>IFERROR(__xludf.DUMMYFUNCTION("GOOGLETRANSLATE(B3867, ""zh"", ""en"")"),"Be sure to buy a small one yard. Big point, be sure to buy a small one yard.")</f>
        <v>Be sure to buy a small one yard. Big point, be sure to buy a small one yard.</v>
      </c>
    </row>
    <row r="3868">
      <c r="A3868" s="1">
        <v>4.0</v>
      </c>
      <c r="B3868" s="1" t="s">
        <v>3854</v>
      </c>
      <c r="C3868" t="str">
        <f>IFERROR(__xludf.DUMMYFUNCTION("GOOGLETRANSLATE(B3868, ""zh"", ""en"")"),"it is good. Classic, usually at the time.")</f>
        <v>it is good. Classic, usually at the time.</v>
      </c>
    </row>
    <row r="3869">
      <c r="A3869" s="1">
        <v>4.0</v>
      </c>
      <c r="B3869" s="1" t="s">
        <v>3855</v>
      </c>
      <c r="C3869" t="str">
        <f>IFERROR(__xludf.DUMMYFUNCTION("GOOGLETRANSLATE(B3869, ""zh"", ""en"")"),"Barely okay quality compared to domestic almost, but domestic prices are only three points 1, so the price is still pricey. Packaging, then really rubbish, especially transparent glue on the briefs. Dimensions of a small country compared to about one yard"&amp;".")</f>
        <v>Barely okay quality compared to domestic almost, but domestic prices are only three points 1, so the price is still pricey. Packaging, then really rubbish, especially transparent glue on the briefs. Dimensions of a small country compared to about one yard.</v>
      </c>
    </row>
    <row r="3870">
      <c r="A3870" s="1">
        <v>5.0</v>
      </c>
      <c r="B3870" s="1" t="s">
        <v>3856</v>
      </c>
      <c r="C3870" t="str">
        <f>IFERROR(__xludf.DUMMYFUNCTION("GOOGLETRANSLATE(B3870, ""zh"", ""en"")"),"Good good violence da delivery, quality is very good for the baby to the store, not used.")</f>
        <v>Good good violence da delivery, quality is very good for the baby to the store, not used.</v>
      </c>
    </row>
    <row r="3871">
      <c r="A3871" s="1">
        <v>5.0</v>
      </c>
      <c r="B3871" s="1" t="s">
        <v>3857</v>
      </c>
      <c r="C3871" t="str">
        <f>IFERROR(__xludf.DUMMYFUNCTION("GOOGLETRANSLATE(B3871, ""zh"", ""en"")"),"Very warm and comfortable fit, wear comfortable and warm")</f>
        <v>Very warm and comfortable fit, wear comfortable and warm</v>
      </c>
    </row>
    <row r="3872">
      <c r="A3872" s="1">
        <v>5.0</v>
      </c>
      <c r="B3872" s="1" t="s">
        <v>3858</v>
      </c>
      <c r="C3872" t="str">
        <f>IFERROR(__xludf.DUMMYFUNCTION("GOOGLETRANSLATE(B3872, ""zh"", ""en"")"),"Good quality shoes are very beautiful! Is a little bit hard")</f>
        <v>Good quality shoes are very beautiful! Is a little bit hard</v>
      </c>
    </row>
    <row r="3873">
      <c r="A3873" s="1">
        <v>5.0</v>
      </c>
      <c r="B3873" s="1" t="s">
        <v>3859</v>
      </c>
      <c r="C3873" t="str">
        <f>IFERROR(__xludf.DUMMYFUNCTION("GOOGLETRANSLATE(B3873, ""zh"", ""en"")"),"Too fat, fit, feel good material too long, too fat, fit, too long")</f>
        <v>Too fat, fit, feel good material too long, too fat, fit, too long</v>
      </c>
    </row>
    <row r="3874">
      <c r="A3874" s="1">
        <v>5.0</v>
      </c>
      <c r="B3874" s="1" t="s">
        <v>3860</v>
      </c>
      <c r="C3874" t="str">
        <f>IFERROR(__xludf.DUMMYFUNCTION("GOOGLETRANSLATE(B3874, ""zh"", ""en"")"),"Shoes the right size 5.5UK / 38, the right size, if the comparison fat feet, it is recommended to buy a bigger size. Very much, try a little, has been wearing ECCO shoes, very comfortable")</f>
        <v>Shoes the right size 5.5UK / 38, the right size, if the comparison fat feet, it is recommended to buy a bigger size. Very much, try a little, has been wearing ECCO shoes, very comfortable</v>
      </c>
    </row>
    <row r="3875">
      <c r="A3875" s="1">
        <v>5.0</v>
      </c>
      <c r="B3875" s="1" t="s">
        <v>3861</v>
      </c>
      <c r="C3875" t="str">
        <f>IFERROR(__xludf.DUMMYFUNCTION("GOOGLETRANSLATE(B3875, ""zh"", ""en"")"),"Give love give love to buy buy, I believe the United States and Asia direct mail stuff")</f>
        <v>Give love give love to buy buy, I believe the United States and Asia direct mail stuff</v>
      </c>
    </row>
    <row r="3876">
      <c r="A3876" s="1">
        <v>5.0</v>
      </c>
      <c r="B3876" s="1" t="s">
        <v>3862</v>
      </c>
      <c r="C3876" t="str">
        <f>IFERROR(__xludf.DUMMYFUNCTION("GOOGLETRANSLATE(B3876, ""zh"", ""en"")"),"Perfect replacement is very good, replace the original one, not the black oil leak! The price is very affordable, cheaper than Taobao, hope to build more engaging activities!")</f>
        <v>Perfect replacement is very good, replace the original one, not the black oil leak! The price is very affordable, cheaper than Taobao, hope to build more engaging activities!</v>
      </c>
    </row>
    <row r="3877">
      <c r="A3877" s="1">
        <v>5.0</v>
      </c>
      <c r="B3877" s="1" t="s">
        <v>3863</v>
      </c>
      <c r="C3877" t="str">
        <f>IFERROR(__xludf.DUMMYFUNCTION("GOOGLETRANSLATE(B3877, ""zh"", ""en"")"),"Better insulation capacity, good insulation effect, this is the second purchase.")</f>
        <v>Better insulation capacity, good insulation effect, this is the second purchase.</v>
      </c>
    </row>
    <row r="3878">
      <c r="A3878" s="1">
        <v>5.0</v>
      </c>
      <c r="B3878" s="1" t="s">
        <v>3864</v>
      </c>
      <c r="C3878" t="str">
        <f>IFERROR(__xludf.DUMMYFUNCTION("GOOGLETRANSLATE(B3878, ""zh"", ""en"")"),"Very appropriate size and pleasant shopping store, it is proposed to the store to try on")</f>
        <v>Very appropriate size and pleasant shopping store, it is proposed to the store to try on</v>
      </c>
    </row>
    <row r="3879">
      <c r="A3879" s="1">
        <v>5.0</v>
      </c>
      <c r="B3879" s="1" t="s">
        <v>3865</v>
      </c>
      <c r="C3879" t="str">
        <f>IFERROR(__xludf.DUMMYFUNCTION("GOOGLETRANSLATE(B3879, ""zh"", ""en"")"),"Good quality of good quality, trusted brand, I hope Amazon can sell more goods such brand")</f>
        <v>Good quality of good quality, trusted brand, I hope Amazon can sell more goods such brand</v>
      </c>
    </row>
    <row r="3880">
      <c r="A3880" s="1">
        <v>5.0</v>
      </c>
      <c r="B3880" s="1" t="s">
        <v>3866</v>
      </c>
      <c r="C3880" t="str">
        <f>IFERROR(__xludf.DUMMYFUNCTION("GOOGLETRANSLATE(B3880, ""zh"", ""en"")"),"Good quality and good quality, cheap, fast delivery, the future will buy.")</f>
        <v>Good quality and good quality, cheap, fast delivery, the future will buy.</v>
      </c>
    </row>
    <row r="3881">
      <c r="A3881" s="1">
        <v>5.0</v>
      </c>
      <c r="B3881" s="1" t="s">
        <v>3867</v>
      </c>
      <c r="C3881" t="str">
        <f>IFERROR(__xludf.DUMMYFUNCTION("GOOGLETRANSLATE(B3881, ""zh"", ""en"")"),"Very good friends very satisfied, 42 yards to buy 8⃣️ quite right, pull up when the special offer, good deal, ha ha now doubled up")</f>
        <v>Very good friends very satisfied, 42 yards to buy 8⃣️ quite right, pull up when the special offer, good deal, ha ha now doubled up</v>
      </c>
    </row>
    <row r="3882">
      <c r="A3882" s="1">
        <v>5.0</v>
      </c>
      <c r="B3882" s="1" t="s">
        <v>3868</v>
      </c>
      <c r="C3882" t="str">
        <f>IFERROR(__xludf.DUMMYFUNCTION("GOOGLETRANSLATE(B3882, ""zh"", ""en"")"),"Good quality, my son likes, recommended good quality, very fond of his son, suitable for children")</f>
        <v>Good quality, my son likes, recommended good quality, very fond of his son, suitable for children</v>
      </c>
    </row>
    <row r="3883">
      <c r="A3883" s="1">
        <v>5.0</v>
      </c>
      <c r="B3883" s="1" t="s">
        <v>3869</v>
      </c>
      <c r="C3883" t="str">
        <f>IFERROR(__xludf.DUMMYFUNCTION("GOOGLETRANSLATE(B3883, ""zh"", ""en"")"),"Satisfied with the right size")</f>
        <v>Satisfied with the right size</v>
      </c>
    </row>
    <row r="3884">
      <c r="A3884" s="1">
        <v>5.0</v>
      </c>
      <c r="B3884" s="1" t="s">
        <v>3870</v>
      </c>
      <c r="C3884" t="str">
        <f>IFERROR(__xludf.DUMMYFUNCTION("GOOGLETRANSLATE(B3884, ""zh"", ""en"")"),"I 174/70 great, had a little worried about the size of the problem, try one brought under the number S perfect control inside plus a sweater no problem, high waist design is very spiritual, wearing comfortable, breathable, insufficient is poor packaging o"&amp;"n two plastic bags!")</f>
        <v>I 174/70 great, had a little worried about the size of the problem, try one brought under the number S perfect control inside plus a sweater no problem, high waist design is very spiritual, wearing comfortable, breathable, insufficient is poor packaging on two plastic bags!</v>
      </c>
    </row>
    <row r="3885">
      <c r="A3885" s="1">
        <v>5.0</v>
      </c>
      <c r="B3885" s="1" t="s">
        <v>3871</v>
      </c>
      <c r="C3885" t="str">
        <f>IFERROR(__xludf.DUMMYFUNCTION("GOOGLETRANSLATE(B3885, ""zh"", ""en"")"),"Easy to clean with a very easy to go out for easy cleaning do not stay dead.")</f>
        <v>Easy to clean with a very easy to go out for easy cleaning do not stay dead.</v>
      </c>
    </row>
    <row r="3886">
      <c r="A3886" s="1">
        <v>5.0</v>
      </c>
      <c r="B3886" s="1" t="s">
        <v>3872</v>
      </c>
      <c r="C3886" t="str">
        <f>IFERROR(__xludf.DUMMYFUNCTION("GOOGLETRANSLATE(B3886, ""zh"", ""en"")"),"Yes you can wear! very good! Next time you sell")</f>
        <v>Yes you can wear! very good! Next time you sell</v>
      </c>
    </row>
    <row r="3887">
      <c r="A3887" s="1">
        <v>5.0</v>
      </c>
      <c r="B3887" s="1" t="s">
        <v>3873</v>
      </c>
      <c r="C3887" t="str">
        <f>IFERROR(__xludf.DUMMYFUNCTION("GOOGLETRANSLATE(B3887, ""zh"", ""en"")"),"Like, the second purchase for the second time to buy after six years, it's very much like the sound quality")</f>
        <v>Like, the second purchase for the second time to buy after six years, it's very much like the sound quality</v>
      </c>
    </row>
    <row r="3888">
      <c r="A3888" s="1">
        <v>5.0</v>
      </c>
      <c r="B3888" s="1" t="s">
        <v>3874</v>
      </c>
      <c r="C3888" t="str">
        <f>IFERROR(__xludf.DUMMYFUNCTION("GOOGLETRANSLATE(B3888, ""zh"", ""en"")"),"Very good, good! Ah well, the children good grip, but over time, the color of the surface will fall, may be washed with water because of it.")</f>
        <v>Very good, good! Ah well, the children good grip, but over time, the color of the surface will fall, may be washed with water because of it.</v>
      </c>
    </row>
    <row r="3889">
      <c r="A3889" s="1">
        <v>5.0</v>
      </c>
      <c r="B3889" s="1" t="s">
        <v>3875</v>
      </c>
      <c r="C3889" t="str">
        <f>IFERROR(__xludf.DUMMYFUNCTION("GOOGLETRANSLATE(B3889, ""zh"", ""en"")"),"Very easy to use very easy to use! Workmanship is very good!")</f>
        <v>Very easy to use very easy to use! Workmanship is very good!</v>
      </c>
    </row>
    <row r="3890">
      <c r="A3890" s="1">
        <v>5.0</v>
      </c>
      <c r="B3890" s="1" t="s">
        <v>3876</v>
      </c>
      <c r="C3890" t="str">
        <f>IFERROR(__xludf.DUMMYFUNCTION("GOOGLETRANSLATE(B3890, ""zh"", ""en"")"),"STAUB saucepan performance is very good German Amazon direct mail, the price is right, the soup no major flaws, and there can be, the most important is made out of meat to eat well.")</f>
        <v>STAUB saucepan performance is very good German Amazon direct mail, the price is right, the soup no major flaws, and there can be, the most important is made out of meat to eat well.</v>
      </c>
    </row>
    <row r="3891">
      <c r="A3891" s="1">
        <v>5.0</v>
      </c>
      <c r="B3891" s="1" t="s">
        <v>3877</v>
      </c>
      <c r="C3891" t="str">
        <f>IFERROR(__xludf.DUMMYFUNCTION("GOOGLETRANSLATE(B3891, ""zh"", ""en"")"),"Very very very very comfortable comfortable")</f>
        <v>Very very very very comfortable comfortable</v>
      </c>
    </row>
    <row r="3892">
      <c r="A3892" s="1">
        <v>2.0</v>
      </c>
      <c r="B3892" s="1" t="s">
        <v>3878</v>
      </c>
      <c r="C3892" t="str">
        <f>IFERROR(__xludf.DUMMYFUNCTION("GOOGLETRANSLATE(B3892, ""zh"", ""en"")"),"Known as professional diving watch, actually leaking! Buy this watch key value their professional performance diving 200 meters publicity, but, mainly it was very regrettable! This morning, with a table full of joy to swim, swim about 35 minutes, finishin"&amp;"g dressing up, look at the watch, has white mist misty in the table. It is puzzling that just have not seen in the misting water case, how ready to play heavy after a while the water vapor leaving? Obviously slowly into the inside of which has water vapor"&amp;", a low outdoor air temperature, water vapor condenses on the interior surface of the glass. (I just got yesterday courier sent over a watch. And why do I submit photos go up, this is far from done to)")</f>
        <v>Known as professional diving watch, actually leaking! Buy this watch key value their professional performance diving 200 meters publicity, but, mainly it was very regrettable! This morning, with a table full of joy to swim, swim about 35 minutes, finishing dressing up, look at the watch, has white mist misty in the table. It is puzzling that just have not seen in the misting water case, how ready to play heavy after a while the water vapor leaving? Obviously slowly into the inside of which has water vapor, a low outdoor air temperature, water vapor condenses on the interior surface of the glass. (I just got yesterday courier sent over a watch. And why do I submit photos go up, this is far from done to)</v>
      </c>
    </row>
    <row r="3893">
      <c r="A3893" s="1">
        <v>3.0</v>
      </c>
      <c r="B3893" s="1" t="s">
        <v>3879</v>
      </c>
      <c r="C3893" t="str">
        <f>IFERROR(__xludf.DUMMYFUNCTION("GOOGLETRANSLATE(B3893, ""zh"", ""en"")"),"Do not recommend buying washing smelly, heavy water had to wash once, always wash twice a waste of water and electricity. And piece by piece, torn inconvenient, unsafe torn found washed dishwasher hot water sometimes not completely dissolve the outer memb"&amp;"rane. It will not repurchase.")</f>
        <v>Do not recommend buying washing smelly, heavy water had to wash once, always wash twice a waste of water and electricity. And piece by piece, torn inconvenient, unsafe torn found washed dishwasher hot water sometimes not completely dissolve the outer membrane. It will not repurchase.</v>
      </c>
    </row>
    <row r="3894">
      <c r="A3894" s="1">
        <v>3.0</v>
      </c>
      <c r="B3894" s="1" t="s">
        <v>3880</v>
      </c>
      <c r="C3894" t="str">
        <f>IFERROR(__xludf.DUMMYFUNCTION("GOOGLETRANSLATE(B3894, ""zh"", ""en"")"),"So-so it was very general, champion of low-end products, standards absolutely no need to turn around the overseas. With the price of domestic materials, greater choice of styles. . .")</f>
        <v>So-so it was very general, champion of low-end products, standards absolutely no need to turn around the overseas. With the price of domestic materials, greater choice of styles. . .</v>
      </c>
    </row>
    <row r="3895">
      <c r="A3895" s="1">
        <v>3.0</v>
      </c>
      <c r="B3895" s="1" t="s">
        <v>3881</v>
      </c>
      <c r="C3895" t="str">
        <f>IFERROR(__xludf.DUMMYFUNCTION("GOOGLETRANSLATE(B3895, ""zh"", ""en"")"),"Given away. Because people buy is given, the effect is not very clear how their own, but still looks like.")</f>
        <v>Given away. Because people buy is given, the effect is not very clear how their own, but still looks like.</v>
      </c>
    </row>
    <row r="3896">
      <c r="A3896" s="1">
        <v>1.0</v>
      </c>
      <c r="B3896" s="1" t="s">
        <v>3882</v>
      </c>
      <c r="C3896" t="str">
        <f>IFERROR(__xludf.DUMMYFUNCTION("GOOGLETRANSLATE(B3896, ""zh"", ""en"")"),"Pit ratio &lt;div id = ""video-block-R2OEKSI40JYTSE"" class = ""a-section a-spacing-small a-spacing-top-mini video-block""&gt; &lt;/ div&gt; &lt;input type = ""hidden"" name = "" ""value ="" https://images-cn.ssl-images-amazon.com/images/I/A199a2QCr0S.mp4 ""class ="" vi"&amp;"deo-url ""&gt; &lt;input type ="" hidden ""name ="" ""value ="" https://images-cn.ssl-images-amazon.com/images/I/71KUOXnbQiS.png ""class ="" video-slate-img-url ""&gt; &amp; nbsp; unreasonable to hang, the most basic interface layout. Really pit")</f>
        <v>Pit ratio &lt;div id = "video-block-R2OEKSI40JYTSE" class = "a-section a-spacing-small a-spacing-top-mini video-block"&gt; &lt;/ div&gt; &lt;input type = "hidden" name = " "value =" https://images-cn.ssl-images-amazon.com/images/I/A199a2QCr0S.mp4 "class =" video-url "&gt; &lt;input type =" hidden "name =" "value =" https://images-cn.ssl-images-amazon.com/images/I/71KUOXnbQiS.png "class =" video-slate-img-url "&gt; &amp; nbsp; unreasonable to hang, the most basic interface layout. Really pit</v>
      </c>
    </row>
    <row r="3897">
      <c r="A3897" s="1">
        <v>1.0</v>
      </c>
      <c r="B3897" s="1" t="s">
        <v>3883</v>
      </c>
      <c r="C3897" t="str">
        <f>IFERROR(__xludf.DUMMYFUNCTION("GOOGLETRANSLATE(B3897, ""zh"", ""en"")"),"User comments old number is too large, poor quality, it is recommended not to buy")</f>
        <v>User comments old number is too large, poor quality, it is recommended not to buy</v>
      </c>
    </row>
    <row r="3898">
      <c r="A3898" s="1">
        <v>4.0</v>
      </c>
      <c r="B3898" s="1" t="s">
        <v>3884</v>
      </c>
      <c r="C3898" t="str">
        <f>IFERROR(__xludf.DUMMYFUNCTION("GOOGLETRANSLATE(B3898, ""zh"", ""en"")"),"Unlike the original feel good, but always with different original")</f>
        <v>Unlike the original feel good, but always with different original</v>
      </c>
    </row>
    <row r="3899">
      <c r="A3899" s="1">
        <v>4.0</v>
      </c>
      <c r="B3899" s="1" t="s">
        <v>3885</v>
      </c>
      <c r="C3899" t="str">
        <f>IFERROR(__xludf.DUMMYFUNCTION("GOOGLETRANSLATE(B3899, ""zh"", ""en"")"),"Belt a little hard look rather beautiful, is the belt a little hard, hard not bend, fold out fear stripes")</f>
        <v>Belt a little hard look rather beautiful, is the belt a little hard, hard not bend, fold out fear stripes</v>
      </c>
    </row>
    <row r="3900">
      <c r="A3900" s="1">
        <v>4.0</v>
      </c>
      <c r="B3900" s="1" t="s">
        <v>3886</v>
      </c>
      <c r="C3900" t="str">
        <f>IFERROR(__xludf.DUMMYFUNCTION("GOOGLETRANSLATE(B3900, ""zh"", ""en"")"),"Okay only 15 million times, twice as a country have to buy expensive 400,000")</f>
        <v>Okay only 15 million times, twice as a country have to buy expensive 400,000</v>
      </c>
    </row>
    <row r="3901">
      <c r="A3901" s="1">
        <v>4.0</v>
      </c>
      <c r="B3901" s="1" t="s">
        <v>3887</v>
      </c>
      <c r="C3901" t="str">
        <f>IFERROR(__xludf.DUMMYFUNCTION("GOOGLETRANSLATE(B3901, ""zh"", ""en"")"),"And expected the same size as appropriate, items in good condition.")</f>
        <v>And expected the same size as appropriate, items in good condition.</v>
      </c>
    </row>
    <row r="3902">
      <c r="A3902" s="1">
        <v>4.0</v>
      </c>
      <c r="B3902" s="1" t="s">
        <v>3888</v>
      </c>
      <c r="C3902" t="str">
        <f>IFERROR(__xludf.DUMMYFUNCTION("GOOGLETRANSLATE(B3902, ""zh"", ""en"")"),"Good value for money if the foot is not particularly wide, it is estimated 2E enough, buy 4E, feeling a little wider, a little hypertrophy. Length'd just. Normal size to buy enough.")</f>
        <v>Good value for money if the foot is not particularly wide, it is estimated 2E enough, buy 4E, feeling a little wider, a little hypertrophy. Length'd just. Normal size to buy enough.</v>
      </c>
    </row>
    <row r="3903">
      <c r="A3903" s="1">
        <v>5.0</v>
      </c>
      <c r="B3903" s="1" t="s">
        <v>3889</v>
      </c>
      <c r="C3903" t="str">
        <f>IFERROR(__xludf.DUMMYFUNCTION("GOOGLETRANSLATE(B3903, ""zh"", ""en"")"),"Wool is blue, a color change but Chuan Chuan is also very good, which clothes to wear, otherwise they will tie the legs.")</f>
        <v>Wool is blue, a color change but Chuan Chuan is also very good, which clothes to wear, otherwise they will tie the legs.</v>
      </c>
    </row>
    <row r="3904">
      <c r="A3904" s="1">
        <v>5.0</v>
      </c>
      <c r="B3904" s="1" t="s">
        <v>3890</v>
      </c>
      <c r="C3904" t="str">
        <f>IFERROR(__xludf.DUMMYFUNCTION("GOOGLETRANSLATE(B3904, ""zh"", ""en"")"),"Satisfaction with the shopping July 12 Kusakabe single, from July 21 received, faster than I expected. Shoes are very light, very comfortable on the feet, with the counter to buy nothing different. I 41 yards shoes, sports shoes 42 yards, the present sele"&amp;"ction section 8M, right size, for your reference! Satisfaction with the shopping!")</f>
        <v>Satisfaction with the shopping July 12 Kusakabe single, from July 21 received, faster than I expected. Shoes are very light, very comfortable on the feet, with the counter to buy nothing different. I 41 yards shoes, sports shoes 42 yards, the present selection section 8M, right size, for your reference! Satisfaction with the shopping!</v>
      </c>
    </row>
    <row r="3905">
      <c r="A3905" s="1">
        <v>5.0</v>
      </c>
      <c r="B3905" s="1" t="s">
        <v>3891</v>
      </c>
      <c r="C3905" t="str">
        <f>IFERROR(__xludf.DUMMYFUNCTION("GOOGLETRANSLATE(B3905, ""zh"", ""en"")"),"it is good! Very good, because previous reviews looked good before the election of this one, really Italian! There are so many sincere thanks comments on Amazon -")</f>
        <v>it is good! Very good, because previous reviews looked good before the election of this one, really Italian! There are so many sincere thanks comments on Amazon -</v>
      </c>
    </row>
    <row r="3906">
      <c r="A3906" s="1">
        <v>5.0</v>
      </c>
      <c r="B3906" s="1" t="s">
        <v>3892</v>
      </c>
      <c r="C3906" t="str">
        <f>IFERROR(__xludf.DUMMYFUNCTION("GOOGLETRANSLATE(B3906, ""zh"", ""en"")"),"Appearance smooth smooth appearance, it has not been used.")</f>
        <v>Appearance smooth smooth appearance, it has not been used.</v>
      </c>
    </row>
    <row r="3907">
      <c r="A3907" s="1">
        <v>5.0</v>
      </c>
      <c r="B3907" s="1" t="s">
        <v>3893</v>
      </c>
      <c r="C3907" t="str">
        <f>IFERROR(__xludf.DUMMYFUNCTION("GOOGLETRANSLATE(B3907, ""zh"", ""en"")"),"Good size, style, color is good!")</f>
        <v>Good size, style, color is good!</v>
      </c>
    </row>
    <row r="3908">
      <c r="A3908" s="1">
        <v>5.0</v>
      </c>
      <c r="B3908" s="1" t="s">
        <v>3894</v>
      </c>
      <c r="C3908" t="str">
        <f>IFERROR(__xludf.DUMMYFUNCTION("GOOGLETRANSLATE(B3908, ""zh"", ""en"")"),"Comfortable hand strap and get behind a mesh, the feeling is not very good. Washed wear very comfortable, more comfortable than no rims Uniqlo, 80b buy a little big l, m should be appropriate")</f>
        <v>Comfortable hand strap and get behind a mesh, the feeling is not very good. Washed wear very comfortable, more comfortable than no rims Uniqlo, 80b buy a little big l, m should be appropriate</v>
      </c>
    </row>
    <row r="3909">
      <c r="A3909" s="1">
        <v>5.0</v>
      </c>
      <c r="B3909" s="1" t="s">
        <v>3895</v>
      </c>
      <c r="C3909" t="str">
        <f>IFERROR(__xludf.DUMMYFUNCTION("GOOGLETRANSLATE(B3909, ""zh"", ""en"")"),"Beautiful, good texture microphone texture are particularly good, heavy, looks very on the grade, like. Sound quality of my sound card to re-test. Elsewhere encountered a small problem, customer service attitude is very good, very satisfied with the deal,"&amp;" Amazon customers point to a praise. Good product, worthy of trust.")</f>
        <v>Beautiful, good texture microphone texture are particularly good, heavy, looks very on the grade, like. Sound quality of my sound card to re-test. Elsewhere encountered a small problem, customer service attitude is very good, very satisfied with the deal, Amazon customers point to a praise. Good product, worthy of trust.</v>
      </c>
    </row>
    <row r="3910">
      <c r="A3910" s="1">
        <v>5.0</v>
      </c>
      <c r="B3910" s="1" t="s">
        <v>3896</v>
      </c>
      <c r="C3910" t="str">
        <f>IFERROR(__xludf.DUMMYFUNCTION("GOOGLETRANSLATE(B3910, ""zh"", ""en"")"),"Good quality clothes, the clothes are good quality fabrics, beautiful color washing does not fade.")</f>
        <v>Good quality clothes, the clothes are good quality fabrics, beautiful color washing does not fade.</v>
      </c>
    </row>
    <row r="3911">
      <c r="A3911" s="1">
        <v>5.0</v>
      </c>
      <c r="B3911" s="1" t="s">
        <v>3897</v>
      </c>
      <c r="C3911" t="str">
        <f>IFERROR(__xludf.DUMMYFUNCTION("GOOGLETRANSLATE(B3911, ""zh"", ""en"")"),"Workmanship looks good, but a little small buy looks good workmanship, but buy small")</f>
        <v>Workmanship looks good, but a little small buy looks good workmanship, but buy small</v>
      </c>
    </row>
    <row r="3912">
      <c r="A3912" s="1">
        <v>5.0</v>
      </c>
      <c r="B3912" s="1" t="s">
        <v>3898</v>
      </c>
      <c r="C3912" t="str">
        <f>IFERROR(__xludf.DUMMYFUNCTION("GOOGLETRANSLATE(B3912, ""zh"", ""en"")"),"Good taste good to eat, do not melt.")</f>
        <v>Good taste good to eat, do not melt.</v>
      </c>
    </row>
    <row r="3913">
      <c r="A3913" s="1">
        <v>5.0</v>
      </c>
      <c r="B3913" s="1" t="s">
        <v>3899</v>
      </c>
      <c r="C3913" t="str">
        <f>IFERROR(__xludf.DUMMYFUNCTION("GOOGLETRANSLATE(B3913, ""zh"", ""en"")"),"Is not it marked 27 is equivalent to 42 to 43 do? Usually wear shoes 44, did not hesitate to directly buy 27, buy it much smaller. 27 Japanese shoe number? too small. Wood have a way to do some good. unfortunately")</f>
        <v>Is not it marked 27 is equivalent to 42 to 43 do? Usually wear shoes 44, did not hesitate to directly buy 27, buy it much smaller. 27 Japanese shoe number? too small. Wood have a way to do some good. unfortunately</v>
      </c>
    </row>
    <row r="3914">
      <c r="A3914" s="1">
        <v>5.0</v>
      </c>
      <c r="B3914" s="1" t="s">
        <v>3900</v>
      </c>
      <c r="C3914" t="str">
        <f>IFERROR(__xludf.DUMMYFUNCTION("GOOGLETRANSLATE(B3914, ""zh"", ""en"")"),"Too small, too small a point, not short sleeves, bust is a bit too small, very tight")</f>
        <v>Too small, too small a point, not short sleeves, bust is a bit too small, very tight</v>
      </c>
    </row>
    <row r="3915">
      <c r="A3915" s="1">
        <v>5.0</v>
      </c>
      <c r="B3915" s="1" t="s">
        <v>3901</v>
      </c>
      <c r="C3915" t="str">
        <f>IFERROR(__xludf.DUMMYFUNCTION("GOOGLETRANSLATE(B3915, ""zh"", ""en"")"),"Yan high value, good quality and this suction cups burst table Yen value, quality is also very good 👍 son just started some not used to drink a little more strenuous, it should be anti-choke design. Now his son used to it")</f>
        <v>Yan high value, good quality and this suction cups burst table Yen value, quality is also very good 👍 son just started some not used to drink a little more strenuous, it should be anti-choke design. Now his son used to it</v>
      </c>
    </row>
    <row r="3916">
      <c r="A3916" s="1">
        <v>5.0</v>
      </c>
      <c r="B3916" s="1" t="s">
        <v>3902</v>
      </c>
      <c r="C3916" t="str">
        <f>IFERROR(__xludf.DUMMYFUNCTION("GOOGLETRANSLATE(B3916, ""zh"", ""en"")"),"Good has been used, the baby always liked")</f>
        <v>Good has been used, the baby always liked</v>
      </c>
    </row>
    <row r="3917">
      <c r="A3917" s="1">
        <v>5.0</v>
      </c>
      <c r="B3917" s="1" t="s">
        <v>3903</v>
      </c>
      <c r="C3917" t="str">
        <f>IFERROR(__xludf.DUMMYFUNCTION("GOOGLETRANSLATE(B3917, ""zh"", ""en"")"),"Very good good not only complementary but also when the grinding bowl now take it every day to treasure rice to feed it")</f>
        <v>Very good good not only complementary but also when the grinding bowl now take it every day to treasure rice to feed it</v>
      </c>
    </row>
    <row r="3918">
      <c r="A3918" s="1">
        <v>5.0</v>
      </c>
      <c r="B3918" s="1" t="s">
        <v>3904</v>
      </c>
      <c r="C3918" t="str">
        <f>IFERROR(__xludf.DUMMYFUNCTION("GOOGLETRANSLATE(B3918, ""zh"", ""en"")"),"Ok cheaper than domestic")</f>
        <v>Ok cheaper than domestic</v>
      </c>
    </row>
    <row r="3919">
      <c r="A3919" s="1">
        <v>5.0</v>
      </c>
      <c r="B3919" s="1" t="s">
        <v>3905</v>
      </c>
      <c r="C3919" t="str">
        <f>IFERROR(__xludf.DUMMYFUNCTION("GOOGLETRANSLATE(B3919, ""zh"", ""en"")"),"Very appropriate, very comfortable. Like, good fabric, comfortable")</f>
        <v>Very appropriate, very comfortable. Like, good fabric, comfortable</v>
      </c>
    </row>
    <row r="3920">
      <c r="A3920" s="1">
        <v>5.0</v>
      </c>
      <c r="B3920" s="1" t="s">
        <v>3906</v>
      </c>
      <c r="C3920" t="str">
        <f>IFERROR(__xludf.DUMMYFUNCTION("GOOGLETRANSLATE(B3920, ""zh"", ""en"")"),"A little smaller and good quality underwear, but a little bit smaller, a little tight just to wear when good now, it is estimated to buy large size just right! I waistline 2 feet 6")</f>
        <v>A little smaller and good quality underwear, but a little bit smaller, a little tight just to wear when good now, it is estimated to buy large size just right! I waistline 2 feet 6</v>
      </c>
    </row>
    <row r="3921">
      <c r="A3921" s="1">
        <v>5.0</v>
      </c>
      <c r="B3921" s="1" t="s">
        <v>3907</v>
      </c>
      <c r="C3921" t="str">
        <f>IFERROR(__xludf.DUMMYFUNCTION("GOOGLETRANSLATE(B3921, ""zh"", ""en"")"),"Good quality, fit warm. 174cm tall and weighing 76kg, wearing M just in time, inside a reflective layer, very warm, south for the winter no problem.")</f>
        <v>Good quality, fit warm. 174cm tall and weighing 76kg, wearing M just in time, inside a reflective layer, very warm, south for the winter no problem.</v>
      </c>
    </row>
    <row r="3922">
      <c r="A3922" s="1">
        <v>5.0</v>
      </c>
      <c r="B3922" s="1" t="s">
        <v>3908</v>
      </c>
      <c r="C3922" t="str">
        <f>IFERROR(__xludf.DUMMYFUNCTION("GOOGLETRANSLATE(B3922, ""zh"", ""en"")"),"Packaging is not tight, pencil packaging is not okay to force, nothing inside pad")</f>
        <v>Packaging is not tight, pencil packaging is not okay to force, nothing inside pad</v>
      </c>
    </row>
    <row r="3923">
      <c r="A3923" s="1">
        <v>5.0</v>
      </c>
      <c r="B3923" s="1" t="s">
        <v>3909</v>
      </c>
      <c r="C3923" t="str">
        <f>IFERROR(__xludf.DUMMYFUNCTION("GOOGLETRANSLATE(B3923, ""zh"", ""en"")"),"High value for money Nichia hard drive price. With enough memory to do")</f>
        <v>High value for money Nichia hard drive price. With enough memory to do</v>
      </c>
    </row>
    <row r="3924">
      <c r="A3924" s="1">
        <v>5.0</v>
      </c>
      <c r="B3924" s="1" t="s">
        <v>3910</v>
      </c>
      <c r="C3924" t="str">
        <f>IFERROR(__xludf.DUMMYFUNCTION("GOOGLETRANSLATE(B3924, ""zh"", ""en"")"),"very good! He has been like a small V, and finally bought a, or the original American goods, really good! Used to make juice, super good!")</f>
        <v>very good! He has been like a small V, and finally bought a, or the original American goods, really good! Used to make juice, super good!</v>
      </c>
    </row>
    <row r="3925">
      <c r="A3925" s="1">
        <v>2.0</v>
      </c>
      <c r="B3925" s="1" t="s">
        <v>3911</v>
      </c>
      <c r="C3925" t="str">
        <f>IFERROR(__xludf.DUMMYFUNCTION("GOOGLETRANSLATE(B3925, ""zh"", ""en"")"),"Domestic size of the domestic fight two yards wear 32W32L, this should buy 30W30L")</f>
        <v>Domestic size of the domestic fight two yards wear 32W32L, this should buy 30W30L</v>
      </c>
    </row>
    <row r="3926">
      <c r="A3926" s="1">
        <v>3.0</v>
      </c>
      <c r="B3926" s="1" t="s">
        <v>3912</v>
      </c>
      <c r="C3926" t="str">
        <f>IFERROR(__xludf.DUMMYFUNCTION("GOOGLETRANSLATE(B3926, ""zh"", ""en"")"),"It belongs to the lottery, and I hung up. In general you can only buy two, bad luck, pumping garbage master. Three hundred, z 80 might as well buy SanDisk.")</f>
        <v>It belongs to the lottery, and I hung up. In general you can only buy two, bad luck, pumping garbage master. Three hundred, z 80 might as well buy SanDisk.</v>
      </c>
    </row>
    <row r="3927">
      <c r="A3927" s="1">
        <v>1.0</v>
      </c>
      <c r="B3927" s="1" t="s">
        <v>3913</v>
      </c>
      <c r="C3927" t="str">
        <f>IFERROR(__xludf.DUMMYFUNCTION("GOOGLETRANSLATE(B3927, ""zh"", ""en"")"),"Designers estimate is much too alien, too much size is too large rather long")</f>
        <v>Designers estimate is much too alien, too much size is too large rather long</v>
      </c>
    </row>
    <row r="3928">
      <c r="A3928" s="1">
        <v>1.0</v>
      </c>
      <c r="B3928" s="1" t="s">
        <v>3914</v>
      </c>
      <c r="C3928" t="str">
        <f>IFERROR(__xludf.DUMMYFUNCTION("GOOGLETRANSLATE(B3928, ""zh"", ""en"")"),"Too bad shopping experience! No description of the size, completely blind election! My God, too much of it. Page size is no explanation, other people's comments only look, not thread consultation. Look Review ""Wild family,"" she 168,68kg buy 2XL see fit."&amp;" XL and 2XL So I bought a pair of each. Then, two pants inside can hold me!")</f>
        <v>Too bad shopping experience! No description of the size, completely blind election! My God, too much of it. Page size is no explanation, other people's comments only look, not thread consultation. Look Review "Wild family," she 168,68kg buy 2XL see fit. XL and 2XL So I bought a pair of each. Then, two pants inside can hold me!</v>
      </c>
    </row>
    <row r="3929">
      <c r="A3929" s="1">
        <v>4.0</v>
      </c>
      <c r="B3929" s="1" t="s">
        <v>3915</v>
      </c>
      <c r="C3929" t="str">
        <f>IFERROR(__xludf.DUMMYFUNCTION("GOOGLETRANSLATE(B3929, ""zh"", ""en"")"),"Pretty good in a relatively good-looking entry-level climbing / waterproof shoes in styles, personally feel better looking than rhubarb boots. But do not expect it to how strong waterproof capability, deep water than in the sole case of still water seepag"&amp;"e in, but permeability is OK, the whole is relatively comfortable. Recommended in less extreme environments.")</f>
        <v>Pretty good in a relatively good-looking entry-level climbing / waterproof shoes in styles, personally feel better looking than rhubarb boots. But do not expect it to how strong waterproof capability, deep water than in the sole case of still water seepage in, but permeability is OK, the whole is relatively comfortable. Recommended in less extreme environments.</v>
      </c>
    </row>
    <row r="3930">
      <c r="A3930" s="1">
        <v>4.0</v>
      </c>
      <c r="B3930" s="1" t="s">
        <v>3916</v>
      </c>
      <c r="C3930" t="str">
        <f>IFERROR(__xludf.DUMMYFUNCTION("GOOGLETRANSLATE(B3930, ""zh"", ""en"")"),"Domestic invoice number 3 at the 6th arrived, should be made of domestic goods overseas hair not so fast. . . 252 plus taxes, relatively cheap. Pink diamond the next test can be plugged in, than the pink diamond comes whitening brush head should be smalle"&amp;"r. 8 can be used for two years.")</f>
        <v>Domestic invoice number 3 at the 6th arrived, should be made of domestic goods overseas hair not so fast. . . 252 plus taxes, relatively cheap. Pink diamond the next test can be plugged in, than the pink diamond comes whitening brush head should be smaller. 8 can be used for two years.</v>
      </c>
    </row>
    <row r="3931">
      <c r="A3931" s="1">
        <v>4.0</v>
      </c>
      <c r="B3931" s="1" t="s">
        <v>3917</v>
      </c>
      <c r="C3931" t="str">
        <f>IFERROR(__xludf.DUMMYFUNCTION("GOOGLETRANSLATE(B3931, ""zh"", ""en"")"),"Overall good waist slightly smaller, long pants pretty good! Material has a certain flexibility.")</f>
        <v>Overall good waist slightly smaller, long pants pretty good! Material has a certain flexibility.</v>
      </c>
    </row>
    <row r="3932">
      <c r="A3932" s="1">
        <v>4.0</v>
      </c>
      <c r="B3932" s="1" t="s">
        <v>3918</v>
      </c>
      <c r="C3932" t="str">
        <f>IFERROR(__xludf.DUMMYFUNCTION("GOOGLETRANSLATE(B3932, ""zh"", ""en"")"),"Okay in line with expectations, the US version of the longer sleeves, loose, reasonable price.")</f>
        <v>Okay in line with expectations, the US version of the longer sleeves, loose, reasonable price.</v>
      </c>
    </row>
    <row r="3933">
      <c r="A3933" s="1">
        <v>4.0</v>
      </c>
      <c r="B3933" s="1" t="s">
        <v>3919</v>
      </c>
      <c r="C3933" t="str">
        <f>IFERROR(__xludf.DUMMYFUNCTION("GOOGLETRANSLATE(B3933, ""zh"", ""en"")"),"Attractive, jackets are worn with proper width are suitable length 168,58")</f>
        <v>Attractive, jackets are worn with proper width are suitable length 168,58</v>
      </c>
    </row>
    <row r="3934">
      <c r="A3934" s="1">
        <v>5.0</v>
      </c>
      <c r="B3934" s="1" t="s">
        <v>3920</v>
      </c>
      <c r="C3934" t="str">
        <f>IFERROR(__xludf.DUMMYFUNCTION("GOOGLETRANSLATE(B3934, ""zh"", ""en"")"),"The popular baby bottle really like! Genuine! Very happy very satisfied! Because it is so to be very careful selection of the time with her daughter, and thought for a long time to try holding the mentality to buy this for the first time in the Amazon sho"&amp;"pping, very satisfied, after receiving three minutes in the pot a little no taste, more happy baby is very easy to accept, before the release of breast milk with NUK Pigeon and do not drink, this baby is very easy to take the initiative to suck up! Buy a "&amp;"big one.")</f>
        <v>The popular baby bottle really like! Genuine! Very happy very satisfied! Because it is so to be very careful selection of the time with her daughter, and thought for a long time to try holding the mentality to buy this for the first time in the Amazon shopping, very satisfied, after receiving three minutes in the pot a little no taste, more happy baby is very easy to accept, before the release of breast milk with NUK Pigeon and do not drink, this baby is very easy to take the initiative to suck up! Buy a big one.</v>
      </c>
    </row>
    <row r="3935">
      <c r="A3935" s="1">
        <v>5.0</v>
      </c>
      <c r="B3935" s="1" t="s">
        <v>3921</v>
      </c>
      <c r="C3935" t="str">
        <f>IFERROR(__xludf.DUMMYFUNCTION("GOOGLETRANSLATE(B3935, ""zh"", ""en"")"),"Yes this is true, just the right size for a small bag")</f>
        <v>Yes this is true, just the right size for a small bag</v>
      </c>
    </row>
    <row r="3936">
      <c r="A3936" s="1">
        <v>5.0</v>
      </c>
      <c r="B3936" s="1" t="s">
        <v>3922</v>
      </c>
      <c r="C3936" t="str">
        <f>IFERROR(__xludf.DUMMYFUNCTION("GOOGLETRANSLATE(B3936, ""zh"", ""en"")"),"Okay a little big cortex and description of differentiated skin like lychee")</f>
        <v>Okay a little big cortex and description of differentiated skin like lychee</v>
      </c>
    </row>
    <row r="3937">
      <c r="A3937" s="1">
        <v>5.0</v>
      </c>
      <c r="B3937" s="1" t="s">
        <v>3923</v>
      </c>
      <c r="C3937" t="str">
        <f>IFERROR(__xludf.DUMMYFUNCTION("GOOGLETRANSLATE(B3937, ""zh"", ""en"")"),"ok Slim was thin, remarkable temperament! it is good")</f>
        <v>ok Slim was thin, remarkable temperament! it is good</v>
      </c>
    </row>
    <row r="3938">
      <c r="A3938" s="1">
        <v>5.0</v>
      </c>
      <c r="B3938" s="1" t="s">
        <v>3924</v>
      </c>
      <c r="C3938" t="str">
        <f>IFERROR(__xludf.DUMMYFUNCTION("GOOGLETRANSLATE(B3938, ""zh"", ""en"")"),"Like really good quality, warm, suitable for winter wear.")</f>
        <v>Like really good quality, warm, suitable for winter wear.</v>
      </c>
    </row>
    <row r="3939">
      <c r="A3939" s="1">
        <v>5.0</v>
      </c>
      <c r="B3939" s="1" t="s">
        <v>3925</v>
      </c>
      <c r="C3939" t="str">
        <f>IFERROR(__xludf.DUMMYFUNCTION("GOOGLETRANSLATE(B3939, ""zh"", ""en"")"),"To a reference 178CM, 93KG, a little belly bulge, the election of XL, shoulders just a little Le stomach, ha ha. Fabric good, long sleeves, good ventilation effect")</f>
        <v>To a reference 178CM, 93KG, a little belly bulge, the election of XL, shoulders just a little Le stomach, ha ha. Fabric good, long sleeves, good ventilation effect</v>
      </c>
    </row>
    <row r="3940">
      <c r="A3940" s="1">
        <v>5.0</v>
      </c>
      <c r="B3940" s="1" t="s">
        <v>3926</v>
      </c>
      <c r="C3940" t="str">
        <f>IFERROR(__xludf.DUMMYFUNCTION("GOOGLETRANSLATE(B3940, ""zh"", ""en"")"),"Eb20 it should be good, with the accustomed eb50, change this feeling is also very good")</f>
        <v>Eb20 it should be good, with the accustomed eb50, change this feeling is also very good</v>
      </c>
    </row>
    <row r="3941">
      <c r="A3941" s="1">
        <v>5.0</v>
      </c>
      <c r="B3941" s="1" t="s">
        <v>3927</v>
      </c>
      <c r="C3941" t="str">
        <f>IFERROR(__xludf.DUMMYFUNCTION("GOOGLETRANSLATE(B3941, ""zh"", ""en"")"),"Lexar 1066X good indeed faster than the speed of SanDisk's a little 1067xCF")</f>
        <v>Lexar 1066X good indeed faster than the speed of SanDisk's a little 1067xCF</v>
      </c>
    </row>
    <row r="3942">
      <c r="A3942" s="1">
        <v>5.0</v>
      </c>
      <c r="B3942" s="1" t="s">
        <v>3928</v>
      </c>
      <c r="C3942" t="str">
        <f>IFERROR(__xludf.DUMMYFUNCTION("GOOGLETRANSLATE(B3942, ""zh"", ""en"")"),"A good pair of sneakers as well as a good cushion is very comfortable to wear")</f>
        <v>A good pair of sneakers as well as a good cushion is very comfortable to wear</v>
      </c>
    </row>
    <row r="3943">
      <c r="A3943" s="1">
        <v>5.0</v>
      </c>
      <c r="B3943" s="1" t="s">
        <v>3929</v>
      </c>
      <c r="C3943" t="str">
        <f>IFERROR(__xludf.DUMMYFUNCTION("GOOGLETRANSLATE(B3943, ""zh"", ""en"")"),"Not with the packaging intact, intact packaging")</f>
        <v>Not with the packaging intact, intact packaging</v>
      </c>
    </row>
    <row r="3944">
      <c r="A3944" s="1">
        <v>5.0</v>
      </c>
      <c r="B3944" s="1" t="s">
        <v>3930</v>
      </c>
      <c r="C3944" t="str">
        <f>IFERROR(__xludf.DUMMYFUNCTION("GOOGLETRANSLATE(B3944, ""zh"", ""en"")"),"Try to write a little feel good, I feel very good. To the children with a large Zhesi hands like paws. Pencil cases in addition to the blotter, there are two ink sac, turned out to be one blue and one black, Unfortunately readily placement is blue.")</f>
        <v>Try to write a little feel good, I feel very good. To the children with a large Zhesi hands like paws. Pencil cases in addition to the blotter, there are two ink sac, turned out to be one blue and one black, Unfortunately readily placement is blue.</v>
      </c>
    </row>
    <row r="3945">
      <c r="A3945" s="1">
        <v>5.0</v>
      </c>
      <c r="B3945" s="1" t="s">
        <v>3931</v>
      </c>
      <c r="C3945" t="str">
        <f>IFERROR(__xludf.DUMMYFUNCTION("GOOGLETRANSLATE(B3945, ""zh"", ""en"")"),"This is a good supplies, regular replacement, no problem.")</f>
        <v>This is a good supplies, regular replacement, no problem.</v>
      </c>
    </row>
    <row r="3946">
      <c r="A3946" s="1">
        <v>5.0</v>
      </c>
      <c r="B3946" s="1" t="s">
        <v>3932</v>
      </c>
      <c r="C3946" t="str">
        <f>IFERROR(__xludf.DUMMYFUNCTION("GOOGLETRANSLATE(B3946, ""zh"", ""en"")"),"High cost useful, convenient")</f>
        <v>High cost useful, convenient</v>
      </c>
    </row>
    <row r="3947">
      <c r="A3947" s="1">
        <v>5.0</v>
      </c>
      <c r="B3947" s="1" t="s">
        <v>3933</v>
      </c>
      <c r="C3947" t="str">
        <f>IFERROR(__xludf.DUMMYFUNCTION("GOOGLETRANSLATE(B3947, ""zh"", ""en"")"),"Simple and practical style good-looking watch, simple and practical")</f>
        <v>Simple and practical style good-looking watch, simple and practical</v>
      </c>
    </row>
    <row r="3948">
      <c r="A3948" s="1">
        <v>5.0</v>
      </c>
      <c r="B3948" s="1" t="s">
        <v>3934</v>
      </c>
      <c r="C3948" t="str">
        <f>IFERROR(__xludf.DUMMYFUNCTION("GOOGLETRANSLATE(B3948, ""zh"", ""en"")"),"Praise has been eating this for the first time and then buy online, does not distinguish between true and false")</f>
        <v>Praise has been eating this for the first time and then buy online, does not distinguish between true and false</v>
      </c>
    </row>
    <row r="3949">
      <c r="A3949" s="1">
        <v>5.0</v>
      </c>
      <c r="B3949" s="1" t="s">
        <v>3935</v>
      </c>
      <c r="C3949" t="str">
        <f>IFERROR(__xludf.DUMMYFUNCTION("GOOGLETRANSLATE(B3949, ""zh"", ""en"")"),"Good for children 9 years of age to wear!")</f>
        <v>Good for children 9 years of age to wear!</v>
      </c>
    </row>
    <row r="3950">
      <c r="A3950" s="1">
        <v>5.0</v>
      </c>
      <c r="B3950" s="1" t="s">
        <v>3936</v>
      </c>
      <c r="C3950" t="str">
        <f>IFERROR(__xludf.DUMMYFUNCTION("GOOGLETRANSLATE(B3950, ""zh"", ""en"")"),"Baby food bowl brightly colored baby is like oh")</f>
        <v>Baby food bowl brightly colored baby is like oh</v>
      </c>
    </row>
    <row r="3951">
      <c r="A3951" s="1">
        <v>5.0</v>
      </c>
      <c r="B3951" s="1" t="s">
        <v>3937</v>
      </c>
      <c r="C3951" t="str">
        <f>IFERROR(__xludf.DUMMYFUNCTION("GOOGLETRANSLATE(B3951, ""zh"", ""en"")"),"Genuine, more cost effective value of domestic new")</f>
        <v>Genuine, more cost effective value of domestic new</v>
      </c>
    </row>
    <row r="3952">
      <c r="A3952" s="1">
        <v>5.0</v>
      </c>
      <c r="B3952" s="1" t="s">
        <v>3938</v>
      </c>
      <c r="C3952" t="str">
        <f>IFERROR(__xludf.DUMMYFUNCTION("GOOGLETRANSLATE(B3952, ""zh"", ""en"")"),"Quality workmanship, solid body original box so foreign collapse over the sea, the packaging did not increase, but still intact, great machine is new, the country can be assigned to new accessories, beat eggs and noodles have tried the machine is particul"&amp;"arly stable, no shaking, the cake was very successful, and the surface because it is whole grain, not a film, next time try to change high-gluten flour, baking the upper part of the machine a little flawed, but does not affect the use, even if the overall"&amp;" or very satisfied, thrown a few blocks domestic brand is good")</f>
        <v>Quality workmanship, solid body original box so foreign collapse over the sea, the packaging did not increase, but still intact, great machine is new, the country can be assigned to new accessories, beat eggs and noodles have tried the machine is particularly stable, no shaking, the cake was very successful, and the surface because it is whole grain, not a film, next time try to change high-gluten flour, baking the upper part of the machine a little flawed, but does not affect the use, even if the overall or very satisfied, thrown a few blocks domestic brand is good</v>
      </c>
    </row>
    <row r="3953">
      <c r="A3953" s="1">
        <v>5.0</v>
      </c>
      <c r="B3953" s="1" t="s">
        <v>3939</v>
      </c>
      <c r="C3953" t="str">
        <f>IFERROR(__xludf.DUMMYFUNCTION("GOOGLETRANSLATE(B3953, ""zh"", ""en"")"),"175.75 good, wear s good, too hot, thick.")</f>
        <v>175.75 good, wear s good, too hot, thick.</v>
      </c>
    </row>
    <row r="3954">
      <c r="A3954" s="1">
        <v>5.0</v>
      </c>
      <c r="B3954" s="1" t="s">
        <v>3940</v>
      </c>
      <c r="C3954" t="str">
        <f>IFERROR(__xludf.DUMMYFUNCTION("GOOGLETRANSLATE(B3954, ""zh"", ""en"")"),"Although overall satisfaction transported from London came after nearly a week, but after all, so much cheaper, is also worth a few more days, though they are in English, but the feeling is genuine, good, satisfactory")</f>
        <v>Although overall satisfaction transported from London came after nearly a week, but after all, so much cheaper, is also worth a few more days, though they are in English, but the feeling is genuine, good, satisfactory</v>
      </c>
    </row>
    <row r="3955">
      <c r="A3955" s="1">
        <v>5.0</v>
      </c>
      <c r="B3955" s="1" t="s">
        <v>3941</v>
      </c>
      <c r="C3955" t="str">
        <f>IFERROR(__xludf.DUMMYFUNCTION("GOOGLETRANSLATE(B3955, ""zh"", ""en"")"),"Good clothes is not very thick, a good wear autumn, when the intermediate layer may also be")</f>
        <v>Good clothes is not very thick, a good wear autumn, when the intermediate layer may also be</v>
      </c>
    </row>
    <row r="3956">
      <c r="A3956" s="1">
        <v>2.0</v>
      </c>
      <c r="B3956" s="1" t="s">
        <v>3942</v>
      </c>
      <c r="C3956" t="str">
        <f>IFERROR(__xludf.DUMMYFUNCTION("GOOGLETRANSLATE(B3956, ""zh"", ""en"")"),"They are crushed toothbrush good, but the packaging is too residue, not used, and it broke 3")</f>
        <v>They are crushed toothbrush good, but the packaging is too residue, not used, and it broke 3</v>
      </c>
    </row>
    <row r="3957">
      <c r="A3957" s="1">
        <v>3.0</v>
      </c>
      <c r="B3957" s="1" t="s">
        <v>3943</v>
      </c>
      <c r="C3957" t="str">
        <f>IFERROR(__xludf.DUMMYFUNCTION("GOOGLETRANSLATE(B3957, ""zh"", ""en"")"),"Super super clothes, buy XXXL, the fat guy wearing a better, much larger than the normal version")</f>
        <v>Super super clothes, buy XXXL, the fat guy wearing a better, much larger than the normal version</v>
      </c>
    </row>
    <row r="3958">
      <c r="A3958" s="1">
        <v>3.0</v>
      </c>
      <c r="B3958" s="1" t="s">
        <v>3944</v>
      </c>
      <c r="C3958" t="str">
        <f>IFERROR(__xludf.DUMMYFUNCTION("GOOGLETRANSLATE(B3958, ""zh"", ""en"")"),"There are a few scratch marks as a leading man for the first time scouring the sea lacks experience, with great expectations, but many leading across the sea to get scratched. Yen value is not high. . A little disappointed.")</f>
        <v>There are a few scratch marks as a leading man for the first time scouring the sea lacks experience, with great expectations, but many leading across the sea to get scratched. Yen value is not high. . A little disappointed.</v>
      </c>
    </row>
    <row r="3959">
      <c r="A3959" s="1">
        <v>1.0</v>
      </c>
      <c r="B3959" s="1" t="s">
        <v>3945</v>
      </c>
      <c r="C3959" t="str">
        <f>IFERROR(__xludf.DUMMYFUNCTION("GOOGLETRANSLATE(B3959, ""zh"", ""en"")"),"Poor quality is a little plush lining, try when hair loss is very serious. Clothes obvious thread, but for amazon overseas purchase, really thought it was fake! Poor quality")</f>
        <v>Poor quality is a little plush lining, try when hair loss is very serious. Clothes obvious thread, but for amazon overseas purchase, really thought it was fake! Poor quality</v>
      </c>
    </row>
    <row r="3960">
      <c r="A3960" s="1">
        <v>1.0</v>
      </c>
      <c r="B3960" s="1" t="s">
        <v>3946</v>
      </c>
      <c r="C3960" t="str">
        <f>IFERROR(__xludf.DUMMYFUNCTION("GOOGLETRANSLATE(B3960, ""zh"", ""en"")"),"8 too fake too fake it, than the worst fake goods Taobao also false")</f>
        <v>8 too fake too fake it, than the worst fake goods Taobao also false</v>
      </c>
    </row>
    <row r="3961">
      <c r="A3961" s="1">
        <v>1.0</v>
      </c>
      <c r="B3961" s="1" t="s">
        <v>3947</v>
      </c>
      <c r="C3961" t="str">
        <f>IFERROR(__xludf.DUMMYFUNCTION("GOOGLETRANSLATE(B3961, ""zh"", ""en"")"),"I usually wear a fat guy installed in yards, sent me a XXXL")</f>
        <v>I usually wear a fat guy installed in yards, sent me a XXXL</v>
      </c>
    </row>
    <row r="3962">
      <c r="A3962" s="1">
        <v>4.0</v>
      </c>
      <c r="B3962" s="1" t="s">
        <v>3948</v>
      </c>
      <c r="C3962" t="str">
        <f>IFERROR(__xludf.DUMMYFUNCTION("GOOGLETRANSLATE(B3962, ""zh"", ""en"")"),"Cost-effective than expected arrived early, pencil child very satisfied.")</f>
        <v>Cost-effective than expected arrived early, pencil child very satisfied.</v>
      </c>
    </row>
    <row r="3963">
      <c r="A3963" s="1">
        <v>4.0</v>
      </c>
      <c r="B3963" s="1" t="s">
        <v>3949</v>
      </c>
      <c r="C3963" t="str">
        <f>IFERROR(__xludf.DUMMYFUNCTION("GOOGLETRANSLATE(B3963, ""zh"", ""en"")"),"As cost-effective than the state line MIC, turn around to come back cheaper faster than half the state line; plug also applies, not price PRIME some regret; to improve the quality of life of small objects.")</f>
        <v>As cost-effective than the state line MIC, turn around to come back cheaper faster than half the state line; plug also applies, not price PRIME some regret; to improve the quality of life of small objects.</v>
      </c>
    </row>
    <row r="3964">
      <c r="A3964" s="1">
        <v>4.0</v>
      </c>
      <c r="B3964" s="1" t="s">
        <v>3950</v>
      </c>
      <c r="C3964" t="str">
        <f>IFERROR(__xludf.DUMMYFUNCTION("GOOGLETRANSLATE(B3964, ""zh"", ""en"")"),"Lay fish oil fish oil has arrived in the United States and Crafts, did not eat, just feel lighter than the color of the bottle from the United States brought back some color. I hope that is genuine.")</f>
        <v>Lay fish oil fish oil has arrived in the United States and Crafts, did not eat, just feel lighter than the color of the bottle from the United States brought back some color. I hope that is genuine.</v>
      </c>
    </row>
    <row r="3965">
      <c r="A3965" s="1">
        <v>4.0</v>
      </c>
      <c r="B3965" s="1" t="s">
        <v>3951</v>
      </c>
      <c r="C3965" t="str">
        <f>IFERROR(__xludf.DUMMYFUNCTION("GOOGLETRANSLATE(B3965, ""zh"", ""en"")"),"Do not increase the pot a bit stuffy high frequency long point and then make a formal comment on it")</f>
        <v>Do not increase the pot a bit stuffy high frequency long point and then make a formal comment on it</v>
      </c>
    </row>
    <row r="3966">
      <c r="A3966" s="1">
        <v>4.0</v>
      </c>
      <c r="B3966" s="1" t="s">
        <v>3952</v>
      </c>
      <c r="C3966" t="str">
        <f>IFERROR(__xludf.DUMMYFUNCTION("GOOGLETRANSLATE(B3966, ""zh"", ""en"")"),"Try a little under slightly larger, estimated to be relatively small my head right")</f>
        <v>Try a little under slightly larger, estimated to be relatively small my head right</v>
      </c>
    </row>
    <row r="3967">
      <c r="A3967" s="1">
        <v>5.0</v>
      </c>
      <c r="B3967" s="1" t="s">
        <v>3953</v>
      </c>
      <c r="C3967" t="str">
        <f>IFERROR(__xludf.DUMMYFUNCTION("GOOGLETRANSLATE(B3967, ""zh"", ""en"")"),"Do not hoard goods from the previous evaluation, I do not know how many wasted points, points can change money now know, they should look carefully evaluated, then I put these words to copy to go, both to earn points, but also save trouble, where one copy"&amp;" where, sent directly to it, recommend it to everyone!")</f>
        <v>Do not hoard goods from the previous evaluation, I do not know how many wasted points, points can change money now know, they should look carefully evaluated, then I put these words to copy to go, both to earn points, but also save trouble, where one copy where, sent directly to it, recommend it to everyone!</v>
      </c>
    </row>
    <row r="3968">
      <c r="A3968" s="1">
        <v>5.0</v>
      </c>
      <c r="B3968" s="1" t="s">
        <v>3954</v>
      </c>
      <c r="C3968" t="str">
        <f>IFERROR(__xludf.DUMMYFUNCTION("GOOGLETRANSLATE(B3968, ""zh"", ""en"")"),"Light 168,60kg s code slightly warm, very warm")</f>
        <v>Light 168,60kg s code slightly warm, very warm</v>
      </c>
    </row>
    <row r="3969">
      <c r="A3969" s="1">
        <v>5.0</v>
      </c>
      <c r="B3969" s="1" t="s">
        <v>3955</v>
      </c>
      <c r="C3969" t="str">
        <f>IFERROR(__xludf.DUMMYFUNCTION("GOOGLETRANSLATE(B3969, ""zh"", ""en"")"),"Very fond of taking advantage of Amazon's activities, my husband and I each bought a pair of boots rhubarb, cheaper than the counter 600, and the size is also just right, very very special satisfaction, wearing a cold a few days ago, these days it is appr"&amp;"opriate to wear it out")</f>
        <v>Very fond of taking advantage of Amazon's activities, my husband and I each bought a pair of boots rhubarb, cheaper than the counter 600, and the size is also just right, very very special satisfaction, wearing a cold a few days ago, these days it is appropriate to wear it out</v>
      </c>
    </row>
    <row r="3970">
      <c r="A3970" s="1">
        <v>5.0</v>
      </c>
      <c r="B3970" s="1" t="s">
        <v>3956</v>
      </c>
      <c r="C3970" t="str">
        <f>IFERROR(__xludf.DUMMYFUNCTION("GOOGLETRANSLATE(B3970, ""zh"", ""en"")"),"One quality of a good size is too large. Let me talk about the quality of the shoes, in general, lesser than the domestic counter, produced in India, details are in Fig. On foot more comfortable. Besides lower shoe size, I 290 feet long, but some thick fo"&amp;"ot wide fat, its domestic music 44, 45 Adidas Nike Andean Cage, shoes, all 46. SKECHERS 45 overseas purchase. This bought 45, us11.5, the overall larger size. The tax 258, for your reference.")</f>
        <v>One quality of a good size is too large. Let me talk about the quality of the shoes, in general, lesser than the domestic counter, produced in India, details are in Fig. On foot more comfortable. Besides lower shoe size, I 290 feet long, but some thick foot wide fat, its domestic music 44, 45 Adidas Nike Andean Cage, shoes, all 46. SKECHERS 45 overseas purchase. This bought 45, us11.5, the overall larger size. The tax 258, for your reference.</v>
      </c>
    </row>
    <row r="3971">
      <c r="A3971" s="1">
        <v>5.0</v>
      </c>
      <c r="B3971" s="1" t="s">
        <v>3957</v>
      </c>
      <c r="C3971" t="str">
        <f>IFERROR(__xludf.DUMMYFUNCTION("GOOGLETRANSLATE(B3971, ""zh"", ""en"")"),"Tight neck, fit other good, very appropriate, 173cm, 72kg, there is little stomach, but if the neck is a bit tight, then tie fight. So I'm not going to wear a tie is appropriate.")</f>
        <v>Tight neck, fit other good, very appropriate, 173cm, 72kg, there is little stomach, but if the neck is a bit tight, then tie fight. So I'm not going to wear a tie is appropriate.</v>
      </c>
    </row>
    <row r="3972">
      <c r="A3972" s="1">
        <v>5.0</v>
      </c>
      <c r="B3972" s="1" t="s">
        <v>3958</v>
      </c>
      <c r="C3972" t="str">
        <f>IFERROR(__xludf.DUMMYFUNCTION("GOOGLETRANSLATE(B3972, ""zh"", ""en"")"),"Slim Straight jeans good, I like the way")</f>
        <v>Slim Straight jeans good, I like the way</v>
      </c>
    </row>
    <row r="3973">
      <c r="A3973" s="1">
        <v>5.0</v>
      </c>
      <c r="B3973" s="1" t="s">
        <v>3959</v>
      </c>
      <c r="C3973" t="str">
        <f>IFERROR(__xludf.DUMMYFUNCTION("GOOGLETRANSLATE(B3973, ""zh"", ""en"")"),"Praise not to wear, feeling okay. Introduction as good as hoped.")</f>
        <v>Praise not to wear, feeling okay. Introduction as good as hoped.</v>
      </c>
    </row>
    <row r="3974">
      <c r="A3974" s="1">
        <v>5.0</v>
      </c>
      <c r="B3974" s="1" t="s">
        <v>3960</v>
      </c>
      <c r="C3974" t="str">
        <f>IFERROR(__xludf.DUMMYFUNCTION("GOOGLETRANSLATE(B3974, ""zh"", ""en"")"),"... I bought a total of three. Here is that, some critics say is a fake, as far as I know, this is indeed and domestic stores of goods is not the same, including the zipper marking, play dates pants pocket, pants pocket shape. This should be the United St"&amp;"ates of supermarket goods, quality is the ratio of domestic goods store almost. But okay, after all, the price difference · several times, and this is indeed the real thing.")</f>
        <v>... I bought a total of three. Here is that, some critics say is a fake, as far as I know, this is indeed and domestic stores of goods is not the same, including the zipper marking, play dates pants pocket, pants pocket shape. This should be the United States of supermarket goods, quality is the ratio of domestic goods store almost. But okay, after all, the price difference · several times, and this is indeed the real thing.</v>
      </c>
    </row>
    <row r="3975">
      <c r="A3975" s="1">
        <v>5.0</v>
      </c>
      <c r="B3975" s="1" t="s">
        <v>3961</v>
      </c>
      <c r="C3975" t="str">
        <f>IFERROR(__xludf.DUMMYFUNCTION("GOOGLETRANSLATE(B3975, ""zh"", ""en"")"),"Shoes, good quality, good style good quality shoes, style is great")</f>
        <v>Shoes, good quality, good style good quality shoes, style is great</v>
      </c>
    </row>
    <row r="3976">
      <c r="A3976" s="1">
        <v>5.0</v>
      </c>
      <c r="B3976" s="1" t="s">
        <v>3962</v>
      </c>
      <c r="C3976" t="str">
        <f>IFERROR(__xludf.DUMMYFUNCTION("GOOGLETRANSLATE(B3976, ""zh"", ""en"")"),"Lightweight bag satisfaction, blue and red small satchel.")</f>
        <v>Lightweight bag satisfaction, blue and red small satchel.</v>
      </c>
    </row>
    <row r="3977">
      <c r="A3977" s="1">
        <v>5.0</v>
      </c>
      <c r="B3977" s="1" t="s">
        <v>3963</v>
      </c>
      <c r="C3977" t="str">
        <f>IFERROR(__xludf.DUMMYFUNCTION("GOOGLETRANSLATE(B3977, ""zh"", ""en"")"),"Cup watertight always good, watertight how can take to drink")</f>
        <v>Cup watertight always good, watertight how can take to drink</v>
      </c>
    </row>
    <row r="3978">
      <c r="A3978" s="1">
        <v>5.0</v>
      </c>
      <c r="B3978" s="1" t="s">
        <v>3964</v>
      </c>
      <c r="C3978" t="str">
        <f>IFERROR(__xludf.DUMMYFUNCTION("GOOGLETRANSLATE(B3978, ""zh"", ""en"")"),"Lighter than expected than expected light, I 260 feet long, 25.6 feet around. US8M wear just the right, for your reference")</f>
        <v>Lighter than expected than expected light, I 260 feet long, 25.6 feet around. US8M wear just the right, for your reference</v>
      </c>
    </row>
    <row r="3979">
      <c r="A3979" s="1">
        <v>5.0</v>
      </c>
      <c r="B3979" s="1" t="s">
        <v>3965</v>
      </c>
      <c r="C3979" t="str">
        <f>IFERROR(__xludf.DUMMYFUNCTION("GOOGLETRANSLATE(B3979, ""zh"", ""en"")"),"Price satisfaction treasure Zhendian too appropriate, hand one week")</f>
        <v>Price satisfaction treasure Zhendian too appropriate, hand one week</v>
      </c>
    </row>
    <row r="3980">
      <c r="A3980" s="1">
        <v>5.0</v>
      </c>
      <c r="B3980" s="1" t="s">
        <v>3966</v>
      </c>
      <c r="C3980" t="str">
        <f>IFERROR(__xludf.DUMMYFUNCTION("GOOGLETRANSLATE(B3980, ""zh"", ""en"")"),"Very good value handsome, UK size standards.")</f>
        <v>Very good value handsome, UK size standards.</v>
      </c>
    </row>
    <row r="3981">
      <c r="A3981" s="1">
        <v>5.0</v>
      </c>
      <c r="B3981" s="1" t="s">
        <v>3967</v>
      </c>
      <c r="C3981" t="str">
        <f>IFERROR(__xludf.DUMMYFUNCTION("GOOGLETRANSLATE(B3981, ""zh"", ""en"")"),"(Gunze) GUNZE no rims bra gentle Story back extremely relaxed and comfortable beige is the way I expected, good material, Ye Hao looks")</f>
        <v>(Gunze) GUNZE no rims bra gentle Story back extremely relaxed and comfortable beige is the way I expected, good material, Ye Hao looks</v>
      </c>
    </row>
    <row r="3982">
      <c r="A3982" s="1">
        <v>5.0</v>
      </c>
      <c r="B3982" s="1" t="s">
        <v>3968</v>
      </c>
      <c r="C3982" t="str">
        <f>IFERROR(__xludf.DUMMYFUNCTION("GOOGLETRANSLATE(B3982, ""zh"", ""en"")"),"Convenient and practical tool for baby food supplement food supplement field now, with this on a lot of convenience, can be refrigerated or frozen, heat is also convenient! Trust Amazon!")</f>
        <v>Convenient and practical tool for baby food supplement food supplement field now, with this on a lot of convenience, can be refrigerated or frozen, heat is also convenient! Trust Amazon!</v>
      </c>
    </row>
    <row r="3983">
      <c r="A3983" s="1">
        <v>5.0</v>
      </c>
      <c r="B3983" s="1" t="s">
        <v>3969</v>
      </c>
      <c r="C3983" t="str">
        <f>IFERROR(__xludf.DUMMYFUNCTION("GOOGLETRANSLATE(B3983, ""zh"", ""en"")"),"Very fit according to size selected on the line, very fit, better quality! Than H &amp; amp; M or Uniqlo buy better and more cost-effective.")</f>
        <v>Very fit according to size selected on the line, very fit, better quality! Than H &amp; amp; M or Uniqlo buy better and more cost-effective.</v>
      </c>
    </row>
    <row r="3984">
      <c r="A3984" s="1">
        <v>5.0</v>
      </c>
      <c r="B3984" s="1" t="s">
        <v>3970</v>
      </c>
      <c r="C3984" t="str">
        <f>IFERROR(__xludf.DUMMYFUNCTION("GOOGLETRANSLATE(B3984, ""zh"", ""en"")"),"Although the experience can still be shipped waiting nearly 20 days, added to the hands of time, a total of a month. But the price is right you can ignore the wait, is not particularly interested in coffee, so this select multiple points, they do not how "&amp;"to clean, clean.")</f>
        <v>Although the experience can still be shipped waiting nearly 20 days, added to the hands of time, a total of a month. But the price is right you can ignore the wait, is not particularly interested in coffee, so this select multiple points, they do not how to clean, clean.</v>
      </c>
    </row>
    <row r="3985">
      <c r="A3985" s="1">
        <v>5.0</v>
      </c>
      <c r="B3985" s="1" t="s">
        <v>3971</v>
      </c>
      <c r="C3985" t="str">
        <f>IFERROR(__xludf.DUMMYFUNCTION("GOOGLETRANSLATE(B3985, ""zh"", ""en"")"),"Sanei a 🚿 useful particularly to a switch! Used for a long time and there is no problem!")</f>
        <v>Sanei a 🚿 useful particularly to a switch! Used for a long time and there is no problem!</v>
      </c>
    </row>
    <row r="3986">
      <c r="A3986" s="1">
        <v>5.0</v>
      </c>
      <c r="B3986" s="1" t="s">
        <v>3972</v>
      </c>
      <c r="C3986" t="str">
        <f>IFERROR(__xludf.DUMMYFUNCTION("GOOGLETRANSLATE(B3986, ""zh"", ""en"")"),"Well equipped with a transformer with a very good, I did not need to spend thousands to buy a domestic version of it")</f>
        <v>Well equipped with a transformer with a very good, I did not need to spend thousands to buy a domestic version of it</v>
      </c>
    </row>
    <row r="3987">
      <c r="A3987" s="1">
        <v>5.0</v>
      </c>
      <c r="B3987" s="1" t="s">
        <v>3973</v>
      </c>
      <c r="C3987" t="str">
        <f>IFERROR(__xludf.DUMMYFUNCTION("GOOGLETRANSLATE(B3987, ""zh"", ""en"")"),"Good relatively large, looks nice.")</f>
        <v>Good relatively large, looks nice.</v>
      </c>
    </row>
    <row r="3988">
      <c r="A3988" s="1">
        <v>5.0</v>
      </c>
      <c r="B3988" s="1" t="s">
        <v>3974</v>
      </c>
      <c r="C3988" t="str">
        <f>IFERROR(__xludf.DUMMYFUNCTION("GOOGLETRANSLATE(B3988, ""zh"", ""en"")"),"Ease decompression great effect! Wearing no sense of restraint, that effect is not in place, did not expect to get up early to take off pantyhose, whole legs were a lot of light and comfortable. Two days ago because of severe leg pain exercise too large, "&amp;"but also reduce pain through many a night. Fortunately, I bought two, ready two days a wash, insisted on wearing it. Do not expect stovepipe, decompression can prevent varicose veins is good.")</f>
        <v>Ease decompression great effect! Wearing no sense of restraint, that effect is not in place, did not expect to get up early to take off pantyhose, whole legs were a lot of light and comfortable. Two days ago because of severe leg pain exercise too large, but also reduce pain through many a night. Fortunately, I bought two, ready two days a wash, insisted on wearing it. Do not expect stovepipe, decompression can prevent varicose veins is good.</v>
      </c>
    </row>
    <row r="3989">
      <c r="A3989" s="1">
        <v>2.0</v>
      </c>
      <c r="B3989" s="1" t="s">
        <v>3975</v>
      </c>
      <c r="C3989" t="str">
        <f>IFERROR(__xludf.DUMMYFUNCTION("GOOGLETRANSLATE(B3989, ""zh"", ""en"")"),"Workmanship not work too bad, considering this price, forget refundable")</f>
        <v>Workmanship not work too bad, considering this price, forget refundable</v>
      </c>
    </row>
    <row r="3990">
      <c r="A3990" s="1">
        <v>3.0</v>
      </c>
      <c r="B3990" s="1" t="s">
        <v>3976</v>
      </c>
      <c r="C3990" t="str">
        <f>IFERROR(__xludf.DUMMYFUNCTION("GOOGLETRANSLATE(B3990, ""zh"", ""en"")"),"Like the split-off of the general purse, wallet skin with small holes, slightly damaged, as well as ink taste, feeling a bit strange, well, will use it")</f>
        <v>Like the split-off of the general purse, wallet skin with small holes, slightly damaged, as well as ink taste, feeling a bit strange, well, will use it</v>
      </c>
    </row>
    <row r="3991">
      <c r="A3991" s="1">
        <v>3.0</v>
      </c>
      <c r="B3991" s="1" t="s">
        <v>3977</v>
      </c>
      <c r="C3991" t="str">
        <f>IFERROR(__xludf.DUMMYFUNCTION("GOOGLETRANSLATE(B3991, ""zh"", ""en"")"),"Size is too large clothes line, but size really is too large, the proposed small two yards (/// ▽ ///)")</f>
        <v>Size is too large clothes line, but size really is too large, the proposed small two yards (/// ▽ ///)</v>
      </c>
    </row>
    <row r="3992">
      <c r="A3992" s="1">
        <v>3.0</v>
      </c>
      <c r="B3992" s="1" t="s">
        <v>3978</v>
      </c>
      <c r="C3992" t="str">
        <f>IFERROR(__xludf.DUMMYFUNCTION("GOOGLETRANSLATE(B3992, ""zh"", ""en"")"),"Legs too fat waist and legs too fat little legs some too fat")</f>
        <v>Legs too fat waist and legs too fat little legs some too fat</v>
      </c>
    </row>
    <row r="3993">
      <c r="A3993" s="1">
        <v>1.0</v>
      </c>
      <c r="B3993" s="1" t="s">
        <v>3979</v>
      </c>
      <c r="C3993" t="str">
        <f>IFERROR(__xludf.DUMMYFUNCTION("GOOGLETRANSLATE(B3993, ""zh"", ""en"")"),"Size is too large, it did not fit. Size is too large, it did not fit. I stood not wear, disappointed.")</f>
        <v>Size is too large, it did not fit. Size is too large, it did not fit. I stood not wear, disappointed.</v>
      </c>
    </row>
    <row r="3994">
      <c r="A3994" s="1">
        <v>1.0</v>
      </c>
      <c r="B3994" s="1" t="s">
        <v>3980</v>
      </c>
      <c r="C3994" t="str">
        <f>IFERROR(__xludf.DUMMYFUNCTION("GOOGLETRANSLATE(B3994, ""zh"", ""en"")"),"Disappointed something bad, the feeling of being transferred packet, one is whole, one is scattered")</f>
        <v>Disappointed something bad, the feeling of being transferred packet, one is whole, one is scattered</v>
      </c>
    </row>
    <row r="3995">
      <c r="A3995" s="1">
        <v>1.0</v>
      </c>
      <c r="B3995" s="1" t="s">
        <v>3981</v>
      </c>
      <c r="C3995" t="str">
        <f>IFERROR(__xludf.DUMMYFUNCTION("GOOGLETRANSLATE(B3995, ""zh"", ""en"")"),"Rough handle it is not genuine, the production strain release handle and many other problems, a film line sized sub-handle")</f>
        <v>Rough handle it is not genuine, the production strain release handle and many other problems, a film line sized sub-handle</v>
      </c>
    </row>
    <row r="3996">
      <c r="A3996" s="1">
        <v>4.0</v>
      </c>
      <c r="B3996" s="1" t="s">
        <v>3982</v>
      </c>
      <c r="C3996" t="str">
        <f>IFERROR(__xludf.DUMMYFUNCTION("GOOGLETRANSLATE(B3996, ""zh"", ""en"")"),"Although the headphones cheap, but supporting expensive ah! Amp, players engage them far more expensive deals this small, start easy, with so hard.")</f>
        <v>Although the headphones cheap, but supporting expensive ah! Amp, players engage them far more expensive deals this small, start easy, with so hard.</v>
      </c>
    </row>
    <row r="3997">
      <c r="A3997" s="1">
        <v>4.0</v>
      </c>
      <c r="B3997" s="1" t="s">
        <v>3983</v>
      </c>
      <c r="C3997" t="str">
        <f>IFERROR(__xludf.DUMMYFUNCTION("GOOGLETRANSLATE(B3997, ""zh"", ""en"")"),"L code L yards and almost 175 domestic, fabric elastic, but the general feeling, fine workmanship of the line, not looking at the block times, wearing comfortable, medium size, the price is value for money.")</f>
        <v>L code L yards and almost 175 domestic, fabric elastic, but the general feeling, fine workmanship of the line, not looking at the block times, wearing comfortable, medium size, the price is value for money.</v>
      </c>
    </row>
    <row r="3998">
      <c r="A3998" s="1">
        <v>4.0</v>
      </c>
      <c r="B3998" s="1" t="s">
        <v>3984</v>
      </c>
      <c r="C3998" t="str">
        <f>IFERROR(__xludf.DUMMYFUNCTION("GOOGLETRANSLATE(B3998, ""zh"", ""en"")"),"Good easy to use, expensive. Smooth baby milk, buy-back. Bottle will exhaust.")</f>
        <v>Good easy to use, expensive. Smooth baby milk, buy-back. Bottle will exhaust.</v>
      </c>
    </row>
    <row r="3999">
      <c r="A3999" s="1">
        <v>4.0</v>
      </c>
      <c r="B3999" s="1" t="s">
        <v>3985</v>
      </c>
      <c r="C3999" t="str">
        <f>IFERROR(__xludf.DUMMYFUNCTION("GOOGLETRANSLATE(B3999, ""zh"", ""en"")"),"Material fine, golden zipper is very eye-catching color picture point of view of the zipper is not very clear, practical zipper is gold Tyrant, very flash")</f>
        <v>Material fine, golden zipper is very eye-catching color picture point of view of the zipper is not very clear, practical zipper is gold Tyrant, very flash</v>
      </c>
    </row>
    <row r="4000">
      <c r="A4000" s="1">
        <v>5.0</v>
      </c>
      <c r="B4000" s="1" t="s">
        <v>3986</v>
      </c>
      <c r="C4000" t="str">
        <f>IFERROR(__xludf.DUMMYFUNCTION("GOOGLETRANSLATE(B4000, ""zh"", ""en"")"),"Satisfaction big bottle for the family's health! To stick with, and then run out to something good!")</f>
        <v>Satisfaction big bottle for the family's health! To stick with, and then run out to something good!</v>
      </c>
    </row>
    <row r="4001">
      <c r="A4001" s="1">
        <v>5.0</v>
      </c>
      <c r="B4001" s="1" t="s">
        <v>3987</v>
      </c>
      <c r="C4001" t="str">
        <f>IFERROR(__xludf.DUMMYFUNCTION("GOOGLETRANSLATE(B4001, ""zh"", ""en"")"),"They can be charged directly in the 220V voltage? Not yet arrived when I saw the United States voltage is 110V, in China is 220V, it can be directly charged?")</f>
        <v>They can be charged directly in the 220V voltage? Not yet arrived when I saw the United States voltage is 110V, in China is 220V, it can be directly charged?</v>
      </c>
    </row>
    <row r="4002">
      <c r="A4002" s="1">
        <v>5.0</v>
      </c>
      <c r="B4002" s="1" t="s">
        <v>3988</v>
      </c>
      <c r="C4002" t="str">
        <f>IFERROR(__xludf.DUMMYFUNCTION("GOOGLETRANSLATE(B4002, ""zh"", ""en"")"),"This is pure wok, after cleaning after use, add a layer of oil will not rust. Pot is good pot is too short to handle, a hand-side fixed ah, manufacturers design such a short handle, just to enter the oven, do not think about it, China's national condition"&amp;"s, the Chinese people is a favorite cooking ah!")</f>
        <v>This is pure wok, after cleaning after use, add a layer of oil will not rust. Pot is good pot is too short to handle, a hand-side fixed ah, manufacturers design such a short handle, just to enter the oven, do not think about it, China's national conditions, the Chinese people is a favorite cooking ah!</v>
      </c>
    </row>
    <row r="4003">
      <c r="A4003" s="1">
        <v>5.0</v>
      </c>
      <c r="B4003" s="1" t="s">
        <v>3989</v>
      </c>
      <c r="C4003" t="str">
        <f>IFERROR(__xludf.DUMMYFUNCTION("GOOGLETRANSLATE(B4003, ""zh"", ""en"")"),"With the bad with the good, buy a conversion head")</f>
        <v>With the bad with the good, buy a conversion head</v>
      </c>
    </row>
    <row r="4004">
      <c r="A4004" s="1">
        <v>5.0</v>
      </c>
      <c r="B4004" s="1" t="s">
        <v>3990</v>
      </c>
      <c r="C4004" t="str">
        <f>IFERROR(__xludf.DUMMYFUNCTION("GOOGLETRANSLATE(B4004, ""zh"", ""en"")"),"Loose height 180, weight 210 pounds, wearing xl loose, but take along a little short length, sleeve length suitable.")</f>
        <v>Loose height 180, weight 210 pounds, wearing xl loose, but take along a little short length, sleeve length suitable.</v>
      </c>
    </row>
    <row r="4005">
      <c r="A4005" s="1">
        <v>5.0</v>
      </c>
      <c r="B4005" s="1" t="s">
        <v>3991</v>
      </c>
      <c r="C4005" t="str">
        <f>IFERROR(__xludf.DUMMYFUNCTION("GOOGLETRANSLATE(B4005, ""zh"", ""en"")"),"A gift to his father, he was very fond of! He bought a pair of Timberland Flume was full of praise after seeing his father, decided to buy a pair of the same to him, but not the right size, buy a classic White Ledge, black color he liked, 8W of size is al"&amp;"so positive close to his size. Father felt winter wear these shoes in Shanghai most suitable, not cold not afraid of rain. He was satisfied, I am very happy!")</f>
        <v>A gift to his father, he was very fond of! He bought a pair of Timberland Flume was full of praise after seeing his father, decided to buy a pair of the same to him, but not the right size, buy a classic White Ledge, black color he liked, 8W of size is also positive close to his size. Father felt winter wear these shoes in Shanghai most suitable, not cold not afraid of rain. He was satisfied, I am very happy!</v>
      </c>
    </row>
    <row r="4006">
      <c r="A4006" s="1">
        <v>5.0</v>
      </c>
      <c r="B4006" s="1" t="s">
        <v>3992</v>
      </c>
      <c r="C4006" t="str">
        <f>IFERROR(__xludf.DUMMYFUNCTION("GOOGLETRANSLATE(B4006, ""zh"", ""en"")"),"Steel straight men must have easy to cry, forgive me all i know Eupolyphaga mug evolved to such a convenience!")</f>
        <v>Steel straight men must have easy to cry, forgive me all i know Eupolyphaga mug evolved to such a convenience!</v>
      </c>
    </row>
    <row r="4007">
      <c r="A4007" s="1">
        <v>5.0</v>
      </c>
      <c r="B4007" s="1" t="s">
        <v>3993</v>
      </c>
      <c r="C4007" t="str">
        <f>IFERROR(__xludf.DUMMYFUNCTION("GOOGLETRANSLATE(B4007, ""zh"", ""en"")"),"The first overseas purchase Amoy success! Born baby soon, to the baby stockpile. Overseas purchase really rapidly, very good shopping experience ......")</f>
        <v>The first overseas purchase Amoy success! Born baby soon, to the baby stockpile. Overseas purchase really rapidly, very good shopping experience ......</v>
      </c>
    </row>
    <row r="4008">
      <c r="A4008" s="1">
        <v>5.0</v>
      </c>
      <c r="B4008" s="1" t="s">
        <v>3994</v>
      </c>
      <c r="C4008" t="str">
        <f>IFERROR(__xludf.DUMMYFUNCTION("GOOGLETRANSLATE(B4008, ""zh"", ""en"")"),"Praise good! With more than a month, waterproof effect is obvious!")</f>
        <v>Praise good! With more than a month, waterproof effect is obvious!</v>
      </c>
    </row>
    <row r="4009">
      <c r="A4009" s="1">
        <v>5.0</v>
      </c>
      <c r="B4009" s="1" t="s">
        <v>3995</v>
      </c>
      <c r="C4009" t="str">
        <f>IFERROR(__xludf.DUMMYFUNCTION("GOOGLETRANSLATE(B4009, ""zh"", ""en"")"),"Amazon can of great self-products overseas, and domestic importers buy difference is not sealed posted overseas purchase money, good taste, a little sweet")</f>
        <v>Amazon can of great self-products overseas, and domestic importers buy difference is not sealed posted overseas purchase money, good taste, a little sweet</v>
      </c>
    </row>
    <row r="4010">
      <c r="A4010" s="1">
        <v>5.0</v>
      </c>
      <c r="B4010" s="1" t="s">
        <v>3996</v>
      </c>
      <c r="C4010" t="str">
        <f>IFERROR(__xludf.DUMMYFUNCTION("GOOGLETRANSLATE(B4010, ""zh"", ""en"")"),"Fit, good-looking hem this is somewhat small, compared to the United States and Asia champion, Nichia indeed better quality, lint-free, do not fade, sweater material, spring and autumn days can be worn alone, wearing a down jacket in winter! 177/78 wearin"&amp;"g just! Women can wear, I 130 pounds, wearing a little bit loose, but also good-looking!")</f>
        <v>Fit, good-looking hem this is somewhat small, compared to the United States and Asia champion, Nichia indeed better quality, lint-free, do not fade, sweater material, spring and autumn days can be worn alone, wearing a down jacket in winter! 177/78 wearing just! Women can wear, I 130 pounds, wearing a little bit loose, but also good-looking!</v>
      </c>
    </row>
    <row r="4011">
      <c r="A4011" s="1">
        <v>5.0</v>
      </c>
      <c r="B4011" s="1" t="s">
        <v>3997</v>
      </c>
      <c r="C4011" t="str">
        <f>IFERROR(__xludf.DUMMYFUNCTION("GOOGLETRANSLATE(B4011, ""zh"", ""en"")"),"Eat it on the girls buy! Originally I thought he could manage a little longer! This dress is entirely of slender models! Version a little big! In the fat of S / M can wear not have to buy a large yard! This year in Taiwan to buy fabric material thickness "&amp;"later many")</f>
        <v>Eat it on the girls buy! Originally I thought he could manage a little longer! This dress is entirely of slender models! Version a little big! In the fat of S / M can wear not have to buy a large yard! This year in Taiwan to buy fabric material thickness later many</v>
      </c>
    </row>
    <row r="4012">
      <c r="A4012" s="1">
        <v>5.0</v>
      </c>
      <c r="B4012" s="1" t="s">
        <v>3998</v>
      </c>
      <c r="C4012" t="str">
        <f>IFERROR(__xludf.DUMMYFUNCTION("GOOGLETRANSLATE(B4012, ""zh"", ""en"")"),"Comfortable fabrics, oversized comfortable fabrics, oversized lot, buy a small one yard.")</f>
        <v>Comfortable fabrics, oversized comfortable fabrics, oversized lot, buy a small one yard.</v>
      </c>
    </row>
    <row r="4013">
      <c r="A4013" s="1">
        <v>5.0</v>
      </c>
      <c r="B4013" s="1" t="s">
        <v>3999</v>
      </c>
      <c r="C4013" t="str">
        <f>IFERROR(__xludf.DUMMYFUNCTION("GOOGLETRANSLATE(B4013, ""zh"", ""en"")"),"vitamix5200 I use it to play juices, very smooth. It is also very easy to clean, can also Cook, meat, rice, soup labeled paste to the elderly to eat very good")</f>
        <v>vitamix5200 I use it to play juices, very smooth. It is also very easy to clean, can also Cook, meat, rice, soup labeled paste to the elderly to eat very good</v>
      </c>
    </row>
    <row r="4014">
      <c r="A4014" s="1">
        <v>5.0</v>
      </c>
      <c r="B4014" s="1" t="s">
        <v>4000</v>
      </c>
      <c r="C4014" t="str">
        <f>IFERROR(__xludf.DUMMYFUNCTION("GOOGLETRANSLATE(B4014, ""zh"", ""en"")"),"It is strongly recommended to buy, not the old stock is cheap and effective, 80. Reference to the back")</f>
        <v>It is strongly recommended to buy, not the old stock is cheap and effective, 80. Reference to the back</v>
      </c>
    </row>
    <row r="4015">
      <c r="A4015" s="1">
        <v>5.0</v>
      </c>
      <c r="B4015" s="1" t="s">
        <v>4001</v>
      </c>
      <c r="C4015" t="str">
        <f>IFERROR(__xludf.DUMMYFUNCTION("GOOGLETRANSLATE(B4015, ""zh"", ""en"")"),"Good quality fancy for a long time, get the goods very good, very appropriate price spike! !")</f>
        <v>Good quality fancy for a long time, get the goods very good, very appropriate price spike! !</v>
      </c>
    </row>
    <row r="4016">
      <c r="A4016" s="1">
        <v>5.0</v>
      </c>
      <c r="B4016" s="1" t="s">
        <v>4002</v>
      </c>
      <c r="C4016" t="str">
        <f>IFERROR(__xludf.DUMMYFUNCTION("GOOGLETRANSLATE(B4016, ""zh"", ""en"")"),"satisfaction. Feel effective. very satisfied.")</f>
        <v>satisfaction. Feel effective. very satisfied.</v>
      </c>
    </row>
    <row r="4017">
      <c r="A4017" s="1">
        <v>5.0</v>
      </c>
      <c r="B4017" s="1" t="s">
        <v>4003</v>
      </c>
      <c r="C4017" t="str">
        <f>IFERROR(__xludf.DUMMYFUNCTION("GOOGLETRANSLATE(B4017, ""zh"", ""en"")"),"Philips electric toothbrush Philips toothbrush with the whole family, as always, praise, nothing else except your shortcomings. If you can send a brush better.")</f>
        <v>Philips electric toothbrush Philips toothbrush with the whole family, as always, praise, nothing else except your shortcomings. If you can send a brush better.</v>
      </c>
    </row>
    <row r="4018">
      <c r="A4018" s="1">
        <v>5.0</v>
      </c>
      <c r="B4018" s="1" t="s">
        <v>4004</v>
      </c>
      <c r="C4018" t="str">
        <f>IFERROR(__xludf.DUMMYFUNCTION("GOOGLETRANSLATE(B4018, ""zh"", ""en"")"),"As comfortable as shorts shorts very very comfortable indeed.")</f>
        <v>As comfortable as shorts shorts very very comfortable indeed.</v>
      </c>
    </row>
    <row r="4019">
      <c r="A4019" s="1">
        <v>5.0</v>
      </c>
      <c r="B4019" s="1" t="s">
        <v>4005</v>
      </c>
      <c r="C4019" t="str">
        <f>IFERROR(__xludf.DUMMYFUNCTION("GOOGLETRANSLATE(B4019, ""zh"", ""en"")"),"Like a good size, very comfortable to wear. Soles slightly harder, it might be resistance design.")</f>
        <v>Like a good size, very comfortable to wear. Soles slightly harder, it might be resistance design.</v>
      </c>
    </row>
    <row r="4020">
      <c r="A4020" s="1">
        <v>5.0</v>
      </c>
      <c r="B4020" s="1" t="s">
        <v>4006</v>
      </c>
      <c r="C4020" t="str">
        <f>IFERROR(__xludf.DUMMYFUNCTION("GOOGLETRANSLATE(B4020, ""zh"", ""en"")"),"worth having. Wear very comfortable, the foot does not significantly large, very satisfied. Logistics is also fast enough. It came earlier than expected for a full six days. keep supporting.")</f>
        <v>worth having. Wear very comfortable, the foot does not significantly large, very satisfied. Logistics is also fast enough. It came earlier than expected for a full six days. keep supporting.</v>
      </c>
    </row>
    <row r="4021">
      <c r="A4021" s="1">
        <v>2.0</v>
      </c>
      <c r="B4021" s="1" t="s">
        <v>4007</v>
      </c>
      <c r="C4021" t="str">
        <f>IFERROR(__xludf.DUMMYFUNCTION("GOOGLETRANSLATE(B4021, ""zh"", ""en"")"),"Before a few useless in the United States and Asia had bought crack, with a few years no problem, then the second child can feed himself, so in the Amazon to buy a set, but among the few useless purple splintered ..")</f>
        <v>Before a few useless in the United States and Asia had bought crack, with a few years no problem, then the second child can feed himself, so in the Amazon to buy a set, but among the few useless purple splintered ..</v>
      </c>
    </row>
    <row r="4022">
      <c r="A4022" s="1">
        <v>3.0</v>
      </c>
      <c r="B4022" s="1" t="s">
        <v>4008</v>
      </c>
      <c r="C4022" t="str">
        <f>IFERROR(__xludf.DUMMYFUNCTION("GOOGLETRANSLATE(B4022, ""zh"", ""en"")"),"Packaging design have inconsistencies with how the lower right corner of the picture 73 different places to")</f>
        <v>Packaging design have inconsistencies with how the lower right corner of the picture 73 different places to</v>
      </c>
    </row>
    <row r="4023">
      <c r="A4023" s="1">
        <v>3.0</v>
      </c>
      <c r="B4023" s="1" t="s">
        <v>4009</v>
      </c>
      <c r="C4023" t="str">
        <f>IFERROR(__xludf.DUMMYFUNCTION("GOOGLETRANSLATE(B4023, ""zh"", ""en"")"),"Quality control is not very good two years ago bought the same pants, very comfortable, so this buy. This time bought two, one two years ago with exactly the same style of pants color, but behind the apparent tight, another one, different colors, actually"&amp;" has a little loose waist. Lee has a quality control problem ah.")</f>
        <v>Quality control is not very good two years ago bought the same pants, very comfortable, so this buy. This time bought two, one two years ago with exactly the same style of pants color, but behind the apparent tight, another one, different colors, actually has a little loose waist. Lee has a quality control problem ah.</v>
      </c>
    </row>
    <row r="4024">
      <c r="A4024" s="1">
        <v>3.0</v>
      </c>
      <c r="B4024" s="1" t="s">
        <v>4010</v>
      </c>
      <c r="C4024" t="str">
        <f>IFERROR(__xludf.DUMMYFUNCTION("GOOGLETRANSLATE(B4024, ""zh"", ""en"")"),"Not Genjiao, this pair of uncomfortable uncomfortable clarks, clarks no other purchase on Amazon and comfortable, these shoes the same size is more crowded feet. Although the feet of the bar, but do not Genjiao, the heel is easy to fall out of the shoe, h"&amp;"eel design is not too shallow? In addition, the shoe should be received by others through the soles dirty, the label is torn up and had then paste again, but turned out to be the opposite of shoe tree in the shoe's support.")</f>
        <v>Not Genjiao, this pair of uncomfortable uncomfortable clarks, clarks no other purchase on Amazon and comfortable, these shoes the same size is more crowded feet. Although the feet of the bar, but do not Genjiao, the heel is easy to fall out of the shoe, heel design is not too shallow? In addition, the shoe should be received by others through the soles dirty, the label is torn up and had then paste again, but turned out to be the opposite of shoe tree in the shoe's support.</v>
      </c>
    </row>
    <row r="4025">
      <c r="A4025" s="1">
        <v>1.0</v>
      </c>
      <c r="B4025" s="1" t="s">
        <v>4011</v>
      </c>
      <c r="C4025" t="str">
        <f>IFERROR(__xludf.DUMMYFUNCTION("GOOGLETRANSLATE(B4025, ""zh"", ""en"")"),"Repeatedly read and write speed issue is not just bad, bad hard disk repeated reading and writing, to a mere 6m / s with the Thunder when things start computer stuck, then there is no download speeds, and often have the file down to half of the not moving"&amp;", always show the disk busy, melancholy.")</f>
        <v>Repeatedly read and write speed issue is not just bad, bad hard disk repeated reading and writing, to a mere 6m / s with the Thunder when things start computer stuck, then there is no download speeds, and often have the file down to half of the not moving, always show the disk busy, melancholy.</v>
      </c>
    </row>
    <row r="4026">
      <c r="A4026" s="1">
        <v>1.0</v>
      </c>
      <c r="B4026" s="1" t="s">
        <v>4012</v>
      </c>
      <c r="C4026" t="str">
        <f>IFERROR(__xludf.DUMMYFUNCTION("GOOGLETRANSLATE(B4026, ""zh"", ""en"")"),"There are more than two months expired metamorphism, not to the overseas direct mail, Hong Kong Free Trade Zone is made, it is sticky, came inside the lid foil seals are drum. Very disappointed")</f>
        <v>There are more than two months expired metamorphism, not to the overseas direct mail, Hong Kong Free Trade Zone is made, it is sticky, came inside the lid foil seals are drum. Very disappointed</v>
      </c>
    </row>
    <row r="4027">
      <c r="A4027" s="1">
        <v>4.0</v>
      </c>
      <c r="B4027" s="1" t="s">
        <v>4013</v>
      </c>
      <c r="C4027" t="str">
        <f>IFERROR(__xludf.DUMMYFUNCTION("GOOGLETRANSLATE(B4027, ""zh"", ""en"")"),"Abdomen with feel the texture can be, but a bit wore down the chest, especially when sitting can not wear, the back must be straight, it will bend a little armpit with chest!")</f>
        <v>Abdomen with feel the texture can be, but a bit wore down the chest, especially when sitting can not wear, the back must be straight, it will bend a little armpit with chest!</v>
      </c>
    </row>
    <row r="4028">
      <c r="A4028" s="1">
        <v>4.0</v>
      </c>
      <c r="B4028" s="1" t="s">
        <v>4014</v>
      </c>
      <c r="C4028" t="str">
        <f>IFERROR(__xludf.DUMMYFUNCTION("GOOGLETRANSLATE(B4028, ""zh"", ""en"")"),"Ecco ecco low-end low-end products can comfort but a lot of gaps and biom series")</f>
        <v>Ecco ecco low-end low-end products can comfort but a lot of gaps and biom series</v>
      </c>
    </row>
    <row r="4029">
      <c r="A4029" s="1">
        <v>4.0</v>
      </c>
      <c r="B4029" s="1" t="s">
        <v>4015</v>
      </c>
      <c r="C4029" t="str">
        <f>IFERROR(__xludf.DUMMYFUNCTION("GOOGLETRANSLATE(B4029, ""zh"", ""en"")"),"Light and comfortable lightweight comfortable next to the skin, like my wife")</f>
        <v>Light and comfortable lightweight comfortable next to the skin, like my wife</v>
      </c>
    </row>
    <row r="4030">
      <c r="A4030" s="1">
        <v>4.0</v>
      </c>
      <c r="B4030" s="1" t="s">
        <v>4016</v>
      </c>
      <c r="C4030" t="str">
        <f>IFERROR(__xludf.DUMMYFUNCTION("GOOGLETRANSLATE(B4030, ""zh"", ""en"")"),"Good pants! Pants great! Just do not know do not fade fade!")</f>
        <v>Good pants! Pants great! Just do not know do not fade fade!</v>
      </c>
    </row>
    <row r="4031">
      <c r="A4031" s="1">
        <v>4.0</v>
      </c>
      <c r="B4031" s="1" t="s">
        <v>4017</v>
      </c>
      <c r="C4031" t="str">
        <f>IFERROR(__xludf.DUMMYFUNCTION("GOOGLETRANSLATE(B4031, ""zh"", ""en"")"),"Hey loose breathable very wide, but also in strict accordance with the length of feet long, and even buy short 0.5, such as the usual 225, 220 can be considered, because there is also a thick insoles can out.")</f>
        <v>Hey loose breathable very wide, but also in strict accordance with the length of feet long, and even buy short 0.5, such as the usual 225, 220 can be considered, because there is also a thick insoles can out.</v>
      </c>
    </row>
    <row r="4032">
      <c r="A4032" s="1">
        <v>5.0</v>
      </c>
      <c r="B4032" s="1" t="s">
        <v>4018</v>
      </c>
      <c r="C4032" t="str">
        <f>IFERROR(__xludf.DUMMYFUNCTION("GOOGLETRANSLATE(B4032, ""zh"", ""en"")"),"Good good quality, comfortable to wear.")</f>
        <v>Good good quality, comfortable to wear.</v>
      </c>
    </row>
    <row r="4033">
      <c r="A4033" s="1">
        <v>5.0</v>
      </c>
      <c r="B4033" s="1" t="s">
        <v>4019</v>
      </c>
      <c r="C4033" t="str">
        <f>IFERROR(__xludf.DUMMYFUNCTION("GOOGLETRANSLATE(B4033, ""zh"", ""en"")"),"Beyerdynamic professional headphones work, sound quality is really nice")</f>
        <v>Beyerdynamic professional headphones work, sound quality is really nice</v>
      </c>
    </row>
    <row r="4034">
      <c r="A4034" s="1">
        <v>5.0</v>
      </c>
      <c r="B4034" s="1" t="s">
        <v>4020</v>
      </c>
      <c r="C4034" t="str">
        <f>IFERROR(__xludf.DUMMYFUNCTION("GOOGLETRANSLATE(B4034, ""zh"", ""en"")"),"It can be a little big good cheap")</f>
        <v>It can be a little big good cheap</v>
      </c>
    </row>
    <row r="4035">
      <c r="A4035" s="1">
        <v>5.0</v>
      </c>
      <c r="B4035" s="1" t="s">
        <v>4021</v>
      </c>
      <c r="C4035" t="str">
        <f>IFERROR(__xludf.DUMMYFUNCTION("GOOGLETRANSLATE(B4035, ""zh"", ""en"")"),"Size reference height 180, 72kg, m number suitable. Version short paragraph")</f>
        <v>Size reference height 180, 72kg, m number suitable. Version short paragraph</v>
      </c>
    </row>
    <row r="4036">
      <c r="A4036" s="1">
        <v>5.0</v>
      </c>
      <c r="B4036" s="1" t="s">
        <v>4022</v>
      </c>
      <c r="C4036" t="str">
        <f>IFERROR(__xludf.DUMMYFUNCTION("GOOGLETRANSLATE(B4036, ""zh"", ""en"")"),"Recommended to buy a smaller size 177,68kg, wearing No. S fit to buy, not tight fit, wrists and hem edge of collapse is very good. Polartec fleece, very warm")</f>
        <v>Recommended to buy a smaller size 177,68kg, wearing No. S fit to buy, not tight fit, wrists and hem edge of collapse is very good. Polartec fleece, very warm</v>
      </c>
    </row>
    <row r="4037">
      <c r="A4037" s="1">
        <v>5.0</v>
      </c>
      <c r="B4037" s="1" t="s">
        <v>4023</v>
      </c>
      <c r="C4037" t="str">
        <f>IFERROR(__xludf.DUMMYFUNCTION("GOOGLETRANSLATE(B4037, ""zh"", ""en"")"),"Super love liked")</f>
        <v>Super love liked</v>
      </c>
    </row>
    <row r="4038">
      <c r="A4038" s="1">
        <v>5.0</v>
      </c>
      <c r="B4038" s="1" t="s">
        <v>4024</v>
      </c>
      <c r="C4038" t="str">
        <f>IFERROR(__xludf.DUMMYFUNCTION("GOOGLETRANSLATE(B4038, ""zh"", ""en"")"),"Good-looking, classic weeding or to super favorite color. Yardage normal")</f>
        <v>Good-looking, classic weeding or to super favorite color. Yardage normal</v>
      </c>
    </row>
    <row r="4039">
      <c r="A4039" s="1">
        <v>5.0</v>
      </c>
      <c r="B4039" s="1" t="s">
        <v>4025</v>
      </c>
      <c r="C4039" t="str">
        <f>IFERROR(__xludf.DUMMYFUNCTION("GOOGLETRANSLATE(B4039, ""zh"", ""en"")"),"Good-looking to wear looks pretty good, worthy of the price, but the fabric feels a little time point! Give 5 stars because this is very different Sleeve")</f>
        <v>Good-looking to wear looks pretty good, worthy of the price, but the fabric feels a little time point! Give 5 stars because this is very different Sleeve</v>
      </c>
    </row>
    <row r="4040">
      <c r="A4040" s="1">
        <v>5.0</v>
      </c>
      <c r="B4040" s="1" t="s">
        <v>4026</v>
      </c>
      <c r="C4040" t="str">
        <f>IFERROR(__xludf.DUMMYFUNCTION("GOOGLETRANSLATE(B4040, ""zh"", ""en"")"),"A successful shopping. Very good, very comfortable. Wind, warm.")</f>
        <v>A successful shopping. Very good, very comfortable. Wind, warm.</v>
      </c>
    </row>
    <row r="4041">
      <c r="A4041" s="1">
        <v>5.0</v>
      </c>
      <c r="B4041" s="1" t="s">
        <v>4027</v>
      </c>
      <c r="C4041" t="str">
        <f>IFERROR(__xludf.DUMMYFUNCTION("GOOGLETRANSLATE(B4041, ""zh"", ""en"")"),"The first purchase of 38.5 feet, its music 5.5UK appropriate. This pair of ecco feels just right, there is no spare, but uncomfortable. I do not know buy a bigger size will be more appropriate.")</f>
        <v>The first purchase of 38.5 feet, its music 5.5UK appropriate. This pair of ecco feels just right, there is no spare, but uncomfortable. I do not know buy a bigger size will be more appropriate.</v>
      </c>
    </row>
    <row r="4042">
      <c r="A4042" s="1">
        <v>5.0</v>
      </c>
      <c r="B4042" s="1" t="s">
        <v>4028</v>
      </c>
      <c r="C4042" t="str">
        <f>IFERROR(__xludf.DUMMYFUNCTION("GOOGLETRANSLATE(B4042, ""zh"", ""en"")"),"Not tight bought a second is connected to the first leg of about 0 degrees are not tight for a very soft and very flexible")</f>
        <v>Not tight bought a second is connected to the first leg of about 0 degrees are not tight for a very soft and very flexible</v>
      </c>
    </row>
    <row r="4043">
      <c r="A4043" s="1">
        <v>5.0</v>
      </c>
      <c r="B4043" s="1" t="s">
        <v>4029</v>
      </c>
      <c r="C4043" t="str">
        <f>IFERROR(__xludf.DUMMYFUNCTION("GOOGLETRANSLATE(B4043, ""zh"", ""en"")"),"Like a great work, upper body was also very effective. Like accordance with the domestic buy right size, if want to buy plus velvet, it is recommended for L122, the same style")</f>
        <v>Like a great work, upper body was also very effective. Like accordance with the domestic buy right size, if want to buy plus velvet, it is recommended for L122, the same style</v>
      </c>
    </row>
    <row r="4044">
      <c r="A4044" s="1">
        <v>5.0</v>
      </c>
      <c r="B4044" s="1" t="s">
        <v>4030</v>
      </c>
      <c r="C4044" t="str">
        <f>IFERROR(__xludf.DUMMYFUNCTION("GOOGLETRANSLATE(B4044, ""zh"", ""en"")"),"e c c o 40 corresponding 9-9.5 United States Code, yards are uk7, buy freshman code, but my mother still feel very comfortable")</f>
        <v>e c c o 40 corresponding 9-9.5 United States Code, yards are uk7, buy freshman code, but my mother still feel very comfortable</v>
      </c>
    </row>
    <row r="4045">
      <c r="A4045" s="1">
        <v>5.0</v>
      </c>
      <c r="B4045" s="1" t="s">
        <v>4031</v>
      </c>
      <c r="C4045" t="str">
        <f>IFERROR(__xludf.DUMMYFUNCTION("GOOGLETRANSLATE(B4045, ""zh"", ""en"")"),"A little long, waist 84 suitable 172/75, waist fit, a bit long")</f>
        <v>A little long, waist 84 suitable 172/75, waist fit, a bit long</v>
      </c>
    </row>
    <row r="4046">
      <c r="A4046" s="1">
        <v>5.0</v>
      </c>
      <c r="B4046" s="1" t="s">
        <v>4032</v>
      </c>
      <c r="C4046" t="str">
        <f>IFERROR(__xludf.DUMMYFUNCTION("GOOGLETRANSLATE(B4046, ""zh"", ""en"")"),"Terrific lot cheaper than domestic, did not expect the reader, very pleasantly surprised. After the arrival immediately use a bit, take 100FPS, slow motion, no problem, in short, great!")</f>
        <v>Terrific lot cheaper than domestic, did not expect the reader, very pleasantly surprised. After the arrival immediately use a bit, take 100FPS, slow motion, no problem, in short, great!</v>
      </c>
    </row>
    <row r="4047">
      <c r="A4047" s="1">
        <v>5.0</v>
      </c>
      <c r="B4047" s="1" t="s">
        <v>4033</v>
      </c>
      <c r="C4047" t="str">
        <f>IFERROR(__xludf.DUMMYFUNCTION("GOOGLETRANSLATE(B4047, ""zh"", ""en"")"),"Good This mesh has been wearing several pieces of")</f>
        <v>Good This mesh has been wearing several pieces of</v>
      </c>
    </row>
    <row r="4048">
      <c r="A4048" s="1">
        <v>5.0</v>
      </c>
      <c r="B4048" s="1" t="s">
        <v>4034</v>
      </c>
      <c r="C4048" t="str">
        <f>IFERROR(__xludf.DUMMYFUNCTION("GOOGLETRANSLATE(B4048, ""zh"", ""en"")"),"Good to eat fast delivery, taste a bit like QQ sugar, day two good health!")</f>
        <v>Good to eat fast delivery, taste a bit like QQ sugar, day two good health!</v>
      </c>
    </row>
    <row r="4049">
      <c r="A4049" s="1">
        <v>5.0</v>
      </c>
      <c r="B4049" s="1" t="s">
        <v>4035</v>
      </c>
      <c r="C4049" t="str">
        <f>IFERROR(__xludf.DUMMYFUNCTION("GOOGLETRANSLATE(B4049, ""zh"", ""en"")"),"Very very appropriate, dimensioning good, buy more appropriate.")</f>
        <v>Very very appropriate, dimensioning good, buy more appropriate.</v>
      </c>
    </row>
    <row r="4050">
      <c r="A4050" s="1">
        <v>5.0</v>
      </c>
      <c r="B4050" s="1" t="s">
        <v>4036</v>
      </c>
      <c r="C4050" t="str">
        <f>IFERROR(__xludf.DUMMYFUNCTION("GOOGLETRANSLATE(B4050, ""zh"", ""en"")"),"After the multi-point such benefits. Personally I feel this is the biggest day of being members of the Amazon. Almost more than half cheaper than the supermarket. Store a large amount of time for half a year.")</f>
        <v>After the multi-point such benefits. Personally I feel this is the biggest day of being members of the Amazon. Almost more than half cheaper than the supermarket. Store a large amount of time for half a year.</v>
      </c>
    </row>
    <row r="4051">
      <c r="A4051" s="1">
        <v>5.0</v>
      </c>
      <c r="B4051" s="1" t="s">
        <v>4037</v>
      </c>
      <c r="C4051" t="str">
        <f>IFERROR(__xludf.DUMMYFUNCTION("GOOGLETRANSLATE(B4051, ""zh"", ""en"")"),"Fit height 173, weight 65, Bust 95, Shoulder 46, wearing just right.")</f>
        <v>Fit height 173, weight 65, Bust 95, Shoulder 46, wearing just right.</v>
      </c>
    </row>
    <row r="4052">
      <c r="A4052" s="1">
        <v>5.0</v>
      </c>
      <c r="B4052" s="1" t="s">
        <v>4038</v>
      </c>
      <c r="C4052" t="str">
        <f>IFERROR(__xludf.DUMMYFUNCTION("GOOGLETRANSLATE(B4052, ""zh"", ""en"")"),"Color fancy, some people prefer someone else to buy, he felt very good looking, fit, comfortable")</f>
        <v>Color fancy, some people prefer someone else to buy, he felt very good looking, fit, comfortable</v>
      </c>
    </row>
    <row r="4053">
      <c r="A4053" s="1">
        <v>5.0</v>
      </c>
      <c r="B4053" s="1" t="s">
        <v>4039</v>
      </c>
      <c r="C4053" t="str">
        <f>IFERROR(__xludf.DUMMYFUNCTION("GOOGLETRANSLATE(B4053, ""zh"", ""en"")"),"US version of the code is too big or Japanese lines suitable for Asian body")</f>
        <v>US version of the code is too big or Japanese lines suitable for Asian body</v>
      </c>
    </row>
    <row r="4054">
      <c r="A4054" s="1">
        <v>2.0</v>
      </c>
      <c r="B4054" s="1" t="s">
        <v>4040</v>
      </c>
      <c r="C4054" t="str">
        <f>IFERROR(__xludf.DUMMYFUNCTION("GOOGLETRANSLATE(B4054, ""zh"", ""en"")"),"There are drops of water inside the packaging After unpacking found drops of water on the filter. The first to open after the discovery that a drop of water is sporadic phenomenon, today opened the second part, there are still drops of water. Editor's Not"&amp;"e?")</f>
        <v>There are drops of water inside the packaging After unpacking found drops of water on the filter. The first to open after the discovery that a drop of water is sporadic phenomenon, today opened the second part, there are still drops of water. Editor's Note?</v>
      </c>
    </row>
    <row r="4055">
      <c r="A4055" s="1">
        <v>3.0</v>
      </c>
      <c r="B4055" s="1" t="s">
        <v>4041</v>
      </c>
      <c r="C4055" t="str">
        <f>IFERROR(__xludf.DUMMYFUNCTION("GOOGLETRANSLATE(B4055, ""zh"", ""en"")"),"Overseas buy, cheap, stable 1, appearance and workmanship is really very general! 2, USB3.0 write can be stabilized at 75M / S, a lot better than many of the domestic! 3, overseas direct mail, the speed is really very general!")</f>
        <v>Overseas buy, cheap, stable 1, appearance and workmanship is really very general! 2, USB3.0 write can be stabilized at 75M / S, a lot better than many of the domestic! 3, overseas direct mail, the speed is really very general!</v>
      </c>
    </row>
    <row r="4056">
      <c r="A4056" s="1">
        <v>3.0</v>
      </c>
      <c r="B4056" s="1" t="s">
        <v>4042</v>
      </c>
      <c r="C4056" t="str">
        <f>IFERROR(__xludf.DUMMYFUNCTION("GOOGLETRANSLATE(B4056, ""zh"", ""en"")"),"Too large for 187cm, 88 kg, put on a very hypertrophy, should be XL")</f>
        <v>Too large for 187cm, 88 kg, put on a very hypertrophy, should be XL</v>
      </c>
    </row>
    <row r="4057">
      <c r="A4057" s="1">
        <v>1.0</v>
      </c>
      <c r="B4057" s="1" t="s">
        <v>4043</v>
      </c>
      <c r="C4057" t="str">
        <f>IFERROR(__xludf.DUMMYFUNCTION("GOOGLETRANSLATE(B4057, ""zh"", ""en"")"),"Inside a box of only ten did not say! ! Open a bag containing water! ! ! Reaction for a long time, no one on me shopping for so many years, is believed to be self-employed, every time you buy a lot of boxes, each box is not open to see, the results really"&amp;" surprising. Which has a water, going to see a whole box inside what circumstances, the results turned out a number of surprising is that only ten (including my opening that), because I believe Amazon was so self-assured, not We will see, who thought a fu"&amp;"ll two less! ! ! Several meant several meanings! ! ! ! ! To give a star are too much! Contact customer service, I did not care for this crop")</f>
        <v>Inside a box of only ten did not say! ! Open a bag containing water! ! ! Reaction for a long time, no one on me shopping for so many years, is believed to be self-employed, every time you buy a lot of boxes, each box is not open to see, the results really surprising. Which has a water, going to see a whole box inside what circumstances, the results turned out a number of surprising is that only ten (including my opening that), because I believe Amazon was so self-assured, not We will see, who thought a full two less! ! ! Several meant several meanings! ! ! ! ! To give a star are too much! Contact customer service, I did not care for this crop</v>
      </c>
    </row>
    <row r="4058">
      <c r="A4058" s="1">
        <v>1.0</v>
      </c>
      <c r="B4058" s="1" t="s">
        <v>4044</v>
      </c>
      <c r="C4058" t="str">
        <f>IFERROR(__xludf.DUMMYFUNCTION("GOOGLETRANSLATE(B4058, ""zh"", ""en"")"),"A headset is bad, no doubt refurbished goods in March to buy, and now has been bad")</f>
        <v>A headset is bad, no doubt refurbished goods in March to buy, and now has been bad</v>
      </c>
    </row>
    <row r="4059">
      <c r="A4059" s="1">
        <v>4.0</v>
      </c>
      <c r="B4059" s="1" t="s">
        <v>4045</v>
      </c>
      <c r="C4059" t="str">
        <f>IFERROR(__xludf.DUMMYFUNCTION("GOOGLETRANSLATE(B4059, ""zh"", ""en"")"),"Quite satisfied. 176,76kg, overall slightly smaller.")</f>
        <v>Quite satisfied. 176,76kg, overall slightly smaller.</v>
      </c>
    </row>
    <row r="4060">
      <c r="A4060" s="1">
        <v>4.0</v>
      </c>
      <c r="B4060" s="1" t="s">
        <v>4046</v>
      </c>
      <c r="C4060" t="str">
        <f>IFERROR(__xludf.DUMMYFUNCTION("GOOGLETRANSLATE(B4060, ""zh"", ""en"")"),"Shoes are a good pair of shoes, but the store has not detailed failure Fatal shoes is a good pair of shoes, just the hard soles of the feet, on my feet after a day running very adapted, getting comfortable. Mainly shoes insoles for adequate arch support. "&amp;"Shoe size label is certainly the problem of the Amazon, but such an obvious mistake you Tell me Can not you see? 9-9.5DMUS is 43 yards, and now Amazon size chart has been updated. Ecco not bought in the United States and Asia, but British-double-double ec"&amp;"co shoe sizes are pretty standard. Because of this failure to subtract a star rating four stars.")</f>
        <v>Shoes are a good pair of shoes, but the store has not detailed failure Fatal shoes is a good pair of shoes, just the hard soles of the feet, on my feet after a day running very adapted, getting comfortable. Mainly shoes insoles for adequate arch support. Shoe size label is certainly the problem of the Amazon, but such an obvious mistake you Tell me Can not you see? 9-9.5DMUS is 43 yards, and now Amazon size chart has been updated. Ecco not bought in the United States and Asia, but British-double-double ecco shoe sizes are pretty standard. Because of this failure to subtract a star rating four stars.</v>
      </c>
    </row>
    <row r="4061">
      <c r="A4061" s="1">
        <v>4.0</v>
      </c>
      <c r="B4061" s="1" t="s">
        <v>4047</v>
      </c>
      <c r="C4061" t="str">
        <f>IFERROR(__xludf.DUMMYFUNCTION("GOOGLETRANSLATE(B4061, ""zh"", ""en"")"),"Tastes good 👌")</f>
        <v>Tastes good 👌</v>
      </c>
    </row>
    <row r="4062">
      <c r="A4062" s="1">
        <v>4.0</v>
      </c>
      <c r="B4062" s="1" t="s">
        <v>4048</v>
      </c>
      <c r="C4062" t="str">
        <f>IFERROR(__xludf.DUMMYFUNCTION("GOOGLETRANSLATE(B4062, ""zh"", ""en"")"),"I view upstairs as he looks good, according to this model in other sites checked and found looks very pretty.")</f>
        <v>I view upstairs as he looks good, according to this model in other sites checked and found looks very pretty.</v>
      </c>
    </row>
    <row r="4063">
      <c r="A4063" s="1">
        <v>4.0</v>
      </c>
      <c r="B4063" s="1" t="s">
        <v>4049</v>
      </c>
      <c r="C4063" t="str">
        <f>IFERROR(__xludf.DUMMYFUNCTION("GOOGLETRANSLATE(B4063, ""zh"", ""en"")"),"Well, that handle longer oblique angle like a pretty good point, and now with very little, after the milk back then. The handle angle oblique point again like milk flow down more smoothly, more convenient to use them")</f>
        <v>Well, that handle longer oblique angle like a pretty good point, and now with very little, after the milk back then. The handle angle oblique point again like milk flow down more smoothly, more convenient to use them</v>
      </c>
    </row>
    <row r="4064">
      <c r="A4064" s="1">
        <v>5.0</v>
      </c>
      <c r="B4064" s="1" t="s">
        <v>4050</v>
      </c>
      <c r="C4064" t="str">
        <f>IFERROR(__xludf.DUMMYFUNCTION("GOOGLETRANSLATE(B4064, ""zh"", ""en"")"),"Yan high value, good insulation effect Mimi da, and the same picture, I like to meet a hobby red this year. Insulation works well, yesterday around 20:00 stuffy two eggs, water up at 6 am still hot, cooked the eggs")</f>
        <v>Yan high value, good insulation effect Mimi da, and the same picture, I like to meet a hobby red this year. Insulation works well, yesterday around 20:00 stuffy two eggs, water up at 6 am still hot, cooked the eggs</v>
      </c>
    </row>
    <row r="4065">
      <c r="A4065" s="1">
        <v>5.0</v>
      </c>
      <c r="B4065" s="1" t="s">
        <v>4051</v>
      </c>
      <c r="C4065" t="str">
        <f>IFERROR(__xludf.DUMMYFUNCTION("GOOGLETRANSLATE(B4065, ""zh"", ""en"")"),"After the corresponding point size is preferably clearly marked been worn Ecco 41 yards, there is no option 41 yards, so chose No. 7, the results sent to double 40 yards. Small, do not know how to buy foreign exchange, again bought a pair. Quality shoes p"&amp;"raise! Thai-made, than before to buy Slovenia produced somewhat less a little.")</f>
        <v>After the corresponding point size is preferably clearly marked been worn Ecco 41 yards, there is no option 41 yards, so chose No. 7, the results sent to double 40 yards. Small, do not know how to buy foreign exchange, again bought a pair. Quality shoes praise! Thai-made, than before to buy Slovenia produced somewhat less a little.</v>
      </c>
    </row>
    <row r="4066">
      <c r="A4066" s="1">
        <v>5.0</v>
      </c>
      <c r="B4066" s="1" t="s">
        <v>4052</v>
      </c>
      <c r="C4066" t="str">
        <f>IFERROR(__xludf.DUMMYFUNCTION("GOOGLETRANSLATE(B4066, ""zh"", ""en"")"),"Zinc and echinacea Sugar Bear looked pretty good! Price is not bad!")</f>
        <v>Zinc and echinacea Sugar Bear looked pretty good! Price is not bad!</v>
      </c>
    </row>
    <row r="4067">
      <c r="A4067" s="1">
        <v>5.0</v>
      </c>
      <c r="B4067" s="1" t="s">
        <v>4053</v>
      </c>
      <c r="C4067" t="str">
        <f>IFERROR(__xludf.DUMMYFUNCTION("GOOGLETRANSLATE(B4067, ""zh"", ""en"")"),"Good or very texture of bone china")</f>
        <v>Good or very texture of bone china</v>
      </c>
    </row>
    <row r="4068">
      <c r="A4068" s="1">
        <v>5.0</v>
      </c>
      <c r="B4068" s="1" t="s">
        <v>4054</v>
      </c>
      <c r="C4068" t="str">
        <f>IFERROR(__xludf.DUMMYFUNCTION("GOOGLETRANSLATE(B4068, ""zh"", ""en"")"),"Recommendations to buy two brands are very satisfied with the appearance of texture experience out! This section is recommended size of M No. 75A.")</f>
        <v>Recommendations to buy two brands are very satisfied with the appearance of texture experience out! This section is recommended size of M No. 75A.</v>
      </c>
    </row>
    <row r="4069">
      <c r="A4069" s="1">
        <v>5.0</v>
      </c>
      <c r="B4069" s="1" t="s">
        <v>4055</v>
      </c>
      <c r="C4069" t="str">
        <f>IFERROR(__xludf.DUMMYFUNCTION("GOOGLETRANSLATE(B4069, ""zh"", ""en"")"),"Elastic good very good, very good elasticity")</f>
        <v>Elastic good very good, very good elasticity</v>
      </c>
    </row>
    <row r="4070">
      <c r="A4070" s="1">
        <v>5.0</v>
      </c>
      <c r="B4070" s="1" t="s">
        <v>4056</v>
      </c>
      <c r="C4070" t="str">
        <f>IFERROR(__xludf.DUMMYFUNCTION("GOOGLETRANSLATE(B4070, ""zh"", ""en"")"),"Very, very good, very good! Great, great!")</f>
        <v>Very, very good, very good! Great, great!</v>
      </c>
    </row>
    <row r="4071">
      <c r="A4071" s="1">
        <v>5.0</v>
      </c>
      <c r="B4071" s="1" t="s">
        <v>4057</v>
      </c>
      <c r="C4071" t="str">
        <f>IFERROR(__xludf.DUMMYFUNCTION("GOOGLETRANSLATE(B4071, ""zh"", ""en"")"),"Stick cheap, safe to use, like green. Recommended to buy.")</f>
        <v>Stick cheap, safe to use, like green. Recommended to buy.</v>
      </c>
    </row>
    <row r="4072">
      <c r="A4072" s="1">
        <v>5.0</v>
      </c>
      <c r="B4072" s="1" t="s">
        <v>4058</v>
      </c>
      <c r="C4072" t="str">
        <f>IFERROR(__xludf.DUMMYFUNCTION("GOOGLETRANSLATE(B4072, ""zh"", ""en"")"),"Yes looks good eight days to Nanjing, with more cold to drain for -20-40 degrees, only to hit 10% sadly")</f>
        <v>Yes looks good eight days to Nanjing, with more cold to drain for -20-40 degrees, only to hit 10% sadly</v>
      </c>
    </row>
    <row r="4073">
      <c r="A4073" s="1">
        <v>5.0</v>
      </c>
      <c r="B4073" s="1" t="s">
        <v>4059</v>
      </c>
      <c r="C4073" t="str">
        <f>IFERROR(__xludf.DUMMYFUNCTION("GOOGLETRANSLATE(B4073, ""zh"", ""en"")"),"Happy shopping very good shoes are very satisfied, the price is very cheap")</f>
        <v>Happy shopping very good shoes are very satisfied, the price is very cheap</v>
      </c>
    </row>
    <row r="4074">
      <c r="A4074" s="1">
        <v>5.0</v>
      </c>
      <c r="B4074" s="1" t="s">
        <v>4060</v>
      </c>
      <c r="C4074" t="str">
        <f>IFERROR(__xludf.DUMMYFUNCTION("GOOGLETRANSLATE(B4074, ""zh"", ""en"")"),"Will there be movement to protect the ankle injury I feel very good, and so the opportunity to play")</f>
        <v>Will there be movement to protect the ankle injury I feel very good, and so the opportunity to play</v>
      </c>
    </row>
    <row r="4075">
      <c r="A4075" s="1">
        <v>5.0</v>
      </c>
      <c r="B4075" s="1" t="s">
        <v>4061</v>
      </c>
      <c r="C4075" t="str">
        <f>IFERROR(__xludf.DUMMYFUNCTION("GOOGLETRANSLATE(B4075, ""zh"", ""en"")"),"Slightly larger than some big, big hip hem suit.")</f>
        <v>Slightly larger than some big, big hip hem suit.</v>
      </c>
    </row>
    <row r="4076">
      <c r="A4076" s="1">
        <v>5.0</v>
      </c>
      <c r="B4076" s="1" t="s">
        <v>4062</v>
      </c>
      <c r="C4076" t="str">
        <f>IFERROR(__xludf.DUMMYFUNCTION("GOOGLETRANSLATE(B4076, ""zh"", ""en"")"),"French brand, Biaishida and Supor much better, cheaper price Biaishida and half French brand Supor, Supor and Biaishida much better, cheaper price Biaishida and Supor half")</f>
        <v>French brand, Biaishida and Supor much better, cheaper price Biaishida and half French brand Supor, Supor and Biaishida much better, cheaper price Biaishida and Supor half</v>
      </c>
    </row>
    <row r="4077">
      <c r="A4077" s="1">
        <v>5.0</v>
      </c>
      <c r="B4077" s="1" t="s">
        <v>4063</v>
      </c>
      <c r="C4077" t="str">
        <f>IFERROR(__xludf.DUMMYFUNCTION("GOOGLETRANSLATE(B4077, ""zh"", ""en"")"),"Good clothes very satisfied")</f>
        <v>Good clothes very satisfied</v>
      </c>
    </row>
    <row r="4078">
      <c r="A4078" s="1">
        <v>5.0</v>
      </c>
      <c r="B4078" s="1" t="s">
        <v>4064</v>
      </c>
      <c r="C4078" t="str">
        <f>IFERROR(__xludf.DUMMYFUNCTION("GOOGLETRANSLATE(B4078, ""zh"", ""en"")"),"very perfect! Breath buy three colors, but under a single Nichia even gave three headphones into three parcels, clothes on the wall did not help Nichia, packaging to extreme force, headphones carton to protect perfectly. Following a brief introduction hea"&amp;"dphones. ▲ Sound quality: In terms of personal sense of hearing, tuning more suitable for listening to pop music, rock, probably hear more bass and dynamic times playing time during exercise performance was okay, as female poison, like a sense of air the "&amp;"do not find the current feeling in the ears of a few portable wireless headset, then this price, sound quality worthy of the price, or even a bit more than expected. ▲ to wear: Apple and headphone comes with almost the same half-ear design, long wear quit"&amp;"e OK, no SE215 in-ear kind of sense of Guzhang, no Dafa headset cover their ears fever, than the Air's innovative lightweight there is no sense to wear to feel a little bit more, but the place jumping tap wearing jogging or walking a few commuters will no"&amp;"t fall. In the stethoscope effect, it is estimated that due to the use of flat spaghetti of wires, what a stethoscope is currently not feel the effect. As for running will have a stethoscope effect remains to be tested ~ ▲ life: There 6H official nominal "&amp;"life time, change the battery indicator to estimate the combined words can be used six hours in my current use, continuous listening 2.5 H, the system displays the battery still remaining more than half. Use a mild charge two days, severe, then one day at"&amp;" a charge about the same. I do not know whether this temporary charging treasure charge, yet to be verified. Charging speed is generally 1 ~ 2H can be filled. ▲ Bluetooth connection quality: most of the time is stable, at home no problem separated by a wa"&amp;"ll within 5m, longer distances would not deliberately tested. Parameters quite satisfactory, Bluetooth 4.0, A2DP v1.2, AVRCP v1.5, HFP v1.5, HSP v1.2 and other agreements. Currently experiencing a sound Caton appeared in the notebook next to the 2.4G band"&amp;" WIFI connection to download, the longer the interval there will be no significant contingencies Caton, I put the notebook to switch to the 5G No longer connected Caton.")</f>
        <v>very perfect! Breath buy three colors, but under a single Nichia even gave three headphones into three parcels, clothes on the wall did not help Nichia, packaging to extreme force, headphones carton to protect perfectly. Following a brief introduction headphones. ▲ Sound quality: In terms of personal sense of hearing, tuning more suitable for listening to pop music, rock, probably hear more bass and dynamic times playing time during exercise performance was okay, as female poison, like a sense of air the do not find the current feeling in the ears of a few portable wireless headset, then this price, sound quality worthy of the price, or even a bit more than expected. ▲ to wear: Apple and headphone comes with almost the same half-ear design, long wear quite OK, no SE215 in-ear kind of sense of Guzhang, no Dafa headset cover their ears fever, than the Air's innovative lightweight there is no sense to wear to feel a little bit more, but the place jumping tap wearing jogging or walking a few commuters will not fall. In the stethoscope effect, it is estimated that due to the use of flat spaghetti of wires, what a stethoscope is currently not feel the effect. As for running will have a stethoscope effect remains to be tested ~ ▲ life: There 6H official nominal life time, change the battery indicator to estimate the combined words can be used six hours in my current use, continuous listening 2.5 H, the system displays the battery still remaining more than half. Use a mild charge two days, severe, then one day at a charge about the same. I do not know whether this temporary charging treasure charge, yet to be verified. Charging speed is generally 1 ~ 2H can be filled. ▲ Bluetooth connection quality: most of the time is stable, at home no problem separated by a wall within 5m, longer distances would not deliberately tested. Parameters quite satisfactory, Bluetooth 4.0, A2DP v1.2, AVRCP v1.5, HFP v1.5, HSP v1.2 and other agreements. Currently experiencing a sound Caton appeared in the notebook next to the 2.4G band WIFI connection to download, the longer the interval there will be no significant contingencies Caton, I put the notebook to switch to the 5G No longer connected Caton.</v>
      </c>
    </row>
    <row r="4079">
      <c r="A4079" s="1">
        <v>5.0</v>
      </c>
      <c r="B4079" s="1" t="s">
        <v>4065</v>
      </c>
      <c r="C4079" t="str">
        <f>IFERROR(__xludf.DUMMYFUNCTION("GOOGLETRANSLATE(B4079, ""zh"", ""en"")"),"Warm fit to my mother to buy, XXL is very appropriate. (65kg)")</f>
        <v>Warm fit to my mother to buy, XXL is very appropriate. (65kg)</v>
      </c>
    </row>
    <row r="4080">
      <c r="A4080" s="1">
        <v>5.0</v>
      </c>
      <c r="B4080" s="1" t="s">
        <v>4066</v>
      </c>
      <c r="C4080" t="str">
        <f>IFERROR(__xludf.DUMMYFUNCTION("GOOGLETRANSLATE(B4080, ""zh"", ""en"")"),"A good pair of shoes basic models of training shoes, moderate hardness, suitable for jogging warm-up. Like sports wall cracked recommend this section, cost-effective.")</f>
        <v>A good pair of shoes basic models of training shoes, moderate hardness, suitable for jogging warm-up. Like sports wall cracked recommend this section, cost-effective.</v>
      </c>
    </row>
    <row r="4081">
      <c r="A4081" s="1">
        <v>5.0</v>
      </c>
      <c r="B4081" s="1" t="s">
        <v>4067</v>
      </c>
      <c r="C4081" t="str">
        <f>IFERROR(__xludf.DUMMYFUNCTION("GOOGLETRANSLATE(B4081, ""zh"", ""en"")"),"A good leader, very fast delivery very good, very beautiful, the price is right")</f>
        <v>A good leader, very fast delivery very good, very beautiful, the price is right</v>
      </c>
    </row>
    <row r="4082">
      <c r="A4082" s="1">
        <v>5.0</v>
      </c>
      <c r="B4082" s="1" t="s">
        <v>4068</v>
      </c>
      <c r="C4082" t="str">
        <f>IFERROR(__xludf.DUMMYFUNCTION("GOOGLETRANSLATE(B4082, ""zh"", ""en"")"),"Product performance and appearance have not started to buy, looks pretty good look")</f>
        <v>Product performance and appearance have not started to buy, looks pretty good look</v>
      </c>
    </row>
    <row r="4083">
      <c r="A4083" s="1">
        <v>5.0</v>
      </c>
      <c r="B4083" s="1" t="s">
        <v>4069</v>
      </c>
      <c r="C4083" t="str">
        <f>IFERROR(__xludf.DUMMYFUNCTION("GOOGLETRANSLATE(B4083, ""zh"", ""en"")"),"Good quality metal wings will move, heavy")</f>
        <v>Good quality metal wings will move, heavy</v>
      </c>
    </row>
    <row r="4084">
      <c r="A4084" s="1">
        <v>5.0</v>
      </c>
      <c r="B4084" s="1" t="s">
        <v>4070</v>
      </c>
      <c r="C4084" t="str">
        <f>IFERROR(__xludf.DUMMYFUNCTION("GOOGLETRANSLATE(B4084, ""zh"", ""en"")"),"lee shirt collar corner some large, cotton, number too large. not bad")</f>
        <v>lee shirt collar corner some large, cotton, number too large. not bad</v>
      </c>
    </row>
    <row r="4085">
      <c r="A4085" s="1">
        <v>5.0</v>
      </c>
      <c r="B4085" s="1" t="s">
        <v>4071</v>
      </c>
      <c r="C4085" t="str">
        <f>IFERROR(__xludf.DUMMYFUNCTION("GOOGLETRANSLATE(B4085, ""zh"", ""en"")"),"Very nice, very clean and very easy to use red, red very clean, put this office, noon eat dampen")</f>
        <v>Very nice, very clean and very easy to use red, red very clean, put this office, noon eat dampen</v>
      </c>
    </row>
    <row r="4086">
      <c r="A4086" s="1">
        <v>2.0</v>
      </c>
      <c r="B4086" s="1" t="s">
        <v>4072</v>
      </c>
      <c r="C4086" t="str">
        <f>IFERROR(__xludf.DUMMYFUNCTION("GOOGLETRANSLATE(B4086, ""zh"", ""en"")"),"Less than a year and a half wire serious aging in less than a year and a half feeling not too frequent use of wire has deteriorated severely as if to melt like a place not overseas purchase warranty embarrassing")</f>
        <v>Less than a year and a half wire serious aging in less than a year and a half feeling not too frequent use of wire has deteriorated severely as if to melt like a place not overseas purchase warranty embarrassing</v>
      </c>
    </row>
    <row r="4087">
      <c r="A4087" s="1">
        <v>3.0</v>
      </c>
      <c r="B4087" s="1" t="s">
        <v>4073</v>
      </c>
      <c r="C4087" t="str">
        <f>IFERROR(__xludf.DUMMYFUNCTION("GOOGLETRANSLATE(B4087, ""zh"", ""en"")"),"Based on brand purchase poor workmanship, multi-thread, fabric is very poor, based entirely on the brand to buy, sleeves super fat, 172 70kg buy the S number, exactly, is the sleeves too")</f>
        <v>Based on brand purchase poor workmanship, multi-thread, fabric is very poor, based entirely on the brand to buy, sleeves super fat, 172 70kg buy the S number, exactly, is the sleeves too</v>
      </c>
    </row>
    <row r="4088">
      <c r="A4088" s="1">
        <v>3.0</v>
      </c>
      <c r="B4088" s="1" t="s">
        <v>4074</v>
      </c>
      <c r="C4088" t="str">
        <f>IFERROR(__xludf.DUMMYFUNCTION("GOOGLETRANSLATE(B4088, ""zh"", ""en"")"),"Quality in general, material and pant general. Pants right size, not too much we buy a few numbers, will be larger than the domestic number two, my height 179, weight 85, L code is still very loose.")</f>
        <v>Quality in general, material and pant general. Pants right size, not too much we buy a few numbers, will be larger than the domestic number two, my height 179, weight 85, L code is still very loose.</v>
      </c>
    </row>
    <row r="4089">
      <c r="A4089" s="1">
        <v>1.0</v>
      </c>
      <c r="B4089" s="1" t="s">
        <v>4075</v>
      </c>
      <c r="C4089" t="str">
        <f>IFERROR(__xludf.DUMMYFUNCTION("GOOGLETRANSLATE(B4089, ""zh"", ""en"")"),"How to deal with after-sales back is bad do not know how to get there do not know how to fix the converter 500 to buy a lesson")</f>
        <v>How to deal with after-sales back is bad do not know how to get there do not know how to fix the converter 500 to buy a lesson</v>
      </c>
    </row>
    <row r="4090">
      <c r="A4090" s="1">
        <v>1.0</v>
      </c>
      <c r="B4090" s="1" t="s">
        <v>4076</v>
      </c>
      <c r="C4090" t="str">
        <f>IFERROR(__xludf.DUMMYFUNCTION("GOOGLETRANSLATE(B4090, ""zh"", ""en"")"),"Refunds have been returned long, long time, but has as yet not received a refund. PS, super super large size pants")</f>
        <v>Refunds have been returned long, long time, but has as yet not received a refund. PS, super super large size pants</v>
      </c>
    </row>
    <row r="4091">
      <c r="A4091" s="1">
        <v>1.0</v>
      </c>
      <c r="B4091" s="1" t="s">
        <v>4077</v>
      </c>
      <c r="C4091" t="str">
        <f>IFERROR(__xludf.DUMMYFUNCTION("GOOGLETRANSLATE(B4091, ""zh"", ""en"")"),"Pacifier is dirty! Obviously old, was used. Pacifier is dirty! Seem to have been used up. How so dirty pacifier to the baby? I would rather throw away. Had great confidence in the Amazon, I did not think so. very disappointed")</f>
        <v>Pacifier is dirty! Obviously old, was used. Pacifier is dirty! Seem to have been used up. How so dirty pacifier to the baby? I would rather throw away. Had great confidence in the Amazon, I did not think so. very disappointed</v>
      </c>
    </row>
    <row r="4092">
      <c r="A4092" s="1">
        <v>4.0</v>
      </c>
      <c r="B4092" s="1" t="s">
        <v>4078</v>
      </c>
      <c r="C4092" t="str">
        <f>IFERROR(__xludf.DUMMYFUNCTION("GOOGLETRANSLATE(B4092, ""zh"", ""en"")"),"Good quality 176.75 kg body parts just right, a little big and long arm section")</f>
        <v>Good quality 176.75 kg body parts just right, a little big and long arm section</v>
      </c>
    </row>
    <row r="4093">
      <c r="A4093" s="1">
        <v>4.0</v>
      </c>
      <c r="B4093" s="1" t="s">
        <v>4079</v>
      </c>
      <c r="C4093" t="str">
        <f>IFERROR(__xludf.DUMMYFUNCTION("GOOGLETRANSLATE(B4093, ""zh"", ""en"")"),"Overall okay okay, that is a lot of noise")</f>
        <v>Overall okay okay, that is a lot of noise</v>
      </c>
    </row>
    <row r="4094">
      <c r="A4094" s="1">
        <v>4.0</v>
      </c>
      <c r="B4094" s="1" t="s">
        <v>4080</v>
      </c>
      <c r="C4094" t="str">
        <f>IFERROR(__xludf.DUMMYFUNCTION("GOOGLETRANSLATE(B4094, ""zh"", ""en"")"),"Use your point is good, it is authentic. Haha not to write less")</f>
        <v>Use your point is good, it is authentic. Haha not to write less</v>
      </c>
    </row>
    <row r="4095">
      <c r="A4095" s="1">
        <v>4.0</v>
      </c>
      <c r="B4095" s="1" t="s">
        <v>4081</v>
      </c>
      <c r="C4095" t="str">
        <f>IFERROR(__xludf.DUMMYFUNCTION("GOOGLETRANSLATE(B4095, ""zh"", ""en"")"),"80 colors, leather, shoe soles, work are good, good walk, but soon began to crease.")</f>
        <v>80 colors, leather, shoe soles, work are good, good walk, but soon began to crease.</v>
      </c>
    </row>
    <row r="4096">
      <c r="A4096" s="1">
        <v>4.0</v>
      </c>
      <c r="B4096" s="1" t="s">
        <v>4082</v>
      </c>
      <c r="C4096" t="str">
        <f>IFERROR(__xludf.DUMMYFUNCTION("GOOGLETRANSLATE(B4096, ""zh"", ""en"")"),"Shoes shoes slim slim, with feeling good.")</f>
        <v>Shoes shoes slim slim, with feeling good.</v>
      </c>
    </row>
    <row r="4097">
      <c r="A4097" s="1">
        <v>5.0</v>
      </c>
      <c r="B4097" s="1" t="s">
        <v>4083</v>
      </c>
      <c r="C4097" t="str">
        <f>IFERROR(__xludf.DUMMYFUNCTION("GOOGLETRANSLATE(B4097, ""zh"", ""en"")"),"Sound okay, not loud")</f>
        <v>Sound okay, not loud</v>
      </c>
    </row>
    <row r="4098">
      <c r="A4098" s="1">
        <v>5.0</v>
      </c>
      <c r="B4098" s="1" t="s">
        <v>4084</v>
      </c>
      <c r="C4098" t="str">
        <f>IFERROR(__xludf.DUMMYFUNCTION("GOOGLETRANSLATE(B4098, ""zh"", ""en"")"),"Wok pan really good, the second buy")</f>
        <v>Wok pan really good, the second buy</v>
      </c>
    </row>
    <row r="4099">
      <c r="A4099" s="1">
        <v>5.0</v>
      </c>
      <c r="B4099" s="1" t="s">
        <v>4085</v>
      </c>
      <c r="C4099" t="str">
        <f>IFERROR(__xludf.DUMMYFUNCTION("GOOGLETRANSLATE(B4099, ""zh"", ""en"")"),"Enhance the well-being hot milk foam, made of cold milk foam hot latte, latte ice; hot black coffee, black coffee ice, practices arbitrary, full of happiness!")</f>
        <v>Enhance the well-being hot milk foam, made of cold milk foam hot latte, latte ice; hot black coffee, black coffee ice, practices arbitrary, full of happiness!</v>
      </c>
    </row>
    <row r="4100">
      <c r="A4100" s="1">
        <v>5.0</v>
      </c>
      <c r="B4100" s="1" t="s">
        <v>4086</v>
      </c>
      <c r="C4100" t="str">
        <f>IFERROR(__xludf.DUMMYFUNCTION("GOOGLETRANSLATE(B4100, ""zh"", ""en"")"),"Overall good right size, there is no physical picture beautiful, tried it, the right size.")</f>
        <v>Overall good right size, there is no physical picture beautiful, tried it, the right size.</v>
      </c>
    </row>
    <row r="4101">
      <c r="A4101" s="1">
        <v>5.0</v>
      </c>
      <c r="B4101" s="1" t="s">
        <v>4087</v>
      </c>
      <c r="C4101" t="str">
        <f>IFERROR(__xludf.DUMMYFUNCTION("GOOGLETRANSLATE(B4101, ""zh"", ""en"")"),"Recommended good, two babies are in use")</f>
        <v>Recommended good, two babies are in use</v>
      </c>
    </row>
    <row r="4102">
      <c r="A4102" s="1">
        <v>5.0</v>
      </c>
      <c r="B4102" s="1" t="s">
        <v>4088</v>
      </c>
      <c r="C4102" t="str">
        <f>IFERROR(__xludf.DUMMYFUNCTION("GOOGLETRANSLATE(B4102, ""zh"", ""en"")"),"Very comfortable very comfortable underwear, not at all Le feeling, and very portable, and there is no shoulder strap slipped troubles.")</f>
        <v>Very comfortable very comfortable underwear, not at all Le feeling, and very portable, and there is no shoulder strap slipped troubles.</v>
      </c>
    </row>
    <row r="4103">
      <c r="A4103" s="1">
        <v>5.0</v>
      </c>
      <c r="B4103" s="1" t="s">
        <v>4089</v>
      </c>
      <c r="C4103" t="str">
        <f>IFERROR(__xludf.DUMMYFUNCTION("GOOGLETRANSLATE(B4103, ""zh"", ""en"")"),"I'm usually too large waistband 2 feet 3 waist circumference, given that eight yards, the result of wear leggings with velvet, also 1 inch fat, next time to buy his house pants, wearing a space should be four yards more appropriate winter buy 6 yards to w"&amp;"ear on the line. Pants type version is what I want the kind of traditional straight jeans, not Tuicu, my height 1.73, weight 63kg, hip 92cm, hope that we can learn from it")</f>
        <v>I'm usually too large waistband 2 feet 3 waist circumference, given that eight yards, the result of wear leggings with velvet, also 1 inch fat, next time to buy his house pants, wearing a space should be four yards more appropriate winter buy 6 yards to wear on the line. Pants type version is what I want the kind of traditional straight jeans, not Tuicu, my height 1.73, weight 63kg, hip 92cm, hope that we can learn from it</v>
      </c>
    </row>
    <row r="4104">
      <c r="A4104" s="1">
        <v>5.0</v>
      </c>
      <c r="B4104" s="1" t="s">
        <v>4090</v>
      </c>
      <c r="C4104" t="str">
        <f>IFERROR(__xludf.DUMMYFUNCTION("GOOGLETRANSLATE(B4104, ""zh"", ""en"")"),"Flotilla taste good, used the best mouthwash, like")</f>
        <v>Flotilla taste good, used the best mouthwash, like</v>
      </c>
    </row>
    <row r="4105">
      <c r="A4105" s="1">
        <v>5.0</v>
      </c>
      <c r="B4105" s="1" t="s">
        <v>4091</v>
      </c>
      <c r="C4105" t="str">
        <f>IFERROR(__xludf.DUMMYFUNCTION("GOOGLETRANSLATE(B4105, ""zh"", ""en"")"),"I feel good I feel pretty good, worth the price!")</f>
        <v>I feel good I feel pretty good, worth the price!</v>
      </c>
    </row>
    <row r="4106">
      <c r="A4106" s="1">
        <v>5.0</v>
      </c>
      <c r="B4106" s="1" t="s">
        <v>4092</v>
      </c>
      <c r="C4106" t="str">
        <f>IFERROR(__xludf.DUMMYFUNCTION("GOOGLETRANSLATE(B4106, ""zh"", ""en"")"),"Perfect experience 176,67kg, 32/30 pants long waist perfectly, served a week is not really suspect goods United States and Asia, but should not be loved by my express orders, and praise!")</f>
        <v>Perfect experience 176,67kg, 32/30 pants long waist perfectly, served a week is not really suspect goods United States and Asia, but should not be loved by my express orders, and praise!</v>
      </c>
    </row>
    <row r="4107">
      <c r="A4107" s="1">
        <v>5.0</v>
      </c>
      <c r="B4107" s="1" t="s">
        <v>4093</v>
      </c>
      <c r="C4107" t="str">
        <f>IFERROR(__xludf.DUMMYFUNCTION("GOOGLETRANSLATE(B4107, ""zh"", ""en"")"),"This faucet like this thermostat thermostat function most praise, but also very heavy, good quality")</f>
        <v>This faucet like this thermostat thermostat function most praise, but also very heavy, good quality</v>
      </c>
    </row>
    <row r="4108">
      <c r="A4108" s="1">
        <v>5.0</v>
      </c>
      <c r="B4108" s="1" t="s">
        <v>4094</v>
      </c>
      <c r="C4108" t="str">
        <f>IFERROR(__xludf.DUMMYFUNCTION("GOOGLETRANSLATE(B4108, ""zh"", ""en"")"),"Mom is really very good pants, the waistband is high, should be able to very comfortable, Nichia never disappointed")</f>
        <v>Mom is really very good pants, the waistband is high, should be able to very comfortable, Nichia never disappointed</v>
      </c>
    </row>
    <row r="4109">
      <c r="A4109" s="1">
        <v>5.0</v>
      </c>
      <c r="B4109" s="1" t="s">
        <v>4095</v>
      </c>
      <c r="C4109" t="str">
        <f>IFERROR(__xludf.DUMMYFUNCTION("GOOGLETRANSLATE(B4109, ""zh"", ""en"")"),"Five stars AIU direct mail, more comfortable, fresh dates, to 20 years in April, praise. Her Grandmother's good for the joints.")</f>
        <v>Five stars AIU direct mail, more comfortable, fresh dates, to 20 years in April, praise. Her Grandmother's good for the joints.</v>
      </c>
    </row>
    <row r="4110">
      <c r="A4110" s="1">
        <v>5.0</v>
      </c>
      <c r="B4110" s="1" t="s">
        <v>4096</v>
      </c>
      <c r="C4110" t="str">
        <f>IFERROR(__xludf.DUMMYFUNCTION("GOOGLETRANSLATE(B4110, ""zh"", ""en"")"),"Very good wife too comfortable, ultra expected! ! !")</f>
        <v>Very good wife too comfortable, ultra expected! ! !</v>
      </c>
    </row>
    <row r="4111">
      <c r="A4111" s="1">
        <v>5.0</v>
      </c>
      <c r="B4111" s="1" t="s">
        <v>4097</v>
      </c>
      <c r="C4111" t="str">
        <f>IFERROR(__xludf.DUMMYFUNCTION("GOOGLETRANSLATE(B4111, ""zh"", ""en"")"),"SanDisk SanDisk Ultra 3D NAND 500GB SanDisk SanDisk Ultra 3D NAND 500GB, speed stability")</f>
        <v>SanDisk SanDisk Ultra 3D NAND 500GB SanDisk SanDisk Ultra 3D NAND 500GB, speed stability</v>
      </c>
    </row>
    <row r="4112">
      <c r="A4112" s="1">
        <v>5.0</v>
      </c>
      <c r="B4112" s="1" t="s">
        <v>4098</v>
      </c>
      <c r="C4112" t="str">
        <f>IFERROR(__xludf.DUMMYFUNCTION("GOOGLETRANSLATE(B4112, ""zh"", ""en"")"),"Evaluation 180cm, 95kg wearing XL a little big. L code should be half the price of expensive, thin clothes suitable for outdoor. Waterproof effect Aoao drops.")</f>
        <v>Evaluation 180cm, 95kg wearing XL a little big. L code should be half the price of expensive, thin clothes suitable for outdoor. Waterproof effect Aoao drops.</v>
      </c>
    </row>
    <row r="4113">
      <c r="A4113" s="1">
        <v>5.0</v>
      </c>
      <c r="B4113" s="1" t="s">
        <v>4099</v>
      </c>
      <c r="C4113" t="str">
        <f>IFERROR(__xludf.DUMMYFUNCTION("GOOGLETRANSLATE(B4113, ""zh"", ""en"")"),"Feel good, not from the previous evaluation, I do not know how many wasted points, points can change money now know, they should look carefully evaluated, then I put these words to copy to go, both to earn points, but also the easy way, where are copy whe"&amp;"re, most importantly, do not seriously review, do not think how much worse word, sent directly to it, recommend it to everyone! !")</f>
        <v>Feel good, not from the previous evaluation, I do not know how many wasted points, points can change money now know, they should look carefully evaluated, then I put these words to copy to go, both to earn points, but also the easy way, where are copy where, most importantly, do not seriously review, do not think how much worse word, sent directly to it, recommend it to everyone! !</v>
      </c>
    </row>
    <row r="4114">
      <c r="A4114" s="1">
        <v>5.0</v>
      </c>
      <c r="B4114" s="1" t="s">
        <v>4100</v>
      </c>
      <c r="C4114" t="str">
        <f>IFERROR(__xludf.DUMMYFUNCTION("GOOGLETRANSLATE(B4114, ""zh"", ""en"")"),"Feel rough but very thick material is very thick, feels very rough, white, each bought a black, white or look a little better")</f>
        <v>Feel rough but very thick material is very thick, feels very rough, white, each bought a black, white or look a little better</v>
      </c>
    </row>
    <row r="4115">
      <c r="A4115" s="1">
        <v>5.0</v>
      </c>
      <c r="B4115" s="1" t="s">
        <v>4101</v>
      </c>
      <c r="C4115" t="str">
        <f>IFERROR(__xludf.DUMMYFUNCTION("GOOGLETRANSLATE(B4115, ""zh"", ""en"")"),"Yes, tennis wear appropriate 183cm, 69kg, I bought the M, see the bust appropriate orders. Come back feeling satisfied with fleece inside, Comfort")</f>
        <v>Yes, tennis wear appropriate 183cm, 69kg, I bought the M, see the bust appropriate orders. Come back feeling satisfied with fleece inside, Comfort</v>
      </c>
    </row>
    <row r="4116">
      <c r="A4116" s="1">
        <v>5.0</v>
      </c>
      <c r="B4116" s="1" t="s">
        <v>4102</v>
      </c>
      <c r="C4116" t="str">
        <f>IFERROR(__xludf.DUMMYFUNCTION("GOOGLETRANSLATE(B4116, ""zh"", ""en"")"),"Easy enough horsepower, can be used in many places, easy to use")</f>
        <v>Easy enough horsepower, can be used in many places, easy to use</v>
      </c>
    </row>
    <row r="4117">
      <c r="A4117" s="1">
        <v>5.0</v>
      </c>
      <c r="B4117" s="1" t="s">
        <v>4103</v>
      </c>
      <c r="C4117" t="str">
        <f>IFERROR(__xludf.DUMMYFUNCTION("GOOGLETRANSLATE(B4117, ""zh"", ""en"")"),"Value for money to buy according to the size, right size. Like product and described, good quality, in the South, early spring through late autumn just")</f>
        <v>Value for money to buy according to the size, right size. Like product and described, good quality, in the South, early spring through late autumn just</v>
      </c>
    </row>
    <row r="4118">
      <c r="A4118" s="1">
        <v>5.0</v>
      </c>
      <c r="B4118" s="1" t="s">
        <v>4104</v>
      </c>
      <c r="C4118" t="str">
        <f>IFERROR(__xludf.DUMMYFUNCTION("GOOGLETRANSLATE(B4118, ""zh"", ""en"")"),"Amazon protein powder or trusted Overall pretty good, very fine protein powder")</f>
        <v>Amazon protein powder or trusted Overall pretty good, very fine protein powder</v>
      </c>
    </row>
    <row r="4119">
      <c r="A4119" s="1">
        <v>2.0</v>
      </c>
      <c r="B4119" s="1" t="s">
        <v>4105</v>
      </c>
      <c r="C4119" t="str">
        <f>IFERROR(__xludf.DUMMYFUNCTION("GOOGLETRANSLATE(B4119, ""zh"", ""en"")"),"Not padded jacket, is padded.")</f>
        <v>Not padded jacket, is padded.</v>
      </c>
    </row>
    <row r="4120">
      <c r="A4120" s="1">
        <v>3.0</v>
      </c>
      <c r="B4120" s="1" t="s">
        <v>4106</v>
      </c>
      <c r="C4120" t="str">
        <f>IFERROR(__xludf.DUMMYFUNCTION("GOOGLETRANSLATE(B4120, ""zh"", ""en"")"),"Size a bit smaller. That good can fit 175-185, 180 I think the only normal 170-175. Personally I feel, the other better, the process quite clean, quite thin.")</f>
        <v>Size a bit smaller. That good can fit 175-185, 180 I think the only normal 170-175. Personally I feel, the other better, the process quite clean, quite thin.</v>
      </c>
    </row>
    <row r="4121">
      <c r="A4121" s="1">
        <v>3.0</v>
      </c>
      <c r="B4121" s="1" t="s">
        <v>4107</v>
      </c>
      <c r="C4121" t="str">
        <f>IFERROR(__xludf.DUMMYFUNCTION("GOOGLETRANSLATE(B4121, ""zh"", ""en"")"),"Very very very common ordinary general very general one pen cap is loose, apply for a replacement of a receipt is still loose, written with the pen is also loose, but do not put too much after a gall ink loose, writing fairly smooth, but also a little scr"&amp;"atch paper, such a pen 80, the feeling is not worth it, too cottage, very ordinary pen.")</f>
        <v>Very very very common ordinary general very general one pen cap is loose, apply for a replacement of a receipt is still loose, written with the pen is also loose, but do not put too much after a gall ink loose, writing fairly smooth, but also a little scratch paper, such a pen 80, the feeling is not worth it, too cottage, very ordinary pen.</v>
      </c>
    </row>
    <row r="4122">
      <c r="A4122" s="1">
        <v>3.0</v>
      </c>
      <c r="B4122" s="1" t="s">
        <v>4108</v>
      </c>
      <c r="C4122" t="str">
        <f>IFERROR(__xludf.DUMMYFUNCTION("GOOGLETRANSLATE(B4122, ""zh"", ""en"")"),"Fabric poor cheap fabrics, oil flavor, cheap Dacron feeling.")</f>
        <v>Fabric poor cheap fabrics, oil flavor, cheap Dacron feeling.</v>
      </c>
    </row>
    <row r="4123">
      <c r="A4123" s="1">
        <v>1.0</v>
      </c>
      <c r="B4123" s="1" t="s">
        <v>4109</v>
      </c>
      <c r="C4123" t="str">
        <f>IFERROR(__xludf.DUMMYFUNCTION("GOOGLETRANSLATE(B4123, ""zh"", ""en"")"),"This is not and can not face and slightly harder surface ah? And the surface can only dilute it? Why live below the basin fly out alive ~")</f>
        <v>This is not and can not face and slightly harder surface ah? And the surface can only dilute it? Why live below the basin fly out alive ~</v>
      </c>
    </row>
    <row r="4124">
      <c r="A4124" s="1">
        <v>1.0</v>
      </c>
      <c r="B4124" s="1" t="s">
        <v>4110</v>
      </c>
      <c r="C4124" t="str">
        <f>IFERROR(__xludf.DUMMYFUNCTION("GOOGLETRANSLATE(B4124, ""zh"", ""en"")"),"Quality bought a black two piece pink pink can be used normally black voice was very abnormal vibrations do not know how aftermarket")</f>
        <v>Quality bought a black two piece pink pink can be used normally black voice was very abnormal vibrations do not know how aftermarket</v>
      </c>
    </row>
    <row r="4125">
      <c r="A4125" s="1">
        <v>1.0</v>
      </c>
      <c r="B4125" s="1" t="s">
        <v>4111</v>
      </c>
      <c r="C4125" t="str">
        <f>IFERROR(__xludf.DUMMYFUNCTION("GOOGLETRANSLATE(B4125, ""zh"", ""en"")"),"Not recommended to buy no tag; pin poor; like old clothes; code number is too large")</f>
        <v>Not recommended to buy no tag; pin poor; like old clothes; code number is too large</v>
      </c>
    </row>
    <row r="4126">
      <c r="A4126" s="1">
        <v>4.0</v>
      </c>
      <c r="B4126" s="1" t="s">
        <v>4112</v>
      </c>
      <c r="C4126" t="str">
        <f>IFERROR(__xludf.DUMMYFUNCTION("GOOGLETRANSLATE(B4126, ""zh"", ""en"")"),"Beauty, look good, but put too heavy, easy to tilt the bowl")</f>
        <v>Beauty, look good, but put too heavy, easy to tilt the bowl</v>
      </c>
    </row>
    <row r="4127">
      <c r="A4127" s="1">
        <v>4.0</v>
      </c>
      <c r="B4127" s="1" t="s">
        <v>4113</v>
      </c>
      <c r="C4127" t="str">
        <f>IFERROR(__xludf.DUMMYFUNCTION("GOOGLETRANSLATE(B4127, ""zh"", ""en"")"),"Pulpy old packaging packaging sucks, loaded cartridge tray worn and old, the British origin, but there is no standard capacity cartridge manufacture date, was disturbed using a trial actually okay.")</f>
        <v>Pulpy old packaging packaging sucks, loaded cartridge tray worn and old, the British origin, but there is no standard capacity cartridge manufacture date, was disturbed using a trial actually okay.</v>
      </c>
    </row>
    <row r="4128">
      <c r="A4128" s="1">
        <v>4.0</v>
      </c>
      <c r="B4128" s="1" t="s">
        <v>4114</v>
      </c>
      <c r="C4128" t="str">
        <f>IFERROR(__xludf.DUMMYFUNCTION("GOOGLETRANSLATE(B4128, ""zh"", ""en"")"),"GUNZE Gunze no rims bra is too loose, deformation of the tape")</f>
        <v>GUNZE Gunze no rims bra is too loose, deformation of the tape</v>
      </c>
    </row>
    <row r="4129">
      <c r="A4129" s="1">
        <v>4.0</v>
      </c>
      <c r="B4129" s="1" t="s">
        <v>4115</v>
      </c>
      <c r="C4129" t="str">
        <f>IFERROR(__xludf.DUMMYFUNCTION("GOOGLETRANSLATE(B4129, ""zh"", ""en"")"),"Smaller overall point how would it comment is too large, we do not buy the same paragraph. Something good, slightly smaller point, 170cm62kg buy is s code, a little tight.")</f>
        <v>Smaller overall point how would it comment is too large, we do not buy the same paragraph. Something good, slightly smaller point, 170cm62kg buy is s code, a little tight.</v>
      </c>
    </row>
    <row r="4130">
      <c r="A4130" s="1">
        <v>5.0</v>
      </c>
      <c r="B4130" s="1" t="s">
        <v>4116</v>
      </c>
      <c r="C4130" t="str">
        <f>IFERROR(__xludf.DUMMYFUNCTION("GOOGLETRANSLATE(B4130, ""zh"", ""en"")"),"Yes, very easy to use good, very easy to use")</f>
        <v>Yes, very easy to use good, very easy to use</v>
      </c>
    </row>
    <row r="4131">
      <c r="A4131" s="1">
        <v>5.0</v>
      </c>
      <c r="B4131" s="1" t="s">
        <v>4117</v>
      </c>
      <c r="C4131" t="str">
        <f>IFERROR(__xludf.DUMMYFUNCTION("GOOGLETRANSLATE(B4131, ""zh"", ""en"")"),"Long clothes long, wrap the zipper")</f>
        <v>Long clothes long, wrap the zipper</v>
      </c>
    </row>
    <row r="4132">
      <c r="A4132" s="1">
        <v>5.0</v>
      </c>
      <c r="B4132" s="1" t="s">
        <v>4118</v>
      </c>
      <c r="C4132" t="str">
        <f>IFERROR(__xludf.DUMMYFUNCTION("GOOGLETRANSLATE(B4132, ""zh"", ""en"")"),"So cute so cute ~ ~ ~ la la la la la la la la la la ~ ~ ~")</f>
        <v>So cute so cute ~ ~ ~ la la la la la la la la la la ~ ~ ~</v>
      </c>
    </row>
    <row r="4133">
      <c r="A4133" s="1">
        <v>5.0</v>
      </c>
      <c r="B4133" s="1" t="s">
        <v>4119</v>
      </c>
      <c r="C4133" t="str">
        <f>IFERROR(__xludf.DUMMYFUNCTION("GOOGLETRANSLATE(B4133, ""zh"", ""en"")"),"Even shipping + taxes together a little more than 200, 174 tall and 73kg wear 33W32L a little bit big, good, very appropriate. Color is also very nice. ! ~ Shipping + taxes even a little bit together more than 200, 174 tall and 73kg wear 33W32L a little b"&amp;"it big, good, very appropriate. Color is also very nice. ! ~")</f>
        <v>Even shipping + taxes together a little more than 200, 174 tall and 73kg wear 33W32L a little bit big, good, very appropriate. Color is also very nice. ! ~ Shipping + taxes even a little bit together more than 200, 174 tall and 73kg wear 33W32L a little bit big, good, very appropriate. Color is also very nice. ! ~</v>
      </c>
    </row>
    <row r="4134">
      <c r="A4134" s="1">
        <v>5.0</v>
      </c>
      <c r="B4134" s="1" t="s">
        <v>4120</v>
      </c>
      <c r="C4134" t="str">
        <f>IFERROR(__xludf.DUMMYFUNCTION("GOOGLETRANSLATE(B4134, ""zh"", ""en"")"),"China's overseas purchase wear m code s code is a whole big yard in general is good, warm clothes filling material in some places there are cases of uneven distribution, can feel out of touch rather hard. Height 169cm Weight 70kg s yards quite fit.")</f>
        <v>China's overseas purchase wear m code s code is a whole big yard in general is good, warm clothes filling material in some places there are cases of uneven distribution, can feel out of touch rather hard. Height 169cm Weight 70kg s yards quite fit.</v>
      </c>
    </row>
    <row r="4135">
      <c r="A4135" s="1">
        <v>5.0</v>
      </c>
      <c r="B4135" s="1" t="s">
        <v>4121</v>
      </c>
      <c r="C4135" t="str">
        <f>IFERROR(__xludf.DUMMYFUNCTION("GOOGLETRANSLATE(B4135, ""zh"", ""en"")"),"Low-cost hand, the sound quality might sound okay 495 low-cost hand-in, first audition was okay, it should be genuine, and so now after the burn to hear how effective")</f>
        <v>Low-cost hand, the sound quality might sound okay 495 low-cost hand-in, first audition was okay, it should be genuine, and so now after the burn to hear how effective</v>
      </c>
    </row>
    <row r="4136">
      <c r="A4136" s="1">
        <v>5.0</v>
      </c>
      <c r="B4136" s="1" t="s">
        <v>4122</v>
      </c>
      <c r="C4136" t="str">
        <f>IFERROR(__xludf.DUMMYFUNCTION("GOOGLETRANSLATE(B4136, ""zh"", ""en"")"),"The price is right is very good, the price is reasonable")</f>
        <v>The price is right is very good, the price is reasonable</v>
      </c>
    </row>
    <row r="4137">
      <c r="A4137" s="1">
        <v>5.0</v>
      </c>
      <c r="B4137" s="1" t="s">
        <v>4123</v>
      </c>
      <c r="C4137" t="str">
        <f>IFERROR(__xludf.DUMMYFUNCTION("GOOGLETRANSLATE(B4137, ""zh"", ""en"")"),"Recommended big shock, as always, need a clean shave and forth several times, but soon may be shaved clean. Nobody knows how much head, but the price put there, hyperactivity hand back and forth a few very good save a few hundred pieces. Sideburns trimmer"&amp;" I feel useless, so chose this, more than 100 multiple trimmer, you can choose according to their needs, rather than function more is better.")</f>
        <v>Recommended big shock, as always, need a clean shave and forth several times, but soon may be shaved clean. Nobody knows how much head, but the price put there, hyperactivity hand back and forth a few very good save a few hundred pieces. Sideburns trimmer I feel useless, so chose this, more than 100 multiple trimmer, you can choose according to their needs, rather than function more is better.</v>
      </c>
    </row>
    <row r="4138">
      <c r="A4138" s="1">
        <v>5.0</v>
      </c>
      <c r="B4138" s="1" t="s">
        <v>4124</v>
      </c>
      <c r="C4138" t="str">
        <f>IFERROR(__xludf.DUMMYFUNCTION("GOOGLETRANSLATE(B4138, ""zh"", ""en"")"),"Buy long Ouma did not grasp, buy long. Quality is also OK!")</f>
        <v>Buy long Ouma did not grasp, buy long. Quality is also OK!</v>
      </c>
    </row>
    <row r="4139">
      <c r="A4139" s="1">
        <v>5.0</v>
      </c>
      <c r="B4139" s="1" t="s">
        <v>4125</v>
      </c>
      <c r="C4139" t="str">
        <f>IFERROR(__xludf.DUMMYFUNCTION("GOOGLETRANSLATE(B4139, ""zh"", ""en"")"),"Fried beautiful beautiful beautiful beautiful beautiful little foot wear significantly fried")</f>
        <v>Fried beautiful beautiful beautiful beautiful beautiful little foot wear significantly fried</v>
      </c>
    </row>
    <row r="4140">
      <c r="A4140" s="1">
        <v>5.0</v>
      </c>
      <c r="B4140" s="1" t="s">
        <v>4126</v>
      </c>
      <c r="C4140" t="str">
        <f>IFERROR(__xludf.DUMMYFUNCTION("GOOGLETRANSLATE(B4140, ""zh"", ""en"")"),"Vitamin good! Second purchase is recommended.")</f>
        <v>Vitamin good! Second purchase is recommended.</v>
      </c>
    </row>
    <row r="4141">
      <c r="A4141" s="1">
        <v>5.0</v>
      </c>
      <c r="B4141" s="1" t="s">
        <v>4127</v>
      </c>
      <c r="C4141" t="str">
        <f>IFERROR(__xludf.DUMMYFUNCTION("GOOGLETRANSLATE(B4141, ""zh"", ""en"")"),"uni writing good and smooth. Value for money. Express is slow")</f>
        <v>uni writing good and smooth. Value for money. Express is slow</v>
      </c>
    </row>
    <row r="4142">
      <c r="A4142" s="1">
        <v>5.0</v>
      </c>
      <c r="B4142" s="1" t="s">
        <v>4128</v>
      </c>
      <c r="C4142" t="str">
        <f>IFERROR(__xludf.DUMMYFUNCTION("GOOGLETRANSLATE(B4142, ""zh"", ""en"")"),"Good shopping experience is somewhat large, the other came good")</f>
        <v>Good shopping experience is somewhat large, the other came good</v>
      </c>
    </row>
    <row r="4143">
      <c r="A4143" s="1">
        <v>5.0</v>
      </c>
      <c r="B4143" s="1" t="s">
        <v>4129</v>
      </c>
      <c r="C4143" t="str">
        <f>IFERROR(__xludf.DUMMYFUNCTION("GOOGLETRANSLATE(B4143, ""zh"", ""en"")"),"After using the headphones feel very satisfied, the price of a headset which can be said to be very good")</f>
        <v>After using the headphones feel very satisfied, the price of a headset which can be said to be very good</v>
      </c>
    </row>
    <row r="4144">
      <c r="A4144" s="1">
        <v>5.0</v>
      </c>
      <c r="B4144" s="1" t="s">
        <v>4130</v>
      </c>
      <c r="C4144" t="str">
        <f>IFERROR(__xludf.DUMMYFUNCTION("GOOGLETRANSLATE(B4144, ""zh"", ""en"")"),"I wear too large to buy 16 of the 14 just")</f>
        <v>I wear too large to buy 16 of the 14 just</v>
      </c>
    </row>
    <row r="4145">
      <c r="A4145" s="1">
        <v>5.0</v>
      </c>
      <c r="B4145" s="1" t="s">
        <v>4131</v>
      </c>
      <c r="C4145" t="str">
        <f>IFERROR(__xludf.DUMMYFUNCTION("GOOGLETRANSLATE(B4145, ""zh"", ""en"")"),"Worth buying, inexpensive very good! Not too small.")</f>
        <v>Worth buying, inexpensive very good! Not too small.</v>
      </c>
    </row>
    <row r="4146">
      <c r="A4146" s="1">
        <v>5.0</v>
      </c>
      <c r="B4146" s="1" t="s">
        <v>4132</v>
      </c>
      <c r="C4146" t="str">
        <f>IFERROR(__xludf.DUMMYFUNCTION("GOOGLETRANSLATE(B4146, ""zh"", ""en"")"),"Appearance is very beautiful very good, cheaper than the state line is probably about one hundred, heads small and beautiful, 4t slightly thick, but can accept, try a write transfer speed is probably about eighty trillion. Here at Amazon had to Tucao retu"&amp;"rn, cancel the order after order did not succeed, the return point is honestly my hand and then sent to the first return after delivery, although the customer may reject the parcel and then crush to say to me the whole the amount of the refund, but I do n"&amp;"ot want to toss Amazon still accept the parcel. But open the package the moment think this is a wise choice, not another me down.")</f>
        <v>Appearance is very beautiful very good, cheaper than the state line is probably about one hundred, heads small and beautiful, 4t slightly thick, but can accept, try a write transfer speed is probably about eighty trillion. Here at Amazon had to Tucao return, cancel the order after order did not succeed, the return point is honestly my hand and then sent to the first return after delivery, although the customer may reject the parcel and then crush to say to me the whole the amount of the refund, but I do not want to toss Amazon still accept the parcel. But open the package the moment think this is a wise choice, not another me down.</v>
      </c>
    </row>
    <row r="4147">
      <c r="A4147" s="1">
        <v>5.0</v>
      </c>
      <c r="B4147" s="1" t="s">
        <v>4133</v>
      </c>
      <c r="C4147" t="str">
        <f>IFERROR(__xludf.DUMMYFUNCTION("GOOGLETRANSLATE(B4147, ""zh"", ""en"")"),"62KG, waist 31 code, the code 62kg partial fat, waist 31. In code fat, you should choose small yards. Too lazy to back, give nephew, he was 23, height 180")</f>
        <v>62KG, waist 31 code, the code 62kg partial fat, waist 31. In code fat, you should choose small yards. Too lazy to back, give nephew, he was 23, height 180</v>
      </c>
    </row>
    <row r="4148">
      <c r="A4148" s="1">
        <v>5.0</v>
      </c>
      <c r="B4148" s="1" t="s">
        <v>4134</v>
      </c>
      <c r="C4148" t="str">
        <f>IFERROR(__xludf.DUMMYFUNCTION("GOOGLETRANSLATE(B4148, ""zh"", ""en"")"),"Authentic genuine doubt, love!")</f>
        <v>Authentic genuine doubt, love!</v>
      </c>
    </row>
    <row r="4149">
      <c r="A4149" s="1">
        <v>5.0</v>
      </c>
      <c r="B4149" s="1" t="s">
        <v>4135</v>
      </c>
      <c r="C4149" t="str">
        <f>IFERROR(__xludf.DUMMYFUNCTION("GOOGLETRANSLATE(B4149, ""zh"", ""en"")"),"Very good shoes, Puma shoes the right size to buy according to foot length")</f>
        <v>Very good shoes, Puma shoes the right size to buy according to foot length</v>
      </c>
    </row>
    <row r="4150">
      <c r="A4150" s="1">
        <v>5.0</v>
      </c>
      <c r="B4150" s="1" t="s">
        <v>4136</v>
      </c>
      <c r="C4150" t="str">
        <f>IFERROR(__xludf.DUMMYFUNCTION("GOOGLETRANSLATE(B4150, ""zh"", ""en"")"),"Egypt produced good, very comfortable to wear, bought four plus tax")</f>
        <v>Egypt produced good, very comfortable to wear, bought four plus tax</v>
      </c>
    </row>
    <row r="4151">
      <c r="A4151" s="1">
        <v>5.0</v>
      </c>
      <c r="B4151" s="1" t="s">
        <v>4137</v>
      </c>
      <c r="C4151" t="str">
        <f>IFERROR(__xludf.DUMMYFUNCTION("GOOGLETRANSLATE(B4151, ""zh"", ""en"")"),"This is a very affordable price of less than 30, than domestic Jingdong Lynx cheaper. And compared the country to buy, brush a little loose plug that different batch numbers on the brush head.")</f>
        <v>This is a very affordable price of less than 30, than domestic Jingdong Lynx cheaper. And compared the country to buy, brush a little loose plug that different batch numbers on the brush head.</v>
      </c>
    </row>
    <row r="4152">
      <c r="A4152" s="1">
        <v>2.0</v>
      </c>
      <c r="B4152" s="1" t="s">
        <v>4138</v>
      </c>
      <c r="C4152" t="str">
        <f>IFERROR(__xludf.DUMMYFUNCTION("GOOGLETRANSLATE(B4152, ""zh"", ""en"")"),"Strap stainless steel rust rusty? ? ? awkward.......")</f>
        <v>Strap stainless steel rust rusty? ? ? awkward.......</v>
      </c>
    </row>
    <row r="4153">
      <c r="A4153" s="1">
        <v>3.0</v>
      </c>
      <c r="B4153" s="1" t="s">
        <v>4139</v>
      </c>
      <c r="C4153" t="str">
        <f>IFERROR(__xludf.DUMMYFUNCTION("GOOGLETRANSLATE(B4153, ""zh"", ""en"")"),"General General feels like a sample!")</f>
        <v>General General feels like a sample!</v>
      </c>
    </row>
    <row r="4154">
      <c r="A4154" s="1">
        <v>3.0</v>
      </c>
      <c r="B4154" s="1" t="s">
        <v>4140</v>
      </c>
      <c r="C4154" t="str">
        <f>IFERROR(__xludf.DUMMYFUNCTION("GOOGLETRANSLATE(B4154, ""zh"", ""en"")"),"This easy to use good Ha, like, will often use")</f>
        <v>This easy to use good Ha, like, will often use</v>
      </c>
    </row>
    <row r="4155">
      <c r="A4155" s="1">
        <v>1.0</v>
      </c>
      <c r="B4155" s="1" t="s">
        <v>4141</v>
      </c>
      <c r="C4155" t="str">
        <f>IFERROR(__xludf.DUMMYFUNCTION("GOOGLETRANSLATE(B4155, ""zh"", ""en"")"),"Worst in the history of the pants, like cardboard to do. If you can score, out of 100, I'll give 10 points, have the shape of pants, but do like cardboard, unprecedented. Unthinkable. . . .")</f>
        <v>Worst in the history of the pants, like cardboard to do. If you can score, out of 100, I'll give 10 points, have the shape of pants, but do like cardboard, unprecedented. Unthinkable. . . .</v>
      </c>
    </row>
    <row r="4156">
      <c r="A4156" s="1">
        <v>1.0</v>
      </c>
      <c r="B4156" s="1" t="s">
        <v>4142</v>
      </c>
      <c r="C4156" t="str">
        <f>IFERROR(__xludf.DUMMYFUNCTION("GOOGLETRANSLATE(B4156, ""zh"", ""en"")"),"The quality is very, very fake! ! poor! ! ! Braces are soft! Fakes! ! ! I'm looking for someone to direct mail and from New Zealand to buy a three, this is a fake! ! ! Fake fake!")</f>
        <v>The quality is very, very fake! ! poor! ! ! Braces are soft! Fakes! ! ! I'm looking for someone to direct mail and from New Zealand to buy a three, this is a fake! ! ! Fake fake!</v>
      </c>
    </row>
    <row r="4157">
      <c r="A4157" s="1">
        <v>4.0</v>
      </c>
      <c r="B4157" s="1" t="s">
        <v>4143</v>
      </c>
      <c r="C4157" t="str">
        <f>IFERROR(__xludf.DUMMYFUNCTION("GOOGLETRANSLATE(B4157, ""zh"", ""en"")"),"Finally received partial gray color, the color is not as good-looking pictures, the card two weeks before the customs receipt, for fear of being returned to the upper body was okay, slightly larger point, had previously been worn Colombia, winter electros"&amp;"tatic pops, try under the north of this static-how.")</f>
        <v>Finally received partial gray color, the color is not as good-looking pictures, the card two weeks before the customs receipt, for fear of being returned to the upper body was okay, slightly larger point, had previously been worn Colombia, winter electrostatic pops, try under the north of this static-how.</v>
      </c>
    </row>
    <row r="4158">
      <c r="A4158" s="1">
        <v>4.0</v>
      </c>
      <c r="B4158" s="1" t="s">
        <v>4144</v>
      </c>
      <c r="C4158" t="str">
        <f>IFERROR(__xludf.DUMMYFUNCTION("GOOGLETRANSLATE(B4158, ""zh"", ""en"")"),"Clothes satisfaction, for customer service have anything to say very good quality, mainly the price is very affordable, very satisfied with this, but I put Amazon Amazon callback phone number to answer that right to the limit, especially not satisfied, so"&amp;" many things to buy any question how to contact ??? early to give hope to resolve the Amazon, as well as some of the customer service turned out to be empty promises chaos to reply!")</f>
        <v>Clothes satisfaction, for customer service have anything to say very good quality, mainly the price is very affordable, very satisfied with this, but I put Amazon Amazon callback phone number to answer that right to the limit, especially not satisfied, so many things to buy any question how to contact ??? early to give hope to resolve the Amazon, as well as some of the customer service turned out to be empty promises chaos to reply!</v>
      </c>
    </row>
    <row r="4159">
      <c r="A4159" s="1">
        <v>4.0</v>
      </c>
      <c r="B4159" s="1" t="s">
        <v>4145</v>
      </c>
      <c r="C4159" t="str">
        <f>IFERROR(__xludf.DUMMYFUNCTION("GOOGLETRANSLATE(B4159, ""zh"", ""en"")"),"Not bad pro kick 41 yards to buy a slightly larger initial evaluation of 8ee, some 7.5 will be suitable; slight flaw with the thread, but the overall feeling is satisfactory. Like redwing early footrest wear. Single to get nine days to get the goods consi"&amp;"dered fast.")</f>
        <v>Not bad pro kick 41 yards to buy a slightly larger initial evaluation of 8ee, some 7.5 will be suitable; slight flaw with the thread, but the overall feeling is satisfactory. Like redwing early footrest wear. Single to get nine days to get the goods considered fast.</v>
      </c>
    </row>
    <row r="4160">
      <c r="A4160" s="1">
        <v>4.0</v>
      </c>
      <c r="B4160" s="1" t="s">
        <v>4146</v>
      </c>
      <c r="C4160" t="str">
        <f>IFERROR(__xludf.DUMMYFUNCTION("GOOGLETRANSLATE(B4160, ""zh"", ""en"")"),"Given the return shipping good-looking boots, shoes not only buy large buy small, usually 38-39 shoes, this time to buy a 5.5, too big, but the width almost, anyway boots big point does not matter. Cost-effective high shoes, confession Amazon")</f>
        <v>Given the return shipping good-looking boots, shoes not only buy large buy small, usually 38-39 shoes, this time to buy a 5.5, too big, but the width almost, anyway boots big point does not matter. Cost-effective high shoes, confession Amazon</v>
      </c>
    </row>
    <row r="4161">
      <c r="A4161" s="1">
        <v>4.0</v>
      </c>
      <c r="B4161" s="1" t="s">
        <v>4147</v>
      </c>
      <c r="C4161" t="str">
        <f>IFERROR(__xludf.DUMMYFUNCTION("GOOGLETRANSLATE(B4161, ""zh"", ""en"")"),"Value for money too loud, the other better, to be played this price")</f>
        <v>Value for money too loud, the other better, to be played this price</v>
      </c>
    </row>
    <row r="4162">
      <c r="A4162" s="1">
        <v>5.0</v>
      </c>
      <c r="B4162" s="1" t="s">
        <v>4148</v>
      </c>
      <c r="C4162" t="str">
        <f>IFERROR(__xludf.DUMMYFUNCTION("GOOGLETRANSLATE(B4162, ""zh"", ""en"")"),"champion zipper shirt sporty fabulous spring season best suited to this kind of clothes to wear, breathable, fit, casual little holiday trip more comfortable.")</f>
        <v>champion zipper shirt sporty fabulous spring season best suited to this kind of clothes to wear, breathable, fit, casual little holiday trip more comfortable.</v>
      </c>
    </row>
    <row r="4163">
      <c r="A4163" s="1">
        <v>5.0</v>
      </c>
      <c r="B4163" s="1" t="s">
        <v>4149</v>
      </c>
      <c r="C4163" t="str">
        <f>IFERROR(__xludf.DUMMYFUNCTION("GOOGLETRANSLATE(B4163, ""zh"", ""en"")"),"High color value good pot &lt;div id = ""video-block-RPY7SIWDP6O2R"" class = ""a-section a-spacing-small a-spacing-top-mini video-block""&gt; &lt;/ div&gt; &lt;input type = ""hidden"" name = """" value = ""https://images-cn.ssl-images-amazon.com/images/I/91-84zN3-aS.mp4"&amp;""" class = ""video-url""&gt; &lt;input type = ""hidden"" name = """" value = ""https://images-cn.ssl-images-amazon.com/images/I/71LfJlb3FlS.png"" class = ""video-slate-img-url""&gt; &amp; nbsp; color value out really re-ah with great ceremony but not much sense of it "&amp;"like merchandise in a giant box sent over this really okay? Pot heavy feeling such a package is not particularly effective receive hand there is no bump it all depends on luck")</f>
        <v>High color value good pot &lt;div id = "video-block-RPY7SIWDP6O2R" class = "a-section a-spacing-small a-spacing-top-mini video-block"&gt; &lt;/ div&gt; &lt;input type = "hidden" name = "" value = "https://images-cn.ssl-images-amazon.com/images/I/91-84zN3-aS.mp4" class = "video-url"&gt; &lt;input type = "hidden" name = "" value = "https://images-cn.ssl-images-amazon.com/images/I/71LfJlb3FlS.png" class = "video-slate-img-url"&gt; &amp; nbsp; color value out really re-ah with great ceremony but not much sense of it like merchandise in a giant box sent over this really okay? Pot heavy feeling such a package is not particularly effective receive hand there is no bump it all depends on luck</v>
      </c>
    </row>
    <row r="4164">
      <c r="A4164" s="1">
        <v>5.0</v>
      </c>
      <c r="B4164" s="1" t="s">
        <v>4150</v>
      </c>
      <c r="C4164" t="str">
        <f>IFERROR(__xludf.DUMMYFUNCTION("GOOGLETRANSLATE(B4164, ""zh"", ""en"")"),"Color deviations good clothes, the color deviation")</f>
        <v>Color deviations good clothes, the color deviation</v>
      </c>
    </row>
    <row r="4165">
      <c r="A4165" s="1">
        <v>5.0</v>
      </c>
      <c r="B4165" s="1" t="s">
        <v>4151</v>
      </c>
      <c r="C4165" t="str">
        <f>IFERROR(__xludf.DUMMYFUNCTION("GOOGLETRANSLATE(B4165, ""zh"", ""en"")"),"Yes larger than the domestic one yards, but the quality is good")</f>
        <v>Yes larger than the domestic one yards, but the quality is good</v>
      </c>
    </row>
    <row r="4166">
      <c r="A4166" s="1">
        <v>5.0</v>
      </c>
      <c r="B4166" s="1" t="s">
        <v>4152</v>
      </c>
      <c r="C4166" t="str">
        <f>IFERROR(__xludf.DUMMYFUNCTION("GOOGLETRANSLATE(B4166, ""zh"", ""en"")"),"Material comfort is very good, the material is more comfortable, the version is also self")</f>
        <v>Material comfort is very good, the material is more comfortable, the version is also self</v>
      </c>
    </row>
    <row r="4167">
      <c r="A4167" s="1">
        <v>5.0</v>
      </c>
      <c r="B4167" s="1" t="s">
        <v>4153</v>
      </c>
      <c r="C4167" t="str">
        <f>IFERROR(__xludf.DUMMYFUNCTION("GOOGLETRANSLATE(B4167, ""zh"", ""en"")"),"Well regarded in underwear no rims look good friends, like, the only certainty is cup shaped somewhat strange, I feel a kind of sharp protrusions (do not know how to say, a sense of right vertebral)")</f>
        <v>Well regarded in underwear no rims look good friends, like, the only certainty is cup shaped somewhat strange, I feel a kind of sharp protrusions (do not know how to say, a sense of right vertebral)</v>
      </c>
    </row>
    <row r="4168">
      <c r="A4168" s="1">
        <v>5.0</v>
      </c>
      <c r="B4168" s="1" t="s">
        <v>4154</v>
      </c>
      <c r="C4168" t="str">
        <f>IFERROR(__xludf.DUMMYFUNCTION("GOOGLETRANSLATE(B4168, ""zh"", ""en"")"),"Love high waist high waist jeans hard to find good can summon the dragon in order to cobble together a seven-color without re-buy the pants I can not fat")</f>
        <v>Love high waist high waist jeans hard to find good can summon the dragon in order to cobble together a seven-color without re-buy the pants I can not fat</v>
      </c>
    </row>
    <row r="4169">
      <c r="A4169" s="1">
        <v>5.0</v>
      </c>
      <c r="B4169" s="1" t="s">
        <v>4155</v>
      </c>
      <c r="C4169" t="str">
        <f>IFERROR(__xludf.DUMMYFUNCTION("GOOGLETRANSLATE(B4169, ""zh"", ""en"")"),"Satisfaction domestic large shoe size, sole soft, comfortable to wear, not walk stretch ratio is not suitable for walking shoes")</f>
        <v>Satisfaction domestic large shoe size, sole soft, comfortable to wear, not walk stretch ratio is not suitable for walking shoes</v>
      </c>
    </row>
    <row r="4170">
      <c r="A4170" s="1">
        <v>5.0</v>
      </c>
      <c r="B4170" s="1" t="s">
        <v>4156</v>
      </c>
      <c r="C4170" t="str">
        <f>IFERROR(__xludf.DUMMYFUNCTION("GOOGLETRANSLATE(B4170, ""zh"", ""en"")"),"Stockpile of a dozen talented students, prepared with postpartum bought used. I hope useful. Logistics soon, 14 hair goods, went to No. 17")</f>
        <v>Stockpile of a dozen talented students, prepared with postpartum bought used. I hope useful. Logistics soon, 14 hair goods, went to No. 17</v>
      </c>
    </row>
    <row r="4171">
      <c r="A4171" s="1">
        <v>5.0</v>
      </c>
      <c r="B4171" s="1" t="s">
        <v>4157</v>
      </c>
      <c r="C4171" t="str">
        <f>IFERROR(__xludf.DUMMYFUNCTION("GOOGLETRANSLATE(B4171, ""zh"", ""en"")"),"Headphone reliable than women with my a1 called human chest device")</f>
        <v>Headphone reliable than women with my a1 called human chest device</v>
      </c>
    </row>
    <row r="4172">
      <c r="A4172" s="1">
        <v>5.0</v>
      </c>
      <c r="B4172" s="1" t="s">
        <v>4158</v>
      </c>
      <c r="C4172" t="str">
        <f>IFERROR(__xludf.DUMMYFUNCTION("GOOGLETRANSLATE(B4172, ""zh"", ""en"")"),"Good wear comfortable, casual stretch")</f>
        <v>Good wear comfortable, casual stretch</v>
      </c>
    </row>
    <row r="4173">
      <c r="A4173" s="1">
        <v>5.0</v>
      </c>
      <c r="B4173" s="1" t="s">
        <v>4159</v>
      </c>
      <c r="C4173" t="str">
        <f>IFERROR(__xludf.DUMMYFUNCTION("GOOGLETRANSLATE(B4173, ""zh"", ""en"")"),"Like domestic LEE size, too large one yards as the size of the domestic LEE, too large one yard. . . . . . . . .")</f>
        <v>Like domestic LEE size, too large one yards as the size of the domestic LEE, too large one yard. . . . . . . . .</v>
      </c>
    </row>
    <row r="4174">
      <c r="A4174" s="1">
        <v>5.0</v>
      </c>
      <c r="B4174" s="1" t="s">
        <v>4160</v>
      </c>
      <c r="C4174" t="str">
        <f>IFERROR(__xludf.DUMMYFUNCTION("GOOGLETRANSLATE(B4174, ""zh"", ""en"")"),"Very satisfied with the good wife should have effect. . . . . . . .")</f>
        <v>Very satisfied with the good wife should have effect. . . . . . . .</v>
      </c>
    </row>
    <row r="4175">
      <c r="A4175" s="1">
        <v>5.0</v>
      </c>
      <c r="B4175" s="1" t="s">
        <v>4161</v>
      </c>
      <c r="C4175" t="str">
        <f>IFERROR(__xludf.DUMMYFUNCTION("GOOGLETRANSLATE(B4175, ""zh"", ""en"")"),"Comfortable, elastic very good big socks, wear very comfortable, great elasticity, fat weight 150 can wear")</f>
        <v>Comfortable, elastic very good big socks, wear very comfortable, great elasticity, fat weight 150 can wear</v>
      </c>
    </row>
    <row r="4176">
      <c r="A4176" s="1">
        <v>5.0</v>
      </c>
      <c r="B4176" s="1" t="s">
        <v>4162</v>
      </c>
      <c r="C4176" t="str">
        <f>IFERROR(__xludf.DUMMYFUNCTION("GOOGLETRANSLATE(B4176, ""zh"", ""en"")"),"Really good I want to say this is I bought a second piece of the same paragraph. Now prices have gone up, early spring wear just right.")</f>
        <v>Really good I want to say this is I bought a second piece of the same paragraph. Now prices have gone up, early spring wear just right.</v>
      </c>
    </row>
    <row r="4177">
      <c r="A4177" s="1">
        <v>5.0</v>
      </c>
      <c r="B4177" s="1" t="s">
        <v>4163</v>
      </c>
      <c r="C4177" t="str">
        <f>IFERROR(__xludf.DUMMYFUNCTION("GOOGLETRANSLATE(B4177, ""zh"", ""en"")"),"Overall good second hand pointer very accurate, dial really the atmosphere, under weigh small child, only worry is that the strap is not durable, single delivery to five days, very fast")</f>
        <v>Overall good second hand pointer very accurate, dial really the atmosphere, under weigh small child, only worry is that the strap is not durable, single delivery to five days, very fast</v>
      </c>
    </row>
    <row r="4178">
      <c r="A4178" s="1">
        <v>5.0</v>
      </c>
      <c r="B4178" s="1" t="s">
        <v>4164</v>
      </c>
      <c r="C4178" t="str">
        <f>IFERROR(__xludf.DUMMYFUNCTION("GOOGLETRANSLATE(B4178, ""zh"", ""en"")"),"Satisfaction 178cm 63kg, buy s just right, good texture")</f>
        <v>Satisfaction 178cm 63kg, buy s just right, good texture</v>
      </c>
    </row>
    <row r="4179">
      <c r="A4179" s="1">
        <v>5.0</v>
      </c>
      <c r="B4179" s="1" t="s">
        <v>4165</v>
      </c>
      <c r="C4179" t="str">
        <f>IFERROR(__xludf.DUMMYFUNCTION("GOOGLETRANSLATE(B4179, ""zh"", ""en"")"),"Good quality is good, color Ye Hao, the future will buy")</f>
        <v>Good quality is good, color Ye Hao, the future will buy</v>
      </c>
    </row>
    <row r="4180">
      <c r="A4180" s="1">
        <v>5.0</v>
      </c>
      <c r="B4180" s="1" t="s">
        <v>4166</v>
      </c>
      <c r="C4180" t="str">
        <f>IFERROR(__xludf.DUMMYFUNCTION("GOOGLETRANSLATE(B4180, ""zh"", ""en"")"),"This practical cup cup particularly good, change at different stages of different quilt like, my baby more than six months to start with a suction cup, he kinda likes.")</f>
        <v>This practical cup cup particularly good, change at different stages of different quilt like, my baby more than six months to start with a suction cup, he kinda likes.</v>
      </c>
    </row>
    <row r="4181">
      <c r="A4181" s="1">
        <v>5.0</v>
      </c>
      <c r="B4181" s="1" t="s">
        <v>4167</v>
      </c>
      <c r="C4181" t="str">
        <f>IFERROR(__xludf.DUMMYFUNCTION("GOOGLETRANSLATE(B4181, ""zh"", ""en"")"),"Size chart is very accurate very good, thick, very accurate size chart")</f>
        <v>Size chart is very accurate very good, thick, very accurate size chart</v>
      </c>
    </row>
    <row r="4182">
      <c r="A4182" s="1">
        <v>5.0</v>
      </c>
      <c r="B4182" s="1" t="s">
        <v>4168</v>
      </c>
      <c r="C4182" t="str">
        <f>IFERROR(__xludf.DUMMYFUNCTION("GOOGLETRANSLATE(B4182, ""zh"", ""en"")"),"It can be said is the most mainstream of tlc sata interface SSDs, and all aspects are balanced, without any shortcomings and deficiencies, is to buy big brand to buy solid state can be assured, Samsung has been one of the most Niubi flash vendors . It can"&amp;" be said is the most mainstream of tlc sata interface SSDs, and all aspects are balanced, without any shortcomings and deficiencies, is to buy big brand to buy solid state can be assured, Samsung has been one of the most Niubi flash vendors . Ratings I ra"&amp;"n down, almost about 1200 bar, not a blueprint, boring, can be used on the line. Say one more thing, Amazon's service is really fast and good")</f>
        <v>It can be said is the most mainstream of tlc sata interface SSDs, and all aspects are balanced, without any shortcomings and deficiencies, is to buy big brand to buy solid state can be assured, Samsung has been one of the most Niubi flash vendors . It can be said is the most mainstream of tlc sata interface SSDs, and all aspects are balanced, without any shortcomings and deficiencies, is to buy big brand to buy solid state can be assured, Samsung has been one of the most Niubi flash vendors . Ratings I ran down, almost about 1200 bar, not a blueprint, boring, can be used on the line. Say one more thing, Amazon's service is really fast and good</v>
      </c>
    </row>
    <row r="4183">
      <c r="A4183" s="1">
        <v>2.0</v>
      </c>
      <c r="B4183" s="1" t="s">
        <v>4169</v>
      </c>
      <c r="C4183" t="str">
        <f>IFERROR(__xludf.DUMMYFUNCTION("GOOGLETRANSLATE(B4183, ""zh"", ""en"")"),"The first to buy things in it. Four days arrive, really doubt it is not a fake, foreign to China so soon? I do not recommend buying.")</f>
        <v>The first to buy things in it. Four days arrive, really doubt it is not a fake, foreign to China so soon? I do not recommend buying.</v>
      </c>
    </row>
    <row r="4184">
      <c r="A4184" s="1">
        <v>3.0</v>
      </c>
      <c r="B4184" s="1" t="s">
        <v>4170</v>
      </c>
      <c r="C4184" t="str">
        <f>IFERROR(__xludf.DUMMYFUNCTION("GOOGLETRANSLATE(B4184, ""zh"", ""en"")"),"Moderate work also can recommend, belt buckle a bit rough, there are even glue, a little original, buy the smallest code, a bit is shorter.")</f>
        <v>Moderate work also can recommend, belt buckle a bit rough, there are even glue, a little original, buy the smallest code, a bit is shorter.</v>
      </c>
    </row>
    <row r="4185">
      <c r="A4185" s="1">
        <v>3.0</v>
      </c>
      <c r="B4185" s="1" t="s">
        <v>4171</v>
      </c>
      <c r="C4185" t="str">
        <f>IFERROR(__xludf.DUMMYFUNCTION("GOOGLETRANSLATE(B4185, ""zh"", ""en"")"),"Aci Well, feel not very good")</f>
        <v>Aci Well, feel not very good</v>
      </c>
    </row>
    <row r="4186">
      <c r="A4186" s="1">
        <v>1.0</v>
      </c>
      <c r="B4186" s="1" t="s">
        <v>4172</v>
      </c>
      <c r="C4186" t="str">
        <f>IFERROR(__xludf.DUMMYFUNCTION("GOOGLETRANSLATE(B4186, ""zh"", ""en"")"),"Why send the goods to expire immediately 2019.6.4 received the goods, bought two bottles, valid for 2019.10, only bad review from the expiration time of only 3 months! ! !")</f>
        <v>Why send the goods to expire immediately 2019.6.4 received the goods, bought two bottles, valid for 2019.10, only bad review from the expiration time of only 3 months! ! !</v>
      </c>
    </row>
    <row r="4187">
      <c r="A4187" s="1">
        <v>1.0</v>
      </c>
      <c r="B4187" s="1" t="s">
        <v>4173</v>
      </c>
      <c r="C4187" t="str">
        <f>IFERROR(__xludf.DUMMYFUNCTION("GOOGLETRANSLATE(B4187, ""zh"", ""en"")"),"Shelf life Shelf life as well as March to 17 December, also drunk")</f>
        <v>Shelf life Shelf life as well as March to 17 December, also drunk</v>
      </c>
    </row>
    <row r="4188">
      <c r="A4188" s="1">
        <v>4.0</v>
      </c>
      <c r="B4188" s="1" t="s">
        <v>4174</v>
      </c>
      <c r="C4188" t="str">
        <f>IFERROR(__xludf.DUMMYFUNCTION("GOOGLETRANSLATE(B4188, ""zh"", ""en"")"),"Good very good, simple and elegant, suitable for men to wear a little thin")</f>
        <v>Good very good, simple and elegant, suitable for men to wear a little thin</v>
      </c>
    </row>
    <row r="4189">
      <c r="A4189" s="1">
        <v>4.0</v>
      </c>
      <c r="B4189" s="1" t="s">
        <v>4175</v>
      </c>
      <c r="C4189" t="str">
        <f>IFERROR(__xludf.DUMMYFUNCTION("GOOGLETRANSLATE(B4189, ""zh"", ""en"")"),"Wow what value something good soon not a week went to a little thick and rather long for the first time to buy a good next will continue to buy in Chinese Amazon")</f>
        <v>Wow what value something good soon not a week went to a little thick and rather long for the first time to buy a good next will continue to buy in Chinese Amazon</v>
      </c>
    </row>
    <row r="4190">
      <c r="A4190" s="1">
        <v>4.0</v>
      </c>
      <c r="B4190" s="1" t="s">
        <v>4176</v>
      </c>
      <c r="C4190" t="str">
        <f>IFERROR(__xludf.DUMMYFUNCTION("GOOGLETRANSLATE(B4190, ""zh"", ""en"")"),"Quality is also OK, others say no-show off the quality of the trademark can")</f>
        <v>Quality is also OK, others say no-show off the quality of the trademark can</v>
      </c>
    </row>
    <row r="4191">
      <c r="A4191" s="1">
        <v>4.0</v>
      </c>
      <c r="B4191" s="1" t="s">
        <v>4177</v>
      </c>
      <c r="C4191" t="str">
        <f>IFERROR(__xludf.DUMMYFUNCTION("GOOGLETRANSLATE(B4191, ""zh"", ""en"")"),"180 60KG, waist belt use is too large, or significantly larger waist, pocket large capacity, 500ml beverage can also wear down, draping standing watch when feeling a little wrinkled, fabric feeling pretty good")</f>
        <v>180 60KG, waist belt use is too large, or significantly larger waist, pocket large capacity, 500ml beverage can also wear down, draping standing watch when feeling a little wrinkled, fabric feeling pretty good</v>
      </c>
    </row>
    <row r="4192">
      <c r="A4192" s="1">
        <v>4.0</v>
      </c>
      <c r="B4192" s="1" t="s">
        <v>4178</v>
      </c>
      <c r="C4192" t="str">
        <f>IFERROR(__xludf.DUMMYFUNCTION("GOOGLETRANSLATE(B4192, ""zh"", ""en"")"),"Multi-thread stitching which did not feel good is also good, which is also cut thread Super Multi wrapped in a, but do not dare cut, fear of open line, a little disappointed")</f>
        <v>Multi-thread stitching which did not feel good is also good, which is also cut thread Super Multi wrapped in a, but do not dare cut, fear of open line, a little disappointed</v>
      </c>
    </row>
    <row r="4193">
      <c r="A4193" s="1">
        <v>5.0</v>
      </c>
      <c r="B4193" s="1" t="s">
        <v>4179</v>
      </c>
      <c r="C4193" t="str">
        <f>IFERROR(__xludf.DUMMYFUNCTION("GOOGLETRANSLATE(B4193, ""zh"", ""en"")"),"Good very fit, very cheap")</f>
        <v>Good very fit, very cheap</v>
      </c>
    </row>
    <row r="4194">
      <c r="A4194" s="1">
        <v>5.0</v>
      </c>
      <c r="B4194" s="1" t="s">
        <v>4180</v>
      </c>
      <c r="C4194" t="str">
        <f>IFERROR(__xludf.DUMMYFUNCTION("GOOGLETRANSLATE(B4194, ""zh"", ""en"")"),"satisfaction! Very compact, good quality!")</f>
        <v>satisfaction! Very compact, good quality!</v>
      </c>
    </row>
    <row r="4195">
      <c r="A4195" s="1">
        <v>5.0</v>
      </c>
      <c r="B4195" s="1" t="s">
        <v>4181</v>
      </c>
      <c r="C4195" t="str">
        <f>IFERROR(__xludf.DUMMYFUNCTION("GOOGLETRANSLATE(B4195, ""zh"", ""en"")"),"Pants big points slightly larger length of 184 points for Ouma")</f>
        <v>Pants big points slightly larger length of 184 points for Ouma</v>
      </c>
    </row>
    <row r="4196">
      <c r="A4196" s="1">
        <v>5.0</v>
      </c>
      <c r="B4196" s="1" t="s">
        <v>4182</v>
      </c>
      <c r="C4196" t="str">
        <f>IFERROR(__xludf.DUMMYFUNCTION("GOOGLETRANSLATE(B4196, ""zh"", ""en"")"),"Lee is higher than the cost to buy several times, finally know what the right size of the ......")</f>
        <v>Lee is higher than the cost to buy several times, finally know what the right size of the ......</v>
      </c>
    </row>
    <row r="4197">
      <c r="A4197" s="1">
        <v>5.0</v>
      </c>
      <c r="B4197" s="1" t="s">
        <v>4183</v>
      </c>
      <c r="C4197" t="str">
        <f>IFERROR(__xludf.DUMMYFUNCTION("GOOGLETRANSLATE(B4197, ""zh"", ""en"")"),"Very comfortable very comfortable, buy than Derivative hands of a lot better")</f>
        <v>Very comfortable very comfortable, buy than Derivative hands of a lot better</v>
      </c>
    </row>
    <row r="4198">
      <c r="A4198" s="1">
        <v>5.0</v>
      </c>
      <c r="B4198" s="1" t="s">
        <v>4184</v>
      </c>
      <c r="C4198" t="str">
        <f>IFERROR(__xludf.DUMMYFUNCTION("GOOGLETRANSLATE(B4198, ""zh"", ""en"")"),"Nice clothes, clothes work well, the right size.")</f>
        <v>Nice clothes, clothes work well, the right size.</v>
      </c>
    </row>
    <row r="4199">
      <c r="A4199" s="1">
        <v>5.0</v>
      </c>
      <c r="B4199" s="1" t="s">
        <v>4185</v>
      </c>
      <c r="C4199" t="str">
        <f>IFERROR(__xludf.DUMMYFUNCTION("GOOGLETRANSLATE(B4199, ""zh"", ""en"")"),"Very cheap good, better than expected")</f>
        <v>Very cheap good, better than expected</v>
      </c>
    </row>
    <row r="4200">
      <c r="A4200" s="1">
        <v>5.0</v>
      </c>
      <c r="B4200" s="1" t="s">
        <v>4186</v>
      </c>
      <c r="C4200" t="str">
        <f>IFERROR(__xludf.DUMMYFUNCTION("GOOGLETRANSLATE(B4200, ""zh"", ""en"")"),"Soft and comfortable fit, not very thick, summer can also wear, 175cm, 68kg wear w31 slightly loose, like tight can buy small one yard")</f>
        <v>Soft and comfortable fit, not very thick, summer can also wear, 175cm, 68kg wear w31 slightly loose, like tight can buy small one yard</v>
      </c>
    </row>
    <row r="4201">
      <c r="A4201" s="1">
        <v>5.0</v>
      </c>
      <c r="B4201" s="1" t="s">
        <v>4187</v>
      </c>
      <c r="C4201" t="str">
        <f>IFERROR(__xludf.DUMMYFUNCTION("GOOGLETRANSLATE(B4201, ""zh"", ""en"")"),"Comfortable and cost-effective. The right size, comfortable fabrics, easy no sense of restraint.")</f>
        <v>Comfortable and cost-effective. The right size, comfortable fabrics, easy no sense of restraint.</v>
      </c>
    </row>
    <row r="4202">
      <c r="A4202" s="1">
        <v>5.0</v>
      </c>
      <c r="B4202" s="1" t="s">
        <v>4188</v>
      </c>
      <c r="C4202" t="str">
        <f>IFERROR(__xludf.DUMMYFUNCTION("GOOGLETRANSLATE(B4202, ""zh"", ""en"")"),"Value easy to catch up with the discount, with taxes less than six hundred, more than half cheaper than the national mainstream, value ah! Clean very clean, wireless is also very convenient")</f>
        <v>Value easy to catch up with the discount, with taxes less than six hundred, more than half cheaper than the national mainstream, value ah! Clean very clean, wireless is also very convenient</v>
      </c>
    </row>
    <row r="4203">
      <c r="A4203" s="1">
        <v>5.0</v>
      </c>
      <c r="B4203" s="1" t="s">
        <v>4189</v>
      </c>
      <c r="C4203" t="str">
        <f>IFERROR(__xludf.DUMMYFUNCTION("GOOGLETRANSLATE(B4203, ""zh"", ""en"")"),"Insulation pot appearance Jingmei, effective insulation")</f>
        <v>Insulation pot appearance Jingmei, effective insulation</v>
      </c>
    </row>
    <row r="4204">
      <c r="A4204" s="1">
        <v>5.0</v>
      </c>
      <c r="B4204" s="1" t="s">
        <v>4190</v>
      </c>
      <c r="C4204" t="str">
        <f>IFERROR(__xludf.DUMMYFUNCTION("GOOGLETRANSLATE(B4204, ""zh"", ""en"")"),"Recommended comfortable. When wearing pajamas, a good choice")</f>
        <v>Recommended comfortable. When wearing pajamas, a good choice</v>
      </c>
    </row>
    <row r="4205">
      <c r="A4205" s="1">
        <v>5.0</v>
      </c>
      <c r="B4205" s="1" t="s">
        <v>4191</v>
      </c>
      <c r="C4205" t="str">
        <f>IFERROR(__xludf.DUMMYFUNCTION("GOOGLETRANSLATE(B4205, ""zh"", ""en"")"),"Quite like the normal wear W30L30, read the comments on the election of W29L30 really appropriate. Time is sent trouser legs rolled sent, completely crumpled. Need to wash and then iron. Then the evaluation of the pants itself, the fabric feels very comfo"&amp;"rtable, quality. Dark gray in color, gray than the picture, considered a dark gray. Wear trousers and not so slim on the pictures, considered a lounge feel. There are eight different shades pockets on the pants, is used to hold things still play a decorat"&amp;"ive role, it depends on personal preference.")</f>
        <v>Quite like the normal wear W30L30, read the comments on the election of W29L30 really appropriate. Time is sent trouser legs rolled sent, completely crumpled. Need to wash and then iron. Then the evaluation of the pants itself, the fabric feels very comfortable, quality. Dark gray in color, gray than the picture, considered a dark gray. Wear trousers and not so slim on the pictures, considered a lounge feel. There are eight different shades pockets on the pants, is used to hold things still play a decorative role, it depends on personal preference.</v>
      </c>
    </row>
    <row r="4206">
      <c r="A4206" s="1">
        <v>5.0</v>
      </c>
      <c r="B4206" s="1" t="s">
        <v>4192</v>
      </c>
      <c r="C4206" t="str">
        <f>IFERROR(__xludf.DUMMYFUNCTION("GOOGLETRANSLATE(B4206, ""zh"", ""en"")"),"The machine easy to use the machine very easy to use, and very fast face twisted meat")</f>
        <v>The machine easy to use the machine very easy to use, and very fast face twisted meat</v>
      </c>
    </row>
    <row r="4207">
      <c r="A4207" s="1">
        <v>5.0</v>
      </c>
      <c r="B4207" s="1" t="s">
        <v>4193</v>
      </c>
      <c r="C4207" t="str">
        <f>IFERROR(__xludf.DUMMYFUNCTION("GOOGLETRANSLATE(B4207, ""zh"", ""en"")"),"Oh great 165.52, S code just right. Cotton is very comfortable, it will buy again. Chase Review: black will fade. . . I do not know how to wash twice will not be better. . .")</f>
        <v>Oh great 165.52, S code just right. Cotton is very comfortable, it will buy again. Chase Review: black will fade. . . I do not know how to wash twice will not be better. . .</v>
      </c>
    </row>
    <row r="4208">
      <c r="A4208" s="1">
        <v>5.0</v>
      </c>
      <c r="B4208" s="1" t="s">
        <v>4194</v>
      </c>
      <c r="C4208" t="str">
        <f>IFERROR(__xludf.DUMMYFUNCTION("GOOGLETRANSLATE(B4208, ""zh"", ""en"")"),"Like good quality, size is relatively standard, height 165, M number to wear self-cultivation.")</f>
        <v>Like good quality, size is relatively standard, height 165, M number to wear self-cultivation.</v>
      </c>
    </row>
    <row r="4209">
      <c r="A4209" s="1">
        <v>5.0</v>
      </c>
      <c r="B4209" s="1" t="s">
        <v>4195</v>
      </c>
      <c r="C4209" t="str">
        <f>IFERROR(__xludf.DUMMYFUNCTION("GOOGLETRANSLATE(B4209, ""zh"", ""en"")"),"A fashion statement Millau daily fixed fast 18 seconds, even good results.")</f>
        <v>A fashion statement Millau daily fixed fast 18 seconds, even good results.</v>
      </c>
    </row>
    <row r="4210">
      <c r="A4210" s="1">
        <v>5.0</v>
      </c>
      <c r="B4210" s="1" t="s">
        <v>4196</v>
      </c>
      <c r="C4210" t="str">
        <f>IFERROR(__xludf.DUMMYFUNCTION("GOOGLETRANSLATE(B4210, ""zh"", ""en"")"),"Performance can be cheap, the price is cheap")</f>
        <v>Performance can be cheap, the price is cheap</v>
      </c>
    </row>
    <row r="4211">
      <c r="A4211" s="1">
        <v>5.0</v>
      </c>
      <c r="B4211" s="1" t="s">
        <v>4197</v>
      </c>
      <c r="C4211" t="str">
        <f>IFERROR(__xludf.DUMMYFUNCTION("GOOGLETRANSLATE(B4211, ""zh"", ""en"")"),"The right size, comfortable cheap, wife to say something, want to buy, waiting for prices to adjust to the appropriate time to start.")</f>
        <v>The right size, comfortable cheap, wife to say something, want to buy, waiting for prices to adjust to the appropriate time to start.</v>
      </c>
    </row>
    <row r="4212">
      <c r="A4212" s="1">
        <v>5.0</v>
      </c>
      <c r="B4212" s="1" t="s">
        <v>4198</v>
      </c>
      <c r="C4212" t="str">
        <f>IFERROR(__xludf.DUMMYFUNCTION("GOOGLETRANSLATE(B4212, ""zh"", ""en"")"),"I am very fit 178CM, weight 160. The right size")</f>
        <v>I am very fit 178CM, weight 160. The right size</v>
      </c>
    </row>
    <row r="4213">
      <c r="A4213" s="1">
        <v>5.0</v>
      </c>
      <c r="B4213" s="1" t="s">
        <v>4199</v>
      </c>
      <c r="C4213" t="str">
        <f>IFERROR(__xludf.DUMMYFUNCTION("GOOGLETRANSLATE(B4213, ""zh"", ""en"")"),"A little fade 180,73KG buy L code, the right size, over the water, it will fade! Comfortable, cool!")</f>
        <v>A little fade 180,73KG buy L code, the right size, over the water, it will fade! Comfortable, cool!</v>
      </c>
    </row>
    <row r="4214">
      <c r="A4214" s="1">
        <v>5.0</v>
      </c>
      <c r="B4214" s="1" t="s">
        <v>4200</v>
      </c>
      <c r="C4214" t="str">
        <f>IFERROR(__xludf.DUMMYFUNCTION("GOOGLETRANSLATE(B4214, ""zh"", ""en"")"),"Good to wear! recommend! Postpartum bought so a variety of plastic body pants, it is best to wear a. When wearing very tight, I do not even put Le, praise!")</f>
        <v>Good to wear! recommend! Postpartum bought so a variety of plastic body pants, it is best to wear a. When wearing very tight, I do not even put Le, praise!</v>
      </c>
    </row>
    <row r="4215">
      <c r="A4215" s="1">
        <v>2.0</v>
      </c>
      <c r="B4215" s="1" t="s">
        <v>4201</v>
      </c>
      <c r="C4215" t="str">
        <f>IFERROR(__xludf.DUMMYFUNCTION("GOOGLETRANSLATE(B4215, ""zh"", ""en"")"),"Good size standard, only partial fat legs! Overall okay")</f>
        <v>Good size standard, only partial fat legs! Overall okay</v>
      </c>
    </row>
    <row r="4216">
      <c r="A4216" s="1">
        <v>3.0</v>
      </c>
      <c r="B4216" s="1" t="s">
        <v>4202</v>
      </c>
      <c r="C4216" t="str">
        <f>IFERROR(__xludf.DUMMYFUNCTION("GOOGLETRANSLATE(B4216, ""zh"", ""en"")"),"Not nothing wrong with holding the other, the key is! Not holding ah!")</f>
        <v>Not nothing wrong with holding the other, the key is! Not holding ah!</v>
      </c>
    </row>
    <row r="4217">
      <c r="A4217" s="1">
        <v>3.0</v>
      </c>
      <c r="B4217" s="1" t="s">
        <v>4203</v>
      </c>
      <c r="C4217" t="str">
        <f>IFERROR(__xludf.DUMMYFUNCTION("GOOGLETRANSLATE(B4217, ""zh"", ""en"")"),"Is too large, no elasticity to five days. Clothes too large, there is no elastic fabric, beating at the big point, or else suffer wear")</f>
        <v>Is too large, no elasticity to five days. Clothes too large, there is no elastic fabric, beating at the big point, or else suffer wear</v>
      </c>
    </row>
    <row r="4218">
      <c r="A4218" s="1">
        <v>1.0</v>
      </c>
      <c r="B4218" s="1" t="s">
        <v>4204</v>
      </c>
      <c r="C4218" t="str">
        <f>IFERROR(__xludf.DUMMYFUNCTION("GOOGLETRANSLATE(B4218, ""zh"", ""en"")"),"Type of weird, but the pressure and empty and sharp! Code should be right, but the cup too shallow, chest pressure. Moreover type of weird, but also the top pressure and empty, and the wrong place! I also look to buy four, are inappropriate! Can not buy a"&amp;"fter the Japanese bra!")</f>
        <v>Type of weird, but the pressure and empty and sharp! Code should be right, but the cup too shallow, chest pressure. Moreover type of weird, but also the top pressure and empty, and the wrong place! I also look to buy four, are inappropriate! Can not buy after the Japanese bra!</v>
      </c>
    </row>
    <row r="4219">
      <c r="A4219" s="1">
        <v>1.0</v>
      </c>
      <c r="B4219" s="1" t="s">
        <v>4205</v>
      </c>
      <c r="C4219" t="str">
        <f>IFERROR(__xludf.DUMMYFUNCTION("GOOGLETRANSLATE(B4219, ""zh"", ""en"")"),"Too much, it really tears scouring the sea 175,70kg, upper body thin point, S code or large, Length 69, Shoulder 49, Sleeve 66, can not control, too")</f>
        <v>Too much, it really tears scouring the sea 175,70kg, upper body thin point, S code or large, Length 69, Shoulder 49, Sleeve 66, can not control, too</v>
      </c>
    </row>
    <row r="4220">
      <c r="A4220" s="1">
        <v>1.0</v>
      </c>
      <c r="B4220" s="1" t="s">
        <v>4206</v>
      </c>
      <c r="C4220" t="str">
        <f>IFERROR(__xludf.DUMMYFUNCTION("GOOGLETRANSLATE(B4220, ""zh"", ""en"")"),"Quite expensive shoes, how can such a poor work too rough, do not know if I buy this shoe is good overall on this level, wearing foot feeling is very poor, the key is the key to wearing ankle hurts like a card, a receipt of goods more than a month, has no"&amp;"t worn, but was tried on size, anxious to go out today, wearing directly on a business trip, half a day did not go much on the road ankle pain die, too pit")</f>
        <v>Quite expensive shoes, how can such a poor work too rough, do not know if I buy this shoe is good overall on this level, wearing foot feeling is very poor, the key is the key to wearing ankle hurts like a card, a receipt of goods more than a month, has not worn, but was tried on size, anxious to go out today, wearing directly on a business trip, half a day did not go much on the road ankle pain die, too pit</v>
      </c>
    </row>
    <row r="4221">
      <c r="A4221" s="1">
        <v>4.0</v>
      </c>
      <c r="B4221" s="1" t="s">
        <v>4207</v>
      </c>
      <c r="C4221" t="str">
        <f>IFERROR(__xludf.DUMMYFUNCTION("GOOGLETRANSLATE(B4221, ""zh"", ""en"")"),"Size identity confusion, size of the table is not right, it is unable to escape, are scouring the sea every luck election 25.5cm, look at the size chart for the United States Code should be 9-9.5, 10-10.5 result, a large code ah")</f>
        <v>Size identity confusion, size of the table is not right, it is unable to escape, are scouring the sea every luck election 25.5cm, look at the size chart for the United States Code should be 9-9.5, 10-10.5 result, a large code ah</v>
      </c>
    </row>
    <row r="4222">
      <c r="A4222" s="1">
        <v>4.0</v>
      </c>
      <c r="B4222" s="1" t="s">
        <v>4208</v>
      </c>
      <c r="C4222" t="str">
        <f>IFERROR(__xludf.DUMMYFUNCTION("GOOGLETRANSLATE(B4222, ""zh"", ""en"")"),"General pants looks good, but a lot of thin, not the brand that some feel, small pants to buy, or big, returned to 125 freight, too expensive, cut short when summer wear pants, and can only say, so so")</f>
        <v>General pants looks good, but a lot of thin, not the brand that some feel, small pants to buy, or big, returned to 125 freight, too expensive, cut short when summer wear pants, and can only say, so so</v>
      </c>
    </row>
    <row r="4223">
      <c r="A4223" s="1">
        <v>4.0</v>
      </c>
      <c r="B4223" s="1" t="s">
        <v>2335</v>
      </c>
      <c r="C4223" t="str">
        <f>IFERROR(__xludf.DUMMYFUNCTION("GOOGLETRANSLATE(B4223, ""zh"", ""en"")"),"Comfortable to wear Mom said very comfortable to wear, it is a bit small.")</f>
        <v>Comfortable to wear Mom said very comfortable to wear, it is a bit small.</v>
      </c>
    </row>
    <row r="4224">
      <c r="A4224" s="1">
        <v>4.0</v>
      </c>
      <c r="B4224" s="1" t="s">
        <v>4209</v>
      </c>
      <c r="C4224" t="str">
        <f>IFERROR(__xludf.DUMMYFUNCTION("GOOGLETRANSLATE(B4224, ""zh"", ""en"")"),"Philips 3-generation version of the National Bank and a little different, I do not use cups almost a month, always with sensitive files, bleeding gums a little improvement")</f>
        <v>Philips 3-generation version of the National Bank and a little different, I do not use cups almost a month, always with sensitive files, bleeding gums a little improvement</v>
      </c>
    </row>
    <row r="4225">
      <c r="A4225" s="1">
        <v>4.0</v>
      </c>
      <c r="B4225" s="1" t="s">
        <v>4210</v>
      </c>
      <c r="C4225" t="str">
        <f>IFERROR(__xludf.DUMMYFUNCTION("GOOGLETRANSLATE(B4225, ""zh"", ""en"")"),"General feeling a little fat legs point, felt some thin, resilient. I bought with the money of another color is not so, that section of thicker and more self-cultivation. A quarter of it.")</f>
        <v>General feeling a little fat legs point, felt some thin, resilient. I bought with the money of another color is not so, that section of thicker and more self-cultivation. A quarter of it.</v>
      </c>
    </row>
    <row r="4226">
      <c r="A4226" s="1">
        <v>5.0</v>
      </c>
      <c r="B4226" s="1" t="s">
        <v>4211</v>
      </c>
      <c r="C4226" t="str">
        <f>IFERROR(__xludf.DUMMYFUNCTION("GOOGLETRANSLATE(B4226, ""zh"", ""en"")"),"Very affordable! Very affordable! Quality and reliable ~ ~")</f>
        <v>Very affordable! Very affordable! Quality and reliable ~ ~</v>
      </c>
    </row>
    <row r="4227">
      <c r="A4227" s="1">
        <v>5.0</v>
      </c>
      <c r="B4227" s="1" t="s">
        <v>4212</v>
      </c>
      <c r="C4227" t="str">
        <f>IFERROR(__xludf.DUMMYFUNCTION("GOOGLETRANSLATE(B4227, ""zh"", ""en"")"),"Good quality fruit good scraping tool! Haha")</f>
        <v>Good quality fruit good scraping tool! Haha</v>
      </c>
    </row>
    <row r="4228">
      <c r="A4228" s="1">
        <v>5.0</v>
      </c>
      <c r="B4228" s="1" t="s">
        <v>4213</v>
      </c>
      <c r="C4228" t="str">
        <f>IFERROR(__xludf.DUMMYFUNCTION("GOOGLETRANSLATE(B4228, ""zh"", ""en"")"),"Good good, the children eat can be rest assured to buy,")</f>
        <v>Good good, the children eat can be rest assured to buy,</v>
      </c>
    </row>
    <row r="4229">
      <c r="A4229" s="1">
        <v>5.0</v>
      </c>
      <c r="B4229" s="1" t="s">
        <v>4214</v>
      </c>
      <c r="C4229" t="str">
        <f>IFERROR(__xludf.DUMMYFUNCTION("GOOGLETRANSLATE(B4229, ""zh"", ""en"")"),"Waterman M authority tip pen writing smooth, beautiful appearance, but the drawback is free of ink absorber, I used an idle senator pen ink absorber, just fitting")</f>
        <v>Waterman M authority tip pen writing smooth, beautiful appearance, but the drawback is free of ink absorber, I used an idle senator pen ink absorber, just fitting</v>
      </c>
    </row>
    <row r="4230">
      <c r="A4230" s="1">
        <v>5.0</v>
      </c>
      <c r="B4230" s="1" t="s">
        <v>4215</v>
      </c>
      <c r="C4230" t="str">
        <f>IFERROR(__xludf.DUMMYFUNCTION("GOOGLETRANSLATE(B4230, ""zh"", ""en"")"),"Never go to a good evaluation before, I do not know how many wasted points, points can change money now know, they should look carefully evaluated, then I put these words to copy to go, both to earn points, but also save trouble, where one copy where, mos"&amp;"t importantly, do not seriously review, do not think how much worse word, sent directly to it, recommend it to everyone! !")</f>
        <v>Never go to a good evaluation before, I do not know how many wasted points, points can change money now know, they should look carefully evaluated, then I put these words to copy to go, both to earn points, but also save trouble, where one copy where, most importantly, do not seriously review, do not think how much worse word, sent directly to it, recommend it to everyone! !</v>
      </c>
    </row>
    <row r="4231">
      <c r="A4231" s="1">
        <v>5.0</v>
      </c>
      <c r="B4231" s="1" t="s">
        <v>4216</v>
      </c>
      <c r="C4231" t="str">
        <f>IFERROR(__xludf.DUMMYFUNCTION("GOOGLETRANSLATE(B4231, ""zh"", ""en"")"),"The best fountain pen I have so far I'v got half a dozen fountain pens and this is the best one I have so far for its smothly writting, evey stroke I wrote is good feeling.")</f>
        <v>The best fountain pen I have so far I'v got half a dozen fountain pens and this is the best one I have so far for its smothly writting, evey stroke I wrote is good feeling.</v>
      </c>
    </row>
    <row r="4232">
      <c r="A4232" s="1">
        <v>5.0</v>
      </c>
      <c r="B4232" s="1" t="s">
        <v>4217</v>
      </c>
      <c r="C4232" t="str">
        <f>IFERROR(__xludf.DUMMYFUNCTION("GOOGLETRANSLATE(B4232, ""zh"", ""en"")"),"good quality! Run fast enough! good quality! Run fast enough!")</f>
        <v>good quality! Run fast enough! good quality! Run fast enough!</v>
      </c>
    </row>
    <row r="4233">
      <c r="A4233" s="1">
        <v>5.0</v>
      </c>
      <c r="B4233" s="1" t="s">
        <v>4218</v>
      </c>
      <c r="C4233" t="str">
        <f>IFERROR(__xludf.DUMMYFUNCTION("GOOGLETRANSLATE(B4233, ""zh"", ""en"")"),"Blender is easy to use, low noise, for a family of three.")</f>
        <v>Blender is easy to use, low noise, for a family of three.</v>
      </c>
    </row>
    <row r="4234">
      <c r="A4234" s="1">
        <v>5.0</v>
      </c>
      <c r="B4234" s="1" t="s">
        <v>4219</v>
      </c>
      <c r="C4234" t="str">
        <f>IFERROR(__xludf.DUMMYFUNCTION("GOOGLETRANSLATE(B4234, ""zh"", ""en"")"),"Men buy is fit. Branded goods, clothing triple test after the seller offered to buy. Entirely appropriate. worth it. like.")</f>
        <v>Men buy is fit. Branded goods, clothing triple test after the seller offered to buy. Entirely appropriate. worth it. like.</v>
      </c>
    </row>
    <row r="4235">
      <c r="A4235" s="1">
        <v>5.0</v>
      </c>
      <c r="B4235" s="1" t="s">
        <v>4220</v>
      </c>
      <c r="C4235" t="str">
        <f>IFERROR(__xludf.DUMMYFUNCTION("GOOGLETRANSLATE(B4235, ""zh"", ""en"")"),"Very good good, work fine, the water pressure. well!")</f>
        <v>Very good good, work fine, the water pressure. well!</v>
      </c>
    </row>
    <row r="4236">
      <c r="A4236" s="1">
        <v>5.0</v>
      </c>
      <c r="B4236" s="1" t="s">
        <v>4221</v>
      </c>
      <c r="C4236" t="str">
        <f>IFERROR(__xludf.DUMMYFUNCTION("GOOGLETRANSLATE(B4236, ""zh"", ""en"")"),"What I want good shoes, size just")</f>
        <v>What I want good shoes, size just</v>
      </c>
    </row>
    <row r="4237">
      <c r="A4237" s="1">
        <v>5.0</v>
      </c>
      <c r="B4237" s="1" t="s">
        <v>4222</v>
      </c>
      <c r="C4237" t="str">
        <f>IFERROR(__xludf.DUMMYFUNCTION("GOOGLETRANSLATE(B4237, ""zh"", ""en"")"),"https://www.amazon.cn/dp/B06Y6GHHRR/ref=cm_cr_ryp_prd_ttl_sol_1 goods of good quality, please rest assured to buy it, the same size and customer service introduction, I wear just right, height 176, weight 135 pounds.")</f>
        <v>https://www.amazon.cn/dp/B06Y6GHHRR/ref=cm_cr_ryp_prd_ttl_sol_1 goods of good quality, please rest assured to buy it, the same size and customer service introduction, I wear just right, height 176, weight 135 pounds.</v>
      </c>
    </row>
    <row r="4238">
      <c r="A4238" s="1">
        <v>5.0</v>
      </c>
      <c r="B4238" s="1" t="s">
        <v>4223</v>
      </c>
      <c r="C4238" t="str">
        <f>IFERROR(__xludf.DUMMYFUNCTION("GOOGLETRANSLATE(B4238, ""zh"", ""en"")"),"Ins and Outs good underwear underwear bought a dozen, very good, did not let me down, Amazon shopping is very convenient, after-sales is also great, thank you!")</f>
        <v>Ins and Outs good underwear underwear bought a dozen, very good, did not let me down, Amazon shopping is very convenient, after-sales is also great, thank you!</v>
      </c>
    </row>
    <row r="4239">
      <c r="A4239" s="1">
        <v>5.0</v>
      </c>
      <c r="B4239" s="1" t="s">
        <v>4224</v>
      </c>
      <c r="C4239" t="str">
        <f>IFERROR(__xludf.DUMMYFUNCTION("GOOGLETRANSLATE(B4239, ""zh"", ""en"")"),"Machines work great! 11 days than double cat flagship store selling quality assurance, but also more favorable, the quality of the entire first wife, with Lavazza capsules, taste super praise, than I DeLonghi coffee machines are grinding are tasty, praisi"&amp;"ng!")</f>
        <v>Machines work great! 11 days than double cat flagship store selling quality assurance, but also more favorable, the quality of the entire first wife, with Lavazza capsules, taste super praise, than I DeLonghi coffee machines are grinding are tasty, praising!</v>
      </c>
    </row>
    <row r="4240">
      <c r="A4240" s="1">
        <v>5.0</v>
      </c>
      <c r="B4240" s="1" t="s">
        <v>4225</v>
      </c>
      <c r="C4240" t="str">
        <f>IFERROR(__xludf.DUMMYFUNCTION("GOOGLETRANSLATE(B4240, ""zh"", ""en"")"),"The repurchase will be useful, swollen gums with this effective.")</f>
        <v>The repurchase will be useful, swollen gums with this effective.</v>
      </c>
    </row>
    <row r="4241">
      <c r="A4241" s="1">
        <v>5.0</v>
      </c>
      <c r="B4241" s="1" t="s">
        <v>4226</v>
      </c>
      <c r="C4241" t="str">
        <f>IFERROR(__xludf.DUMMYFUNCTION("GOOGLETRANSLATE(B4241, ""zh"", ""en"")"),"More appropriate good, size is very comfortable, but also comfortable to wear")</f>
        <v>More appropriate good, size is very comfortable, but also comfortable to wear</v>
      </c>
    </row>
    <row r="4242">
      <c r="A4242" s="1">
        <v>5.0</v>
      </c>
      <c r="B4242" s="1" t="s">
        <v>4227</v>
      </c>
      <c r="C4242" t="str">
        <f>IFERROR(__xludf.DUMMYFUNCTION("GOOGLETRANSLATE(B4242, ""zh"", ""en"")"),"perfect! The first overseas purchase, very good time shopping, less than expected arrival time in half the time. Size of the problem read other people's comments, waist circumference is indeed a size smaller than usual just before.")</f>
        <v>perfect! The first overseas purchase, very good time shopping, less than expected arrival time in half the time. Size of the problem read other people's comments, waist circumference is indeed a size smaller than usual just before.</v>
      </c>
    </row>
    <row r="4243">
      <c r="A4243" s="1">
        <v>5.0</v>
      </c>
      <c r="B4243" s="1" t="s">
        <v>4228</v>
      </c>
      <c r="C4243" t="str">
        <f>IFERROR(__xludf.DUMMYFUNCTION("GOOGLETRANSLATE(B4243, ""zh"", ""en"")"),"Size is just the length of the size just right, 165-63, refer to")</f>
        <v>Size is just the length of the size just right, 165-63, refer to</v>
      </c>
    </row>
    <row r="4244">
      <c r="A4244" s="1">
        <v>5.0</v>
      </c>
      <c r="B4244" s="1" t="s">
        <v>4229</v>
      </c>
      <c r="C4244" t="str">
        <f>IFERROR(__xludf.DUMMYFUNCTION("GOOGLETRANSLATE(B4244, ""zh"", ""en"")"),"A nice pasta machine very easy to use")</f>
        <v>A nice pasta machine very easy to use</v>
      </c>
    </row>
    <row r="4245">
      <c r="A4245" s="1">
        <v>5.0</v>
      </c>
      <c r="B4245" s="1" t="s">
        <v>4230</v>
      </c>
      <c r="C4245" t="str">
        <f>IFERROR(__xludf.DUMMYFUNCTION("GOOGLETRANSLATE(B4245, ""zh"", ""en"")"),"Good quality suitable summer wear. Suitable weight M n 175 146")</f>
        <v>Good quality suitable summer wear. Suitable weight M n 175 146</v>
      </c>
    </row>
    <row r="4246">
      <c r="A4246" s="1">
        <v>5.0</v>
      </c>
      <c r="B4246" s="1" t="s">
        <v>4231</v>
      </c>
      <c r="C4246" t="str">
        <f>IFERROR(__xludf.DUMMYFUNCTION("GOOGLETRANSLATE(B4246, ""zh"", ""en"")"),"Comfortable fabric skin-friendly, good experience comfort")</f>
        <v>Comfortable fabric skin-friendly, good experience comfort</v>
      </c>
    </row>
    <row r="4247">
      <c r="A4247" s="1">
        <v>5.0</v>
      </c>
      <c r="B4247" s="1" t="s">
        <v>4232</v>
      </c>
      <c r="C4247" t="str">
        <f>IFERROR(__xludf.DUMMYFUNCTION("GOOGLETRANSLATE(B4247, ""zh"", ""en"")"),"Easy to use, stockpile, cheap and easy, comfortable, good absorption, did not feel, are suitable for their own good")</f>
        <v>Easy to use, stockpile, cheap and easy, comfortable, good absorption, did not feel, are suitable for their own good</v>
      </c>
    </row>
    <row r="4248">
      <c r="A4248" s="1">
        <v>2.0</v>
      </c>
      <c r="B4248" s="1" t="s">
        <v>4233</v>
      </c>
      <c r="C4248" t="str">
        <f>IFERROR(__xludf.DUMMYFUNCTION("GOOGLETRANSLATE(B4248, ""zh"", ""en"")"),"Washed cloth and thin deformable soft, comfortable feel. Hand wash but a badly deformed, stretched a lot of clothes, you can wear a skirt when.")</f>
        <v>Washed cloth and thin deformable soft, comfortable feel. Hand wash but a badly deformed, stretched a lot of clothes, you can wear a skirt when.</v>
      </c>
    </row>
    <row r="4249">
      <c r="A4249" s="1">
        <v>3.0</v>
      </c>
      <c r="B4249" s="1" t="s">
        <v>4234</v>
      </c>
      <c r="C4249" t="str">
        <f>IFERROR(__xludf.DUMMYFUNCTION("GOOGLETRANSLATE(B4249, ""zh"", ""en"")"),"The actual size small size of these pants a bit too small")</f>
        <v>The actual size small size of these pants a bit too small</v>
      </c>
    </row>
    <row r="4250">
      <c r="A4250" s="1">
        <v>3.0</v>
      </c>
      <c r="B4250" s="1" t="s">
        <v>4235</v>
      </c>
      <c r="C4250" t="str">
        <f>IFERROR(__xludf.DUMMYFUNCTION("GOOGLETRANSLATE(B4250, ""zh"", ""en"")"),"Watch good, bad packaging, pay attention to the domestic first purchase, a good watch, then, your package is determined by the cross-border? Not even a treasure of good packaging, filled only with a bag, I open the package when the package has been deform"&amp;"ed watch the powerful, so they give you 3 stars, watch out, courier out, packaging 0")</f>
        <v>Watch good, bad packaging, pay attention to the domestic first purchase, a good watch, then, your package is determined by the cross-border? Not even a treasure of good packaging, filled only with a bag, I open the package when the package has been deformed watch the powerful, so they give you 3 stars, watch out, courier out, packaging 0</v>
      </c>
    </row>
    <row r="4251">
      <c r="A4251" s="1">
        <v>3.0</v>
      </c>
      <c r="B4251" s="1" t="s">
        <v>4236</v>
      </c>
      <c r="C4251" t="str">
        <f>IFERROR(__xludf.DUMMYFUNCTION("GOOGLETRANSLATE(B4251, ""zh"", ""en"")"),"A little expensive, do not feel worth the price, work in general. A little expensive, do not feel worth the price, work in general.")</f>
        <v>A little expensive, do not feel worth the price, work in general. A little expensive, do not feel worth the price, work in general.</v>
      </c>
    </row>
    <row r="4252">
      <c r="A4252" s="1">
        <v>1.0</v>
      </c>
      <c r="B4252" s="1" t="s">
        <v>4237</v>
      </c>
      <c r="C4252" t="str">
        <f>IFERROR(__xludf.DUMMYFUNCTION("GOOGLETRANSLATE(B4252, ""zh"", ""en"")"),"The new rotten a tunnel. Wear did not wear, washing it down a bit, it is so, a poor shopping experience.")</f>
        <v>The new rotten a tunnel. Wear did not wear, washing it down a bit, it is so, a poor shopping experience.</v>
      </c>
    </row>
    <row r="4253">
      <c r="A4253" s="1">
        <v>1.0</v>
      </c>
      <c r="B4253" s="1" t="s">
        <v>4238</v>
      </c>
      <c r="C4253" t="str">
        <f>IFERROR(__xludf.DUMMYFUNCTION("GOOGLETRANSLATE(B4253, ""zh"", ""en"")"),"Value for money, this is the price given the quality of ah! Look also is the digital dial without negative feedback luminous dial is not scratch-resistant glass, my performance in the just scratched! Very disappointed 😔")</f>
        <v>Value for money, this is the price given the quality of ah! Look also is the digital dial without negative feedback luminous dial is not scratch-resistant glass, my performance in the just scratched! Very disappointed 😔</v>
      </c>
    </row>
    <row r="4254">
      <c r="A4254" s="1">
        <v>1.0</v>
      </c>
      <c r="B4254" s="1" t="s">
        <v>4239</v>
      </c>
      <c r="C4254" t="str">
        <f>IFERROR(__xludf.DUMMYFUNCTION("GOOGLETRANSLATE(B4254, ""zh"", ""en"")"),"Fabric and poor quality of domestic than a big change")</f>
        <v>Fabric and poor quality of domestic than a big change</v>
      </c>
    </row>
    <row r="4255">
      <c r="A4255" s="1">
        <v>4.0</v>
      </c>
      <c r="B4255" s="1" t="s">
        <v>4240</v>
      </c>
      <c r="C4255" t="str">
        <f>IFERROR(__xludf.DUMMYFUNCTION("GOOGLETRANSLATE(B4255, ""zh"", ""en"")"),"The slowest first overseas purchase! 1.27 orders, waited three weeks before that, in a bad mood! Just plug in, the sound impressive! ! ! ~~~ buzzed like a tractor, like, the whole tables are shaking, that overturned! Fortunately, the slow-scan all green p"&amp;"ower after ten hours, copy the data into the point, a lot of noise reduction, do not say there is a run-in period? Helium disk, hope and durable ~ ~")</f>
        <v>The slowest first overseas purchase! 1.27 orders, waited three weeks before that, in a bad mood! Just plug in, the sound impressive! ! ! ~~~ buzzed like a tractor, like, the whole tables are shaking, that overturned! Fortunately, the slow-scan all green power after ten hours, copy the data into the point, a lot of noise reduction, do not say there is a run-in period? Helium disk, hope and durable ~ ~</v>
      </c>
    </row>
    <row r="4256">
      <c r="A4256" s="1">
        <v>4.0</v>
      </c>
      <c r="B4256" s="1" t="s">
        <v>4241</v>
      </c>
      <c r="C4256" t="str">
        <f>IFERROR(__xludf.DUMMYFUNCTION("GOOGLETRANSLATE(B4256, ""zh"", ""en"")"),"Nothing Title 1: 2 color and great color: soft leather, the so-called scratch ...... nail touch that mark, because the leather material Question 3: I usually wear shoes 41 41.5 7.5 this just right")</f>
        <v>Nothing Title 1: 2 color and great color: soft leather, the so-called scratch ...... nail touch that mark, because the leather material Question 3: I usually wear shoes 41 41.5 7.5 this just right</v>
      </c>
    </row>
    <row r="4257">
      <c r="A4257" s="1">
        <v>4.0</v>
      </c>
      <c r="B4257" s="1" t="s">
        <v>4242</v>
      </c>
      <c r="C4257" t="str">
        <f>IFERROR(__xludf.DUMMYFUNCTION("GOOGLETRANSLATE(B4257, ""zh"", ""en"")"),"Good quality, there are pieces that much better, but still there is a problem faded fading aunt to buy clothes than before, washed twice, and the color of the legs is not serious, then Chuan Chuan see. We recommended to buy a smaller size than domestic")</f>
        <v>Good quality, there are pieces that much better, but still there is a problem faded fading aunt to buy clothes than before, washed twice, and the color of the legs is not serious, then Chuan Chuan see. We recommended to buy a smaller size than domestic</v>
      </c>
    </row>
    <row r="4258">
      <c r="A4258" s="1">
        <v>4.0</v>
      </c>
      <c r="B4258" s="1" t="s">
        <v>4243</v>
      </c>
      <c r="C4258" t="str">
        <f>IFERROR(__xludf.DUMMYFUNCTION("GOOGLETRANSLATE(B4258, ""zh"", ""en"")"),"Japanese companies better! Japanese companies believe that no fakes, with a really good 👍")</f>
        <v>Japanese companies better! Japanese companies believe that no fakes, with a really good 👍</v>
      </c>
    </row>
    <row r="4259">
      <c r="A4259" s="1">
        <v>4.0</v>
      </c>
      <c r="B4259" s="1" t="s">
        <v>4244</v>
      </c>
      <c r="C4259" t="str">
        <f>IFERROR(__xludf.DUMMYFUNCTION("GOOGLETRANSLATE(B4259, ""zh"", ""en"")"),"Good heat insulation really good, close to 20 hours of water, the water is still very hot. The only bad part was under the lid tightly closed state, but also a small margin dangling, afraid of shaking shaking loose - leaks.")</f>
        <v>Good heat insulation really good, close to 20 hours of water, the water is still very hot. The only bad part was under the lid tightly closed state, but also a small margin dangling, afraid of shaking shaking loose - leaks.</v>
      </c>
    </row>
    <row r="4260">
      <c r="A4260" s="1">
        <v>5.0</v>
      </c>
      <c r="B4260" s="1" t="s">
        <v>4245</v>
      </c>
      <c r="C4260" t="str">
        <f>IFERROR(__xludf.DUMMYFUNCTION("GOOGLETRANSLATE(B4260, ""zh"", ""en"")"),"Very easy to use a cream. This eye cream is really handy, not greasy, not heavy, very fresh, wiping a few days, feel good use, reduce fine lines results requires long-term use")</f>
        <v>Very easy to use a cream. This eye cream is really handy, not greasy, not heavy, very fresh, wiping a few days, feel good use, reduce fine lines results requires long-term use</v>
      </c>
    </row>
    <row r="4261">
      <c r="A4261" s="1">
        <v>5.0</v>
      </c>
      <c r="B4261" s="1" t="s">
        <v>4246</v>
      </c>
      <c r="C4261" t="str">
        <f>IFERROR(__xludf.DUMMYFUNCTION("GOOGLETRANSLATE(B4261, ""zh"", ""en"")"),"Easy to use easy to use! Now baby almost every day!")</f>
        <v>Easy to use easy to use! Now baby almost every day!</v>
      </c>
    </row>
    <row r="4262">
      <c r="A4262" s="1">
        <v>5.0</v>
      </c>
      <c r="B4262" s="1" t="s">
        <v>4247</v>
      </c>
      <c r="C4262" t="str">
        <f>IFERROR(__xludf.DUMMYFUNCTION("GOOGLETRANSLATE(B4262, ""zh"", ""en"")"),"Perfect great shopping experience, the shoes also surprisingly good, very fast, I do not believe that is sent over from the United States, to solve the problem of customer service response time is very fast, very appropriate solution to the problem. Is th"&amp;"e code number of the shoes too large, it is recommended to buy a small one yard.")</f>
        <v>Perfect great shopping experience, the shoes also surprisingly good, very fast, I do not believe that is sent over from the United States, to solve the problem of customer service response time is very fast, very appropriate solution to the problem. Is the code number of the shoes too large, it is recommended to buy a small one yard.</v>
      </c>
    </row>
    <row r="4263">
      <c r="A4263" s="1">
        <v>5.0</v>
      </c>
      <c r="B4263" s="1" t="s">
        <v>4248</v>
      </c>
      <c r="C4263" t="str">
        <f>IFERROR(__xludf.DUMMYFUNCTION("GOOGLETRANSLATE(B4263, ""zh"", ""en"")"),"Very quickly and very powerful mounted on 5D3, fast.")</f>
        <v>Very quickly and very powerful mounted on 5D3, fast.</v>
      </c>
    </row>
    <row r="4264">
      <c r="A4264" s="1">
        <v>5.0</v>
      </c>
      <c r="B4264" s="1" t="s">
        <v>4249</v>
      </c>
      <c r="C4264" t="str">
        <f>IFERROR(__xludf.DUMMYFUNCTION("GOOGLETRANSLATE(B4264, ""zh"", ""en"")"),"Recommended to buy more than a month has been using well satisfied recommended purchase")</f>
        <v>Recommended to buy more than a month has been using well satisfied recommended purchase</v>
      </c>
    </row>
    <row r="4265">
      <c r="A4265" s="1">
        <v>5.0</v>
      </c>
      <c r="B4265" s="1" t="s">
        <v>4250</v>
      </c>
      <c r="C4265" t="str">
        <f>IFERROR(__xludf.DUMMYFUNCTION("GOOGLETRANSLATE(B4265, ""zh"", ""en"")"),"very good! A perfect shopping experience! Overseas buy pants afraid inappropriate, not law back, did not think the color is very positive, just the right size, fabric is also very good, after buying pants with a fixed choice. ps, I 180 height, weight 155,"&amp;" 34.32 just right.")</f>
        <v>very good! A perfect shopping experience! Overseas buy pants afraid inappropriate, not law back, did not think the color is very positive, just the right size, fabric is also very good, after buying pants with a fixed choice. ps, I 180 height, weight 155, 34.32 just right.</v>
      </c>
    </row>
    <row r="4266">
      <c r="A4266" s="1">
        <v>5.0</v>
      </c>
      <c r="B4266" s="1" t="s">
        <v>4251</v>
      </c>
      <c r="C4266" t="str">
        <f>IFERROR(__xludf.DUMMYFUNCTION("GOOGLETRANSLATE(B4266, ""zh"", ""en"")"),"Clothes are beautiful height 192, weight 86, L code, I feel a little big, but did not dare to small")</f>
        <v>Clothes are beautiful height 192, weight 86, L code, I feel a little big, but did not dare to small</v>
      </c>
    </row>
    <row r="4267">
      <c r="A4267" s="1">
        <v>5.0</v>
      </c>
      <c r="B4267" s="1" t="s">
        <v>4252</v>
      </c>
      <c r="C4267" t="str">
        <f>IFERROR(__xludf.DUMMYFUNCTION("GOOGLETRANSLATE(B4267, ""zh"", ""en"")"),"Z buy affordable, good special price is often missed, and suddenly see z affordable, packaging is ruined, just over one hundred forty immediately bought. Hand things are intact, Amazon repackaged feeling can be, anyway, the package also bought thrown away"&amp;" every minute is still very affordable")</f>
        <v>Z buy affordable, good special price is often missed, and suddenly see z affordable, packaging is ruined, just over one hundred forty immediately bought. Hand things are intact, Amazon repackaged feeling can be, anyway, the package also bought thrown away every minute is still very affordable</v>
      </c>
    </row>
    <row r="4268">
      <c r="A4268" s="1">
        <v>5.0</v>
      </c>
      <c r="B4268" s="1" t="s">
        <v>4253</v>
      </c>
      <c r="C4268" t="str">
        <f>IFERROR(__xludf.DUMMYFUNCTION("GOOGLETRANSLATE(B4268, ""zh"", ""en"")"),"Good thing is that you can tune radio will not, significantly more ugly anti-Qing, also played what bike to buy 493")</f>
        <v>Good thing is that you can tune radio will not, significantly more ugly anti-Qing, also played what bike to buy 493</v>
      </c>
    </row>
    <row r="4269">
      <c r="A4269" s="1">
        <v>5.0</v>
      </c>
      <c r="B4269" s="1" t="s">
        <v>4254</v>
      </c>
      <c r="C4269" t="str">
        <f>IFERROR(__xludf.DUMMYFUNCTION("GOOGLETRANSLATE(B4269, ""zh"", ""en"")"),"Great! very suitable! 37 foot wearing a little freshman little girl is very good! Matte leather! It can be said to be a good read.")</f>
        <v>Great! very suitable! 37 foot wearing a little freshman little girl is very good! Matte leather! It can be said to be a good read.</v>
      </c>
    </row>
    <row r="4270">
      <c r="A4270" s="1">
        <v>5.0</v>
      </c>
      <c r="B4270" s="1" t="s">
        <v>4255</v>
      </c>
      <c r="C4270" t="str">
        <f>IFERROR(__xludf.DUMMYFUNCTION("GOOGLETRANSLATE(B4270, ""zh"", ""en"")"),"Very good-looking and practical, the baby likes to drink water from a cup")</f>
        <v>Very good-looking and practical, the baby likes to drink water from a cup</v>
      </c>
    </row>
    <row r="4271">
      <c r="A4271" s="1">
        <v>5.0</v>
      </c>
      <c r="B4271" s="1" t="s">
        <v>4256</v>
      </c>
      <c r="C4271" t="str">
        <f>IFERROR(__xludf.DUMMYFUNCTION("GOOGLETRANSLATE(B4271, ""zh"", ""en"")"),"Enhance the well-being of the good things of life it feels good, tartar relatively heavy, something to go after wash my teeth, then brush your teeth every morning and evening after using this electric toothbrush dampen, shrinking gums are growing, the wat"&amp;"er is capacity is too small, will soon re-add water, so the home then it is recommended to buy big")</f>
        <v>Enhance the well-being of the good things of life it feels good, tartar relatively heavy, something to go after wash my teeth, then brush your teeth every morning and evening after using this electric toothbrush dampen, shrinking gums are growing, the water is capacity is too small, will soon re-add water, so the home then it is recommended to buy big</v>
      </c>
    </row>
    <row r="4272">
      <c r="A4272" s="1">
        <v>5.0</v>
      </c>
      <c r="B4272" s="1" t="s">
        <v>4257</v>
      </c>
      <c r="C4272" t="str">
        <f>IFERROR(__xludf.DUMMYFUNCTION("GOOGLETRANSLATE(B4272, ""zh"", ""en"")"),"Great shoe size too small, have bought several times, but compared to the size of Adidas, Nike small one yard!")</f>
        <v>Great shoe size too small, have bought several times, but compared to the size of Adidas, Nike small one yard!</v>
      </c>
    </row>
    <row r="4273">
      <c r="A4273" s="1">
        <v>5.0</v>
      </c>
      <c r="B4273" s="1" t="s">
        <v>4258</v>
      </c>
      <c r="C4273" t="str">
        <f>IFERROR(__xludf.DUMMYFUNCTION("GOOGLETRANSLATE(B4273, ""zh"", ""en"")"),"Pure treble sound. Treble sound pure bass power in general, after all, a small box, listening to music enough.")</f>
        <v>Pure treble sound. Treble sound pure bass power in general, after all, a small box, listening to music enough.</v>
      </c>
    </row>
    <row r="4274">
      <c r="A4274" s="1">
        <v>5.0</v>
      </c>
      <c r="B4274" s="1" t="s">
        <v>4259</v>
      </c>
      <c r="C4274" t="str">
        <f>IFERROR(__xludf.DUMMYFUNCTION("GOOGLETRANSLATE(B4274, ""zh"", ""en"")"),"I remember there is no ink on something good. Authentic. But I scratch paper. I f is the thickness of the thickness of the ink disadvantage is not on. Also remember to buy himself another")</f>
        <v>I remember there is no ink on something good. Authentic. But I scratch paper. I f is the thickness of the thickness of the ink disadvantage is not on. Also remember to buy himself another</v>
      </c>
    </row>
    <row r="4275">
      <c r="A4275" s="1">
        <v>5.0</v>
      </c>
      <c r="B4275" s="1" t="s">
        <v>4260</v>
      </c>
      <c r="C4275" t="str">
        <f>IFERROR(__xludf.DUMMYFUNCTION("GOOGLETRANSLATE(B4275, ""zh"", ""en"")"),"Significant leg type socks is very good, very significant leg type, below zero is not recommended to wear, spring and autumn bottoming or special right")</f>
        <v>Significant leg type socks is very good, very significant leg type, below zero is not recommended to wear, spring and autumn bottoming or special right</v>
      </c>
    </row>
    <row r="4276">
      <c r="A4276" s="1">
        <v>5.0</v>
      </c>
      <c r="B4276" s="1" t="s">
        <v>4261</v>
      </c>
      <c r="C4276" t="str">
        <f>IFERROR(__xludf.DUMMYFUNCTION("GOOGLETRANSLATE(B4276, ""zh"", ""en"")"),"Workmanship is very good, smooth sound, but Chuck received two days, the feeling of using a mobile phone Direct Push is not can not, of course, with the push will ease some of the amp. German origin work very well, spirals great texture right ears can be "&amp;"wrapped. But really chuck, especially while listening to music while eating, cheek clip was hurt, not very relaxing. It is currently not open burning, feeling relatively flat, but more real reaction source. apex really fast, 48 hours to my hands (Guangzho"&amp;"u).")</f>
        <v>Workmanship is very good, smooth sound, but Chuck received two days, the feeling of using a mobile phone Direct Push is not can not, of course, with the push will ease some of the amp. German origin work very well, spirals great texture right ears can be wrapped. But really chuck, especially while listening to music while eating, cheek clip was hurt, not very relaxing. It is currently not open burning, feeling relatively flat, but more real reaction source. apex really fast, 48 hours to my hands (Guangzhou).</v>
      </c>
    </row>
    <row r="4277">
      <c r="A4277" s="1">
        <v>5.0</v>
      </c>
      <c r="B4277" s="1" t="s">
        <v>4262</v>
      </c>
      <c r="C4277" t="str">
        <f>IFERROR(__xludf.DUMMYFUNCTION("GOOGLETRANSLATE(B4277, ""zh"", ""en"")"),"Do not kicking. Rockers not Shenru. Work is not saying. Details particularly well. After all, the ""blue sky afraid"" of production. Shoes very rugged, the feeling is heavy labor workers and equipment. This section yuppies, not middle-aged rock, like it o"&amp;"r not is a question mark. Wearing comfort is very general. This is mainly heavy shoes. Do not kicking! Ranging from fractures, while fatal. The little man to buy it, there is an increased significance. More appropriate big, big and tall, more manly. Amazo"&amp;"n's recent overseas purchase price is acceptable.")</f>
        <v>Do not kicking. Rockers not Shenru. Work is not saying. Details particularly well. After all, the "blue sky afraid" of production. Shoes very rugged, the feeling is heavy labor workers and equipment. This section yuppies, not middle-aged rock, like it or not is a question mark. Wearing comfort is very general. This is mainly heavy shoes. Do not kicking! Ranging from fractures, while fatal. The little man to buy it, there is an increased significance. More appropriate big, big and tall, more manly. Amazon's recent overseas purchase price is acceptable.</v>
      </c>
    </row>
    <row r="4278">
      <c r="A4278" s="1">
        <v>5.0</v>
      </c>
      <c r="B4278" s="1" t="s">
        <v>4263</v>
      </c>
      <c r="C4278" t="str">
        <f>IFERROR(__xludf.DUMMYFUNCTION("GOOGLETRANSLATE(B4278, ""zh"", ""en"")"),"This is a great style clothes fat version of the clothes, the clothes by size of purchase can be provided, wear out very Fan")</f>
        <v>This is a great style clothes fat version of the clothes, the clothes by size of purchase can be provided, wear out very Fan</v>
      </c>
    </row>
    <row r="4279">
      <c r="A4279" s="1">
        <v>5.0</v>
      </c>
      <c r="B4279" s="1" t="s">
        <v>4264</v>
      </c>
      <c r="C4279" t="str">
        <f>IFERROR(__xludf.DUMMYFUNCTION("GOOGLETRANSLATE(B4279, ""zh"", ""en"")"),"I'm very comfortable 183cm high pants, 83 kg, bought just a good fit 34w / 32L's. I feel very comfortable to wear, flexible and soft. All of a sudden have to buy more than three.")</f>
        <v>I'm very comfortable 183cm high pants, 83 kg, bought just a good fit 34w / 32L's. I feel very comfortable to wear, flexible and soft. All of a sudden have to buy more than three.</v>
      </c>
    </row>
    <row r="4280">
      <c r="A4280" s="1">
        <v>5.0</v>
      </c>
      <c r="B4280" s="1" t="s">
        <v>4265</v>
      </c>
      <c r="C4280" t="str">
        <f>IFERROR(__xludf.DUMMYFUNCTION("GOOGLETRANSLATE(B4280, ""zh"", ""en"")"),"Okay autumn, then you can wear this one. But in winter, wearing this, coupled with a down jacket, still cold.")</f>
        <v>Okay autumn, then you can wear this one. But in winter, wearing this, coupled with a down jacket, still cold.</v>
      </c>
    </row>
    <row r="4281">
      <c r="A4281" s="1">
        <v>5.0</v>
      </c>
      <c r="B4281" s="1" t="s">
        <v>4266</v>
      </c>
      <c r="C4281" t="str">
        <f>IFERROR(__xludf.DUMMYFUNCTION("GOOGLETRANSLATE(B4281, ""zh"", ""en"")"),"Genuine good, very smooth, the future will continue to buy!")</f>
        <v>Genuine good, very smooth, the future will continue to buy!</v>
      </c>
    </row>
    <row r="4282">
      <c r="A4282" s="1">
        <v>2.0</v>
      </c>
      <c r="B4282" s="1" t="s">
        <v>4267</v>
      </c>
      <c r="C4282" t="str">
        <f>IFERROR(__xludf.DUMMYFUNCTION("GOOGLETRANSLATE(B4282, ""zh"", ""en"")"),"Suitable length of the instep instep tight tight shoes Attractive sad ah")</f>
        <v>Suitable length of the instep instep tight tight shoes Attractive sad ah</v>
      </c>
    </row>
    <row r="4283">
      <c r="A4283" s="1">
        <v>3.0</v>
      </c>
      <c r="B4283" s="1" t="s">
        <v>4268</v>
      </c>
      <c r="C4283" t="str">
        <f>IFERROR(__xludf.DUMMYFUNCTION("GOOGLETRANSLATE(B4283, ""zh"", ""en"")"),"Very common very common belt, follow the instructions that can be bought. Back when it was too late, to buy back is tasteless, I did not feel like to use.")</f>
        <v>Very common very common belt, follow the instructions that can be bought. Back when it was too late, to buy back is tasteless, I did not feel like to use.</v>
      </c>
    </row>
    <row r="4284">
      <c r="A4284" s="1">
        <v>3.0</v>
      </c>
      <c r="B4284" s="1" t="s">
        <v>4269</v>
      </c>
      <c r="C4284" t="str">
        <f>IFERROR(__xludf.DUMMYFUNCTION("GOOGLETRANSLATE(B4284, ""zh"", ""en"")"),"Size I 172,67kg, wear M feeling a little short, I recommend a little regret, in addition to feeling a bit tight to wear neck")</f>
        <v>Size I 172,67kg, wear M feeling a little short, I recommend a little regret, in addition to feeling a bit tight to wear neck</v>
      </c>
    </row>
    <row r="4285">
      <c r="A4285" s="1">
        <v>3.0</v>
      </c>
      <c r="B4285" s="1" t="s">
        <v>4270</v>
      </c>
      <c r="C4285" t="str">
        <f>IFERROR(__xludf.DUMMYFUNCTION("GOOGLETRANSLATE(B4285, ""zh"", ""en"")"),"Particularly general thread")</f>
        <v>Particularly general thread</v>
      </c>
    </row>
    <row r="4286">
      <c r="A4286" s="1">
        <v>1.0</v>
      </c>
      <c r="B4286" s="1" t="s">
        <v>4271</v>
      </c>
      <c r="C4286" t="str">
        <f>IFERROR(__xludf.DUMMYFUNCTION("GOOGLETRANSLATE(B4286, ""zh"", ""en"")"),"Neither shoe is not the same as just getting the shoe box to open two shoes fineness not the same, a little dark color, a color a little shallow, a bit uncomfortable, the total wear feet and no one notice that I put up. I see a shoe on fire, no wonder fin"&amp;"eness is not the same, obviously two pairs of patchwork, a No. 8, a number 8w, but also the man w to cross out, and what you as a consumer are blind. Lynx Jingdong think Haitao do not fly on Amazon, Amazon also did not expect such a disgusting person. Fig"&amp;"ure you own.")</f>
        <v>Neither shoe is not the same as just getting the shoe box to open two shoes fineness not the same, a little dark color, a color a little shallow, a bit uncomfortable, the total wear feet and no one notice that I put up. I see a shoe on fire, no wonder fineness is not the same, obviously two pairs of patchwork, a No. 8, a number 8w, but also the man w to cross out, and what you as a consumer are blind. Lynx Jingdong think Haitao do not fly on Amazon, Amazon also did not expect such a disgusting person. Figure you own.</v>
      </c>
    </row>
    <row r="4287">
      <c r="A4287" s="1">
        <v>1.0</v>
      </c>
      <c r="B4287" s="1" t="s">
        <v>4272</v>
      </c>
      <c r="C4287" t="str">
        <f>IFERROR(__xludf.DUMMYFUNCTION("GOOGLETRANSLATE(B4287, ""zh"", ""en"")"),"All fakes bought two bottles of only less than half a bottle!")</f>
        <v>All fakes bought two bottles of only less than half a bottle!</v>
      </c>
    </row>
    <row r="4288">
      <c r="A4288" s="1">
        <v>4.0</v>
      </c>
      <c r="B4288" s="1" t="s">
        <v>4273</v>
      </c>
      <c r="C4288" t="str">
        <f>IFERROR(__xludf.DUMMYFUNCTION("GOOGLETRANSLATE(B4288, ""zh"", ""en"")"),"Suitable pants good, a little elastic, not to wear Bengzhuo.")</f>
        <v>Suitable pants good, a little elastic, not to wear Bengzhuo.</v>
      </c>
    </row>
    <row r="4289">
      <c r="A4289" s="1">
        <v>4.0</v>
      </c>
      <c r="B4289" s="1" t="s">
        <v>4274</v>
      </c>
      <c r="C4289" t="str">
        <f>IFERROR(__xludf.DUMMYFUNCTION("GOOGLETRANSLATE(B4289, ""zh"", ""en"")"),"Long sleeves 168cm, 57KGS, S code, slightly wider, there is no accurate FIG sleeve, too long!")</f>
        <v>Long sleeves 168cm, 57KGS, S code, slightly wider, there is no accurate FIG sleeve, too long!</v>
      </c>
    </row>
    <row r="4290">
      <c r="A4290" s="1">
        <v>4.0</v>
      </c>
      <c r="B4290" s="1" t="s">
        <v>4275</v>
      </c>
      <c r="C4290" t="str">
        <f>IFERROR(__xludf.DUMMYFUNCTION("GOOGLETRANSLATE(B4290, ""zh"", ""en"")"),"Feedback ink is black, ah, why write red? ? ? But overall pretty good, express delivery quickly, pleasant shopping, want to adjust the product label as soon as possible.")</f>
        <v>Feedback ink is black, ah, why write red? ? ? But overall pretty good, express delivery quickly, pleasant shopping, want to adjust the product label as soon as possible.</v>
      </c>
    </row>
    <row r="4291">
      <c r="A4291" s="1">
        <v>4.0</v>
      </c>
      <c r="B4291" s="1" t="s">
        <v>4276</v>
      </c>
      <c r="C4291" t="str">
        <f>IFERROR(__xludf.DUMMYFUNCTION("GOOGLETRANSLATE(B4291, ""zh"", ""en"")"),"Well quite satisfied with the first overseas purchase, worth buying again")</f>
        <v>Well quite satisfied with the first overseas purchase, worth buying again</v>
      </c>
    </row>
    <row r="4292">
      <c r="A4292" s="1">
        <v>5.0</v>
      </c>
      <c r="B4292" s="1" t="s">
        <v>4277</v>
      </c>
      <c r="C4292" t="str">
        <f>IFERROR(__xludf.DUMMYFUNCTION("GOOGLETRANSLATE(B4292, ""zh"", ""en"")"),"For the first time in the Amazon, very satisfied with the insulation effect is very good, more than 70 degrees should be able to save more than six hours, a little disappointed if something drinking bubble may not be very smooth. But I still like to drink"&amp;" boiled water. Recommended for those who like to drink tea after work but busy, too late to pour water to drink with friends. Open hot water at any time at any time. Just bought a few days off thirty. . . . .")</f>
        <v>For the first time in the Amazon, very satisfied with the insulation effect is very good, more than 70 degrees should be able to save more than six hours, a little disappointed if something drinking bubble may not be very smooth. But I still like to drink boiled water. Recommended for those who like to drink tea after work but busy, too late to pour water to drink with friends. Open hot water at any time at any time. Just bought a few days off thirty. . . . .</v>
      </c>
    </row>
    <row r="4293">
      <c r="A4293" s="1">
        <v>5.0</v>
      </c>
      <c r="B4293" s="1" t="s">
        <v>4278</v>
      </c>
      <c r="C4293" t="str">
        <f>IFERROR(__xludf.DUMMYFUNCTION("GOOGLETRANSLATE(B4293, ""zh"", ""en"")"),"Size is narrow comfort is high, strong package, the same size than domestic brands much narrower, a little longer. Work is not good, right foot toe inward side, there is the phenomenon of excess glue. Fortunately, cheap.")</f>
        <v>Size is narrow comfort is high, strong package, the same size than domestic brands much narrower, a little longer. Work is not good, right foot toe inward side, there is the phenomenon of excess glue. Fortunately, cheap.</v>
      </c>
    </row>
    <row r="4294">
      <c r="A4294" s="1">
        <v>5.0</v>
      </c>
      <c r="B4294" s="1" t="s">
        <v>4279</v>
      </c>
      <c r="C4294" t="str">
        <f>IFERROR(__xludf.DUMMYFUNCTION("GOOGLETRANSLATE(B4294, ""zh"", ""en"")"),"Good things something good, quality models can")</f>
        <v>Good things something good, quality models can</v>
      </c>
    </row>
    <row r="4295">
      <c r="A4295" s="1">
        <v>5.0</v>
      </c>
      <c r="B4295" s="1" t="s">
        <v>4280</v>
      </c>
      <c r="C4295" t="str">
        <f>IFERROR(__xludf.DUMMYFUNCTION("GOOGLETRANSLATE(B4295, ""zh"", ""en"")"),"Suitable usually 43, 9.5 US M is selected from the appropriate positive.")</f>
        <v>Suitable usually 43, 9.5 US M is selected from the appropriate positive.</v>
      </c>
    </row>
    <row r="4296">
      <c r="A4296" s="1">
        <v>5.0</v>
      </c>
      <c r="B4296" s="1" t="s">
        <v>4281</v>
      </c>
      <c r="C4296" t="str">
        <f>IFERROR(__xludf.DUMMYFUNCTION("GOOGLETRANSLATE(B4296, ""zh"", ""en"")"),"Good very satisfied, there is no problem")</f>
        <v>Good very satisfied, there is no problem</v>
      </c>
    </row>
    <row r="4297">
      <c r="A4297" s="1">
        <v>5.0</v>
      </c>
      <c r="B4297" s="1" t="s">
        <v>4282</v>
      </c>
      <c r="C4297" t="str">
        <f>IFERROR(__xludf.DUMMYFUNCTION("GOOGLETRANSLATE(B4297, ""zh"", ""en"")"),"Cost-effective good, the right size, size standard. Price Ye Hao.")</f>
        <v>Cost-effective good, the right size, size standard. Price Ye Hao.</v>
      </c>
    </row>
    <row r="4298">
      <c r="A4298" s="1">
        <v>5.0</v>
      </c>
      <c r="B4298" s="1" t="s">
        <v>4283</v>
      </c>
      <c r="C4298" t="str">
        <f>IFERROR(__xludf.DUMMYFUNCTION("GOOGLETRANSLATE(B4298, ""zh"", ""en"")"),"Comfortable thin, summer wear should be very breathable")</f>
        <v>Comfortable thin, summer wear should be very breathable</v>
      </c>
    </row>
    <row r="4299">
      <c r="A4299" s="1">
        <v>5.0</v>
      </c>
      <c r="B4299" s="1" t="s">
        <v>4284</v>
      </c>
      <c r="C4299" t="str">
        <f>IFERROR(__xludf.DUMMYFUNCTION("GOOGLETRANSLATE(B4299, ""zh"", ""en"")"),"Clarks I like to buy the first pair of last year, I feel very good, this time to buy, as always comfortable, love clarks")</f>
        <v>Clarks I like to buy the first pair of last year, I feel very good, this time to buy, as always comfortable, love clarks</v>
      </c>
    </row>
    <row r="4300">
      <c r="A4300" s="1">
        <v>5.0</v>
      </c>
      <c r="B4300" s="1" t="s">
        <v>4285</v>
      </c>
      <c r="C4300" t="str">
        <f>IFERROR(__xludf.DUMMYFUNCTION("GOOGLETRANSLATE(B4300, ""zh"", ""en"")"),"Recommended to buy a watch in-kind beautiful than the picture, the first use of wave form, is to force automatic")</f>
        <v>Recommended to buy a watch in-kind beautiful than the picture, the first use of wave form, is to force automatic</v>
      </c>
    </row>
    <row r="4301">
      <c r="A4301" s="1">
        <v>5.0</v>
      </c>
      <c r="B4301" s="1" t="s">
        <v>4286</v>
      </c>
      <c r="C4301" t="str">
        <f>IFERROR(__xludf.DUMMYFUNCTION("GOOGLETRANSLATE(B4301, ""zh"", ""en"")"),"Very good packaging perfect, affordable brush, two year and a half with no problem.")</f>
        <v>Very good packaging perfect, affordable brush, two year and a half with no problem.</v>
      </c>
    </row>
    <row r="4302">
      <c r="A4302" s="1">
        <v>5.0</v>
      </c>
      <c r="B4302" s="1" t="s">
        <v>4287</v>
      </c>
      <c r="C4302" t="str">
        <f>IFERROR(__xludf.DUMMYFUNCTION("GOOGLETRANSLATE(B4302, ""zh"", ""en"")"),"Much cheaper than domestic prices compare very practical advantage")</f>
        <v>Much cheaper than domestic prices compare very practical advantage</v>
      </c>
    </row>
    <row r="4303">
      <c r="A4303" s="1">
        <v>5.0</v>
      </c>
      <c r="B4303" s="1" t="s">
        <v>4288</v>
      </c>
      <c r="C4303" t="str">
        <f>IFERROR(__xludf.DUMMYFUNCTION("GOOGLETRANSLATE(B4303, ""zh"", ""en"")"),"Good value for money overall feeling good, it should be genuine")</f>
        <v>Good value for money overall feeling good, it should be genuine</v>
      </c>
    </row>
    <row r="4304">
      <c r="A4304" s="1">
        <v>5.0</v>
      </c>
      <c r="B4304" s="1" t="s">
        <v>4289</v>
      </c>
      <c r="C4304" t="str">
        <f>IFERROR(__xludf.DUMMYFUNCTION("GOOGLETRANSLATE(B4304, ""zh"", ""en"")"),"Perfect is perfect for jogging and training Happy Valley")</f>
        <v>Perfect is perfect for jogging and training Happy Valley</v>
      </c>
    </row>
    <row r="4305">
      <c r="A4305" s="1">
        <v>5.0</v>
      </c>
      <c r="B4305" s="1" t="s">
        <v>4290</v>
      </c>
      <c r="C4305" t="str">
        <f>IFERROR(__xludf.DUMMYFUNCTION("GOOGLETRANSLATE(B4305, ""zh"", ""en"")"),"The hard drive does not read the disk, some computer can not read the disk, do not show how")</f>
        <v>The hard drive does not read the disk, some computer can not read the disk, do not show how</v>
      </c>
    </row>
    <row r="4306">
      <c r="A4306" s="1">
        <v>5.0</v>
      </c>
      <c r="B4306" s="1" t="s">
        <v>4291</v>
      </c>
      <c r="C4306" t="str">
        <f>IFERROR(__xludf.DUMMYFUNCTION("GOOGLETRANSLATE(B4306, ""zh"", ""en"")"),"Comes very handy on 13 sets of dishwasher is not a waste of a good use")</f>
        <v>Comes very handy on 13 sets of dishwasher is not a waste of a good use</v>
      </c>
    </row>
    <row r="4307">
      <c r="A4307" s="1">
        <v>5.0</v>
      </c>
      <c r="B4307" s="1" t="s">
        <v>4292</v>
      </c>
      <c r="C4307" t="str">
        <f>IFERROR(__xludf.DUMMYFUNCTION("GOOGLETRANSLATE(B4307, ""zh"", ""en"")"),"Quality good quality feel good, but this is relatively tight, I wear the domestic m, this time to buy s, according to past experience as a large number of foreign code, but is tight, it is recommended to buy normal.")</f>
        <v>Quality good quality feel good, but this is relatively tight, I wear the domestic m, this time to buy s, according to past experience as a large number of foreign code, but is tight, it is recommended to buy normal.</v>
      </c>
    </row>
    <row r="4308">
      <c r="A4308" s="1">
        <v>5.0</v>
      </c>
      <c r="B4308" s="1" t="s">
        <v>4293</v>
      </c>
      <c r="C4308" t="str">
        <f>IFERROR(__xludf.DUMMYFUNCTION("GOOGLETRANSLATE(B4308, ""zh"", ""en"")"),"Put on a very warm received, very warm, the sense of hearing can also")</f>
        <v>Put on a very warm received, very warm, the sense of hearing can also</v>
      </c>
    </row>
    <row r="4309">
      <c r="A4309" s="1">
        <v>5.0</v>
      </c>
      <c r="B4309" s="1" t="s">
        <v>4294</v>
      </c>
      <c r="C4309" t="str">
        <f>IFERROR(__xludf.DUMMYFUNCTION("GOOGLETRANSLATE(B4309, ""zh"", ""en"")"),"Recommended to buy cost-effective, genuine, very commendable.")</f>
        <v>Recommended to buy cost-effective, genuine, very commendable.</v>
      </c>
    </row>
    <row r="4310">
      <c r="A4310" s="1">
        <v>5.0</v>
      </c>
      <c r="B4310" s="1" t="s">
        <v>4295</v>
      </c>
      <c r="C4310" t="str">
        <f>IFERROR(__xludf.DUMMYFUNCTION("GOOGLETRANSLATE(B4310, ""zh"", ""en"")"),"Deal with the hairs really works well! Not done in accordance with the number of instructions to use, but the effect is very obvious, there are already two months not used, but the hairs significantly less than before! Very much like a!")</f>
        <v>Deal with the hairs really works well! Not done in accordance with the number of instructions to use, but the effect is very obvious, there are already two months not used, but the hairs significantly less than before! Very much like a!</v>
      </c>
    </row>
    <row r="4311">
      <c r="A4311" s="1">
        <v>5.0</v>
      </c>
      <c r="B4311" s="1" t="s">
        <v>4296</v>
      </c>
      <c r="C4311" t="str">
        <f>IFERROR(__xludf.DUMMYFUNCTION("GOOGLETRANSLATE(B4311, ""zh"", ""en"")"),"I am 172cm, 66kg, usually wear 32, 32 is suitable for this, not Slim pants, personally like Loose jeans pocket can put the phone, put the wallet, that's not a slim consequently put, do not like, so it is satisfied . I am 172cm, 66kg, usually wear 32, 32 i"&amp;"s suitable for this, not Slim pants, personally like Loose jeans pocket can put the phone, put the wallet, that's not a slim consequently put, do not like, so it is satisfied .")</f>
        <v>I am 172cm, 66kg, usually wear 32, 32 is suitable for this, not Slim pants, personally like Loose jeans pocket can put the phone, put the wallet, that's not a slim consequently put, do not like, so it is satisfied . I am 172cm, 66kg, usually wear 32, 32 is suitable for this, not Slim pants, personally like Loose jeans pocket can put the phone, put the wallet, that's not a slim consequently put, do not like, so it is satisfied .</v>
      </c>
    </row>
    <row r="4312">
      <c r="A4312" s="1">
        <v>5.0</v>
      </c>
      <c r="B4312" s="1" t="s">
        <v>4297</v>
      </c>
      <c r="C4312" t="str">
        <f>IFERROR(__xludf.DUMMYFUNCTION("GOOGLETRANSLATE(B4312, ""zh"", ""en"")"),"Well, doing a deal was a good deal less than the 35")</f>
        <v>Well, doing a deal was a good deal less than the 35</v>
      </c>
    </row>
    <row r="4313">
      <c r="A4313" s="1">
        <v>5.0</v>
      </c>
      <c r="B4313" s="1" t="s">
        <v>4298</v>
      </c>
      <c r="C4313" t="str">
        <f>IFERROR(__xludf.DUMMYFUNCTION("GOOGLETRANSLATE(B4313, ""zh"", ""en"")"),"Cost-effective very satisfied")</f>
        <v>Cost-effective very satisfied</v>
      </c>
    </row>
    <row r="4314">
      <c r="A4314" s="1">
        <v>2.0</v>
      </c>
      <c r="B4314" s="1" t="s">
        <v>4299</v>
      </c>
      <c r="C4314" t="str">
        <f>IFERROR(__xludf.DUMMYFUNCTION("GOOGLETRANSLATE(B4314, ""zh"", ""en"")"),"Poor quality is poor 👕, an unpleasant shopping, do not patronize the next ⋯")</f>
        <v>Poor quality is poor 👕, an unpleasant shopping, do not patronize the next ⋯</v>
      </c>
    </row>
    <row r="4315">
      <c r="A4315" s="1">
        <v>3.0</v>
      </c>
      <c r="B4315" s="1" t="s">
        <v>4300</v>
      </c>
      <c r="C4315" t="str">
        <f>IFERROR(__xludf.DUMMYFUNCTION("GOOGLETRANSLATE(B4315, ""zh"", ""en"")"),"Like a general basic socks without elastic, slightly hard, relatively coarse cotton, foot feeling very good. The ankle will be out wrinkles, because nothing could not stretch the elastic leg. Not recommended.")</f>
        <v>Like a general basic socks without elastic, slightly hard, relatively coarse cotton, foot feeling very good. The ankle will be out wrinkles, because nothing could not stretch the elastic leg. Not recommended.</v>
      </c>
    </row>
    <row r="4316">
      <c r="A4316" s="1">
        <v>3.0</v>
      </c>
      <c r="B4316" s="1" t="s">
        <v>4301</v>
      </c>
      <c r="C4316" t="str">
        <f>IFERROR(__xludf.DUMMYFUNCTION("GOOGLETRANSLATE(B4316, ""zh"", ""en"")"),"Good heavy spare kitchen pot, pan support or lack of experience, but it feels quality is good.")</f>
        <v>Good heavy spare kitchen pot, pan support or lack of experience, but it feels quality is good.</v>
      </c>
    </row>
    <row r="4317">
      <c r="A4317" s="1">
        <v>1.0</v>
      </c>
      <c r="B4317" s="1" t="s">
        <v>4302</v>
      </c>
      <c r="C4317" t="str">
        <f>IFERROR(__xludf.DUMMYFUNCTION("GOOGLETRANSLATE(B4317, ""zh"", ""en"")"),"Do not buy here! Really do not buy! In less than six months, battery water, not electric charge, there is no sale, Taobao move after modification, with less than two months, without water smooth, really is rubbish! ! ! ! Red teeth in comedy it is not wate"&amp;"rproof")</f>
        <v>Do not buy here! Really do not buy! In less than six months, battery water, not electric charge, there is no sale, Taobao move after modification, with less than two months, without water smooth, really is rubbish! ! ! ! Red teeth in comedy it is not waterproof</v>
      </c>
    </row>
    <row r="4318">
      <c r="A4318" s="1">
        <v>1.0</v>
      </c>
      <c r="B4318" s="1" t="s">
        <v>4303</v>
      </c>
      <c r="C4318" t="str">
        <f>IFERROR(__xludf.DUMMYFUNCTION("GOOGLETRANSLATE(B4318, ""zh"", ""en"")"),"So many times the quality, but also overseas purchase quit China? Nana is the thread for the first time to buy such a ck garbage, if it is genuine, then. 20 quality may not be as kind of a flea market.")</f>
        <v>So many times the quality, but also overseas purchase quit China? Nana is the thread for the first time to buy such a ck garbage, if it is genuine, then. 20 quality may not be as kind of a flea market.</v>
      </c>
    </row>
    <row r="4319">
      <c r="A4319" s="1">
        <v>1.0</v>
      </c>
      <c r="B4319" s="1" t="s">
        <v>4304</v>
      </c>
      <c r="C4319" t="str">
        <f>IFERROR(__xludf.DUMMYFUNCTION("GOOGLETRANSLATE(B4319, ""zh"", ""en"")"),"La la do not know is not true, third-party ah")</f>
        <v>La la do not know is not true, third-party ah</v>
      </c>
    </row>
    <row r="4320">
      <c r="A4320" s="1">
        <v>4.0</v>
      </c>
      <c r="B4320" s="1" t="s">
        <v>4305</v>
      </c>
      <c r="C4320" t="str">
        <f>IFERROR(__xludf.DUMMYFUNCTION("GOOGLETRANSLATE(B4320, ""zh"", ""en"")"),"London Fog Men's Light Mesh Lined front zip golf jacket good quality, size standard.")</f>
        <v>London Fog Men's Light Mesh Lined front zip golf jacket good quality, size standard.</v>
      </c>
    </row>
    <row r="4321">
      <c r="A4321" s="1">
        <v>4.0</v>
      </c>
      <c r="B4321" s="1" t="s">
        <v>4306</v>
      </c>
      <c r="C4321" t="str">
        <f>IFERROR(__xludf.DUMMYFUNCTION("GOOGLETRANSLATE(B4321, ""zh"", ""en"")"),"Fully automatic coffee machine is easy to use concentrated coffee is easy to do, however, whether mild or strong, every taste is very strong")</f>
        <v>Fully automatic coffee machine is easy to use concentrated coffee is easy to do, however, whether mild or strong, every taste is very strong</v>
      </c>
    </row>
    <row r="4322">
      <c r="A4322" s="1">
        <v>4.0</v>
      </c>
      <c r="B4322" s="1" t="s">
        <v>4307</v>
      </c>
      <c r="C4322" t="str">
        <f>IFERROR(__xludf.DUMMYFUNCTION("GOOGLETRANSLATE(B4322, ""zh"", ""en"")"),"Authentic Mexican production, work is not very detailed thread a bit more, very standard size!")</f>
        <v>Authentic Mexican production, work is not very detailed thread a bit more, very standard size!</v>
      </c>
    </row>
    <row r="4323">
      <c r="A4323" s="1">
        <v>4.0</v>
      </c>
      <c r="B4323" s="1" t="s">
        <v>4308</v>
      </c>
      <c r="C4323" t="str">
        <f>IFERROR(__xludf.DUMMYFUNCTION("GOOGLETRANSLATE(B4323, ""zh"", ""en"")"),"sw with Chinese production ...... details as shown, leather thicker than lowland I bought at the counter, lack of flexibility, originally wanted to retire, ask customer service said to have produced in China!")</f>
        <v>sw with Chinese production ...... details as shown, leather thicker than lowland I bought at the counter, lack of flexibility, originally wanted to retire, ask customer service said to have produced in China!</v>
      </c>
    </row>
    <row r="4324">
      <c r="A4324" s="1">
        <v>4.0</v>
      </c>
      <c r="B4324" s="1" t="s">
        <v>4309</v>
      </c>
      <c r="C4324" t="str">
        <f>IFERROR(__xludf.DUMMYFUNCTION("GOOGLETRANSLATE(B4324, ""zh"", ""en"")"),"Very good a bit hard, the other bad.")</f>
        <v>Very good a bit hard, the other bad.</v>
      </c>
    </row>
    <row r="4325">
      <c r="A4325" s="1">
        <v>5.0</v>
      </c>
      <c r="B4325" s="1" t="s">
        <v>4310</v>
      </c>
      <c r="C4325" t="str">
        <f>IFERROR(__xludf.DUMMYFUNCTION("GOOGLETRANSLATE(B4325, ""zh"", ""en"")"),"Stockpile baby has not yet started, the first store under the")</f>
        <v>Stockpile baby has not yet started, the first store under the</v>
      </c>
    </row>
    <row r="4326">
      <c r="A4326" s="1">
        <v>5.0</v>
      </c>
      <c r="B4326" s="1" t="s">
        <v>4311</v>
      </c>
      <c r="C4326" t="str">
        <f>IFERROR(__xludf.DUMMYFUNCTION("GOOGLETRANSLATE(B4326, ""zh"", ""en"")"),"Good value for money and cups in Japan to buy the same. The price and see directly in Japan to buy the same price, you buy at Amazon. See someone comment origin is China, would like to correct what Tiger kettle origin of this division of domestic and fore"&amp;"ign-made, buy home-grown Even in Japan the price is not less than 300.")</f>
        <v>Good value for money and cups in Japan to buy the same. The price and see directly in Japan to buy the same price, you buy at Amazon. See someone comment origin is China, would like to correct what Tiger kettle origin of this division of domestic and foreign-made, buy home-grown Even in Japan the price is not less than 300.</v>
      </c>
    </row>
    <row r="4327">
      <c r="A4327" s="1">
        <v>5.0</v>
      </c>
      <c r="B4327" s="1" t="s">
        <v>4312</v>
      </c>
      <c r="C4327" t="str">
        <f>IFERROR(__xludf.DUMMYFUNCTION("GOOGLETRANSLATE(B4327, ""zh"", ""en"")"),"Very cool comfortable summer wear comfortable thin cup")</f>
        <v>Very cool comfortable summer wear comfortable thin cup</v>
      </c>
    </row>
    <row r="4328">
      <c r="A4328" s="1">
        <v>5.0</v>
      </c>
      <c r="B4328" s="1" t="s">
        <v>4313</v>
      </c>
      <c r="C4328" t="str">
        <f>IFERROR(__xludf.DUMMYFUNCTION("GOOGLETRANSLATE(B4328, ""zh"", ""en"")"),"Yes! Almost a week is up, much faster than imagined, and good shoes, this pair of Nike generally 43 9m just right, give you a reference.")</f>
        <v>Yes! Almost a week is up, much faster than imagined, and good shoes, this pair of Nike generally 43 9m just right, give you a reference.</v>
      </c>
    </row>
    <row r="4329">
      <c r="A4329" s="1">
        <v>5.0</v>
      </c>
      <c r="B4329" s="1" t="s">
        <v>4314</v>
      </c>
      <c r="C4329" t="str">
        <f>IFERROR(__xludf.DUMMYFUNCTION("GOOGLETRANSLATE(B4329, ""zh"", ""en"")"),"Although reliable quality engineering plastics, but well-made and fine detail. Mixing valve installation is not simple, there is the mainland for the average family, installing hot and cold water when needed extension tube.")</f>
        <v>Although reliable quality engineering plastics, but well-made and fine detail. Mixing valve installation is not simple, there is the mainland for the average family, installing hot and cold water when needed extension tube.</v>
      </c>
    </row>
    <row r="4330">
      <c r="A4330" s="1">
        <v>5.0</v>
      </c>
      <c r="B4330" s="1" t="s">
        <v>4315</v>
      </c>
      <c r="C4330" t="str">
        <f>IFERROR(__xludf.DUMMYFUNCTION("GOOGLETRANSLATE(B4330, ""zh"", ""en"")"),"Also 170cm, 60kg small liberal bias, feeling and then a small one yard will be more appropriate")</f>
        <v>Also 170cm, 60kg small liberal bias, feeling and then a small one yard will be more appropriate</v>
      </c>
    </row>
    <row r="4331">
      <c r="A4331" s="1">
        <v>5.0</v>
      </c>
      <c r="B4331" s="1" t="s">
        <v>4316</v>
      </c>
      <c r="C4331" t="str">
        <f>IFERROR(__xludf.DUMMYFUNCTION("GOOGLETRANSLATE(B4331, ""zh"", ""en"")"),"Praise recommend purchase times usually too large One. Praise.")</f>
        <v>Praise recommend purchase times usually too large One. Praise.</v>
      </c>
    </row>
    <row r="4332">
      <c r="A4332" s="1">
        <v>5.0</v>
      </c>
      <c r="B4332" s="1" t="s">
        <v>4317</v>
      </c>
      <c r="C4332" t="str">
        <f>IFERROR(__xludf.DUMMYFUNCTION("GOOGLETRANSLATE(B4332, ""zh"", ""en"")"),"Watch something really good")</f>
        <v>Watch something really good</v>
      </c>
    </row>
    <row r="4333">
      <c r="A4333" s="1">
        <v>5.0</v>
      </c>
      <c r="B4333" s="1" t="s">
        <v>4318</v>
      </c>
      <c r="C4333" t="str">
        <f>IFERROR(__xludf.DUMMYFUNCTION("GOOGLETRANSLATE(B4333, ""zh"", ""en"")"),"Affordable good to wear looks a little big on the foot being just good shoes to buy smaller number than half of Japan's very comfortable to wear or breakage no strict new super box")</f>
        <v>Affordable good to wear looks a little big on the foot being just good shoes to buy smaller number than half of Japan's very comfortable to wear or breakage no strict new super box</v>
      </c>
    </row>
    <row r="4334">
      <c r="A4334" s="1">
        <v>5.0</v>
      </c>
      <c r="B4334" s="1" t="s">
        <v>4319</v>
      </c>
      <c r="C4334" t="str">
        <f>IFERROR(__xludf.DUMMYFUNCTION("GOOGLETRANSLATE(B4334, ""zh"", ""en"")"),"Complete Complete super good vitamins, and minerals, especially whole, I do not feel comfortable after eating paste, to enhance the body function is useful!")</f>
        <v>Complete Complete super good vitamins, and minerals, especially whole, I do not feel comfortable after eating paste, to enhance the body function is useful!</v>
      </c>
    </row>
    <row r="4335">
      <c r="A4335" s="1">
        <v>5.0</v>
      </c>
      <c r="B4335" s="1" t="s">
        <v>4320</v>
      </c>
      <c r="C4335" t="str">
        <f>IFERROR(__xludf.DUMMYFUNCTION("GOOGLETRANSLATE(B4335, ""zh"", ""en"")"),"Cool table fast, the next day arrived, cheaper is better than Taobao sellers dozens, but also very secure, so more willing to buy at Amazon. Facts have proved quite tricky. Table, though not expensive, but great texture, luminous Intuit hyun, before the t"&amp;"hree did not know Zenong worn, study for a while to understand, not too complicated, a good ride clothes, strap can be replaced, on this For what price could not pick a fault, one hundred points!")</f>
        <v>Cool table fast, the next day arrived, cheaper is better than Taobao sellers dozens, but also very secure, so more willing to buy at Amazon. Facts have proved quite tricky. Table, though not expensive, but great texture, luminous Intuit hyun, before the three did not know Zenong worn, study for a while to understand, not too complicated, a good ride clothes, strap can be replaced, on this For what price could not pick a fault, one hundred points!</v>
      </c>
    </row>
    <row r="4336">
      <c r="A4336" s="1">
        <v>5.0</v>
      </c>
      <c r="B4336" s="1" t="s">
        <v>4321</v>
      </c>
      <c r="C4336" t="str">
        <f>IFERROR(__xludf.DUMMYFUNCTION("GOOGLETRANSLATE(B4336, ""zh"", ""en"")"),"Genuine good thing that the United States direct mail, ready for the baby, very good. A lot cheaper than here, it is to buy overseas for a long time, about two weeks before receipt of goods. Cheaper than the domestic half, very good!")</f>
        <v>Genuine good thing that the United States direct mail, ready for the baby, very good. A lot cheaper than here, it is to buy overseas for a long time, about two weeks before receipt of goods. Cheaper than the domestic half, very good!</v>
      </c>
    </row>
    <row r="4337">
      <c r="A4337" s="1">
        <v>5.0</v>
      </c>
      <c r="B4337" s="1" t="s">
        <v>4322</v>
      </c>
      <c r="C4337" t="str">
        <f>IFERROR(__xludf.DUMMYFUNCTION("GOOGLETRANSLATE(B4337, ""zh"", ""en"")"),"The baby is a little more than a month, with a little")</f>
        <v>The baby is a little more than a month, with a little</v>
      </c>
    </row>
    <row r="4338">
      <c r="A4338" s="1">
        <v>5.0</v>
      </c>
      <c r="B4338" s="1" t="s">
        <v>4323</v>
      </c>
      <c r="C4338" t="str">
        <f>IFERROR(__xludf.DUMMYFUNCTION("GOOGLETRANSLATE(B4338, ""zh"", ""en"")"),"Value for money beautiful cups, lids right size, very good")</f>
        <v>Value for money beautiful cups, lids right size, very good</v>
      </c>
    </row>
    <row r="4339">
      <c r="A4339" s="1">
        <v>5.0</v>
      </c>
      <c r="B4339" s="1" t="s">
        <v>4324</v>
      </c>
      <c r="C4339" t="str">
        <f>IFERROR(__xludf.DUMMYFUNCTION("GOOGLETRANSLATE(B4339, ""zh"", ""en"")"),"166,108 pounds, xs appropriate, very self-cultivation to meet the expected results, the right size, but really suitable for people who wear slender limbs. Otherwise, stomach easy to drum up")</f>
        <v>166,108 pounds, xs appropriate, very self-cultivation to meet the expected results, the right size, but really suitable for people who wear slender limbs. Otherwise, stomach easy to drum up</v>
      </c>
    </row>
    <row r="4340">
      <c r="A4340" s="1">
        <v>5.0</v>
      </c>
      <c r="B4340" s="1" t="s">
        <v>4325</v>
      </c>
      <c r="C4340" t="str">
        <f>IFERROR(__xludf.DUMMYFUNCTION("GOOGLETRANSLATE(B4340, ""zh"", ""en"")"),"Models fit models of good quality and can not ball but not over size over size models are not recommended to buy a large two yards of good quality ball can not afford")</f>
        <v>Models fit models of good quality and can not ball but not over size over size models are not recommended to buy a large two yards of good quality ball can not afford</v>
      </c>
    </row>
    <row r="4341">
      <c r="A4341" s="1">
        <v>5.0</v>
      </c>
      <c r="B4341" s="1" t="s">
        <v>2253</v>
      </c>
      <c r="C4341" t="str">
        <f>IFERROR(__xludf.DUMMYFUNCTION("GOOGLETRANSLATE(B4341, ""zh"", ""en"")"),"Very Good Very Good")</f>
        <v>Very Good Very Good</v>
      </c>
    </row>
    <row r="4342">
      <c r="A4342" s="1">
        <v>5.0</v>
      </c>
      <c r="B4342" s="1" t="s">
        <v>4326</v>
      </c>
      <c r="C4342" t="str">
        <f>IFERROR(__xludf.DUMMYFUNCTION("GOOGLETRANSLATE(B4342, ""zh"", ""en"")"),"Point Like this 4TB hard disk price is very high!")</f>
        <v>Point Like this 4TB hard disk price is very high!</v>
      </c>
    </row>
    <row r="4343">
      <c r="A4343" s="1">
        <v>5.0</v>
      </c>
      <c r="B4343" s="1" t="s">
        <v>4327</v>
      </c>
      <c r="C4343" t="str">
        <f>IFERROR(__xludf.DUMMYFUNCTION("GOOGLETRANSLATE(B4343, ""zh"", ""en"")"),"Like good, support efforts to better than skins. However, permeability is better skins. Low temperatures a little better when worn.")</f>
        <v>Like good, support efforts to better than skins. However, permeability is better skins. Low temperatures a little better when worn.</v>
      </c>
    </row>
    <row r="4344">
      <c r="A4344" s="1">
        <v>5.0</v>
      </c>
      <c r="B4344" s="1" t="s">
        <v>4328</v>
      </c>
      <c r="C4344" t="str">
        <f>IFERROR(__xludf.DUMMYFUNCTION("GOOGLETRANSLATE(B4344, ""zh"", ""en"")"),"Comfortable to wear comfortable, sea Amoy high cost, polartec lightweight and comfortable material")</f>
        <v>Comfortable to wear comfortable, sea Amoy high cost, polartec lightweight and comfortable material</v>
      </c>
    </row>
    <row r="4345">
      <c r="A4345" s="1">
        <v>5.0</v>
      </c>
      <c r="B4345" s="1" t="s">
        <v>4329</v>
      </c>
      <c r="C4345" t="str">
        <f>IFERROR(__xludf.DUMMYFUNCTION("GOOGLETRANSLATE(B4345, ""zh"", ""en"")"),"Speed ​​dancing, sound and moving. Copy fast, noise is a little big, but does not seem to copy when loud, but read the disk when a little hard to understand.")</f>
        <v>Speed ​​dancing, sound and moving. Copy fast, noise is a little big, but does not seem to copy when loud, but read the disk when a little hard to understand.</v>
      </c>
    </row>
    <row r="4346">
      <c r="A4346" s="1">
        <v>2.0</v>
      </c>
      <c r="B4346" s="1" t="s">
        <v>4330</v>
      </c>
      <c r="C4346" t="str">
        <f>IFERROR(__xludf.DUMMYFUNCTION("GOOGLETRANSLATE(B4346, ""zh"", ""en"")"),"Not bad to use force, not as easy to use homemade")</f>
        <v>Not bad to use force, not as easy to use homemade</v>
      </c>
    </row>
    <row r="4347">
      <c r="A4347" s="1">
        <v>3.0</v>
      </c>
      <c r="B4347" s="1" t="s">
        <v>4331</v>
      </c>
      <c r="C4347" t="str">
        <f>IFERROR(__xludf.DUMMYFUNCTION("GOOGLETRANSLATE(B4347, ""zh"", ""en"")"),"Recommended clothes big. Is at least two yards, usually wear XL, where only wear m.")</f>
        <v>Recommended clothes big. Is at least two yards, usually wear XL, where only wear m.</v>
      </c>
    </row>
    <row r="4348">
      <c r="A4348" s="1">
        <v>3.0</v>
      </c>
      <c r="B4348" s="1" t="s">
        <v>4332</v>
      </c>
      <c r="C4348" t="str">
        <f>IFERROR(__xludf.DUMMYFUNCTION("GOOGLETRANSLATE(B4348, ""zh"", ""en"")"),"To be honest quality big as before once again purchase a piece, I feel great quality as before, mainly to adjust the time Pine Knob very, very depressed, the previous piece has been taken, ooo, ooo hum. . . . . . . . . . . . . . . .")</f>
        <v>To be honest quality big as before once again purchase a piece, I feel great quality as before, mainly to adjust the time Pine Knob very, very depressed, the previous piece has been taken, ooo, ooo hum. . . . . . . . . . . . . . . .</v>
      </c>
    </row>
    <row r="4349">
      <c r="A4349" s="1">
        <v>3.0</v>
      </c>
      <c r="B4349" s="1" t="s">
        <v>4333</v>
      </c>
      <c r="C4349" t="str">
        <f>IFERROR(__xludf.DUMMYFUNCTION("GOOGLETRANSLATE(B4349, ""zh"", ""en"")"),"Better quality version of the type of shoes too thin, lighter than expected, soles light, not like, the quality is very good.")</f>
        <v>Better quality version of the type of shoes too thin, lighter than expected, soles light, not like, the quality is very good.</v>
      </c>
    </row>
    <row r="4350">
      <c r="A4350" s="1">
        <v>1.0</v>
      </c>
      <c r="B4350" s="1" t="s">
        <v>4334</v>
      </c>
      <c r="C4350" t="str">
        <f>IFERROR(__xludf.DUMMYFUNCTION("GOOGLETRANSLATE(B4350, ""zh"", ""en"")"),"General General broken, sent hand carton has worn the entire surface, but fortunately package is glued to the inside")</f>
        <v>General General broken, sent hand carton has worn the entire surface, but fortunately package is glued to the inside</v>
      </c>
    </row>
    <row r="4351">
      <c r="A4351" s="1">
        <v>1.0</v>
      </c>
      <c r="B4351" s="1" t="s">
        <v>4335</v>
      </c>
      <c r="C4351" t="str">
        <f>IFERROR(__xludf.DUMMYFUNCTION("GOOGLETRANSLATE(B4351, ""zh"", ""en"")"),"Negative Ratings! Angry! The same link actually buy a big difference! Amazon really silent before buy M number is boxed cotton, the S cheap, buy two boxes S, upon receipt of a bag, thought it was only for a packaging did not care, just out completely diff"&amp;"erent ! Too much, Taobao fakes are at least cotton, it does not know what the material! The first bad review life to you! I can not make that exasperating texture! Who bought who knows!")</f>
        <v>Negative Ratings! Angry! The same link actually buy a big difference! Amazon really silent before buy M number is boxed cotton, the S cheap, buy two boxes S, upon receipt of a bag, thought it was only for a packaging did not care, just out completely different ! Too much, Taobao fakes are at least cotton, it does not know what the material! The first bad review life to you! I can not make that exasperating texture! Who bought who knows!</v>
      </c>
    </row>
    <row r="4352">
      <c r="A4352" s="1">
        <v>4.0</v>
      </c>
      <c r="B4352" s="1" t="s">
        <v>4336</v>
      </c>
      <c r="C4352" t="str">
        <f>IFERROR(__xludf.DUMMYFUNCTION("GOOGLETRANSLATE(B4352, ""zh"", ""en"")"),"...... help a friend buy, but also to, looking very pretty")</f>
        <v>...... help a friend buy, but also to, looking very pretty</v>
      </c>
    </row>
    <row r="4353">
      <c r="A4353" s="1">
        <v>4.0</v>
      </c>
      <c r="B4353" s="1" t="s">
        <v>4337</v>
      </c>
      <c r="C4353" t="str">
        <f>IFERROR(__xludf.DUMMYFUNCTION("GOOGLETRANSLATE(B4353, ""zh"", ""en"")"),"Worth buying good quality, comfortable and cheap. Foot width, usually 39 yards, wear thick socks a little pinch. Hope Chuan Chuan can loose.")</f>
        <v>Worth buying good quality, comfortable and cheap. Foot width, usually 39 yards, wear thick socks a little pinch. Hope Chuan Chuan can loose.</v>
      </c>
    </row>
    <row r="4354">
      <c r="A4354" s="1">
        <v>4.0</v>
      </c>
      <c r="B4354" s="1" t="s">
        <v>4338</v>
      </c>
      <c r="C4354" t="str">
        <f>IFERROR(__xludf.DUMMYFUNCTION("GOOGLETRANSLATE(B4354, ""zh"", ""en"")"),"If too fine a toothpick belt stirred tank head obvious damage, somewhat narrower diameter belt. I 32 86 cm waist just right")</f>
        <v>If too fine a toothpick belt stirred tank head obvious damage, somewhat narrower diameter belt. I 32 86 cm waist just right</v>
      </c>
    </row>
    <row r="4355">
      <c r="A4355" s="1">
        <v>4.0</v>
      </c>
      <c r="B4355" s="1" t="s">
        <v>4339</v>
      </c>
      <c r="C4355" t="str">
        <f>IFERROR(__xludf.DUMMYFUNCTION("GOOGLETRANSLATE(B4355, ""zh"", ""en"")"),"Cup sets Cup sets look good kind little blue green mug not quite match")</f>
        <v>Cup sets Cup sets look good kind little blue green mug not quite match</v>
      </c>
    </row>
    <row r="4356">
      <c r="A4356" s="1">
        <v>4.0</v>
      </c>
      <c r="B4356" s="1" t="s">
        <v>4340</v>
      </c>
      <c r="C4356" t="str">
        <f>IFERROR(__xludf.DUMMYFUNCTION("GOOGLETRANSLATE(B4356, ""zh"", ""en"")"),"The general feeling in general, nothing special")</f>
        <v>The general feeling in general, nothing special</v>
      </c>
    </row>
    <row r="4357">
      <c r="A4357" s="1">
        <v>5.0</v>
      </c>
      <c r="B4357" s="1" t="s">
        <v>4341</v>
      </c>
      <c r="C4357" t="str">
        <f>IFERROR(__xludf.DUMMYFUNCTION("GOOGLETRANSLATE(B4357, ""zh"", ""en"")"),"Global 5-year warranty on the sea Amoy ssd buy SanDisk, 5 year warranty, 1T enough, mechanical hard disk directly discarded, fast enough for my office use")</f>
        <v>Global 5-year warranty on the sea Amoy ssd buy SanDisk, 5 year warranty, 1T enough, mechanical hard disk directly discarded, fast enough for my office use</v>
      </c>
    </row>
    <row r="4358">
      <c r="A4358" s="1">
        <v>5.0</v>
      </c>
      <c r="B4358" s="1" t="s">
        <v>4342</v>
      </c>
      <c r="C4358" t="str">
        <f>IFERROR(__xludf.DUMMYFUNCTION("GOOGLETRANSLATE(B4358, ""zh"", ""en"")"),"Very good first talk about the size, my height 177, weight 174, L code is very suitable for this. Color consistent with the picture. Order No. 21 November in the middle of a three-line small city 12 days to get the goods, very satisfied with the shopping,"&amp;" thank Amazon.")</f>
        <v>Very good first talk about the size, my height 177, weight 174, L code is very suitable for this. Color consistent with the picture. Order No. 21 November in the middle of a three-line small city 12 days to get the goods, very satisfied with the shopping, thank Amazon.</v>
      </c>
    </row>
    <row r="4359">
      <c r="A4359" s="1">
        <v>5.0</v>
      </c>
      <c r="B4359" s="1" t="s">
        <v>4343</v>
      </c>
      <c r="C4359" t="str">
        <f>IFERROR(__xludf.DUMMYFUNCTION("GOOGLETRANSLATE(B4359, ""zh"", ""en"")"),"Very good shopping experience Casio digital watches quality is very good, shopping and logistics process went very smoothly, logistics is also a lot faster than expected. Is hand wrapped tray is pushed deformed, but fortunately no injury to the table.")</f>
        <v>Very good shopping experience Casio digital watches quality is very good, shopping and logistics process went very smoothly, logistics is also a lot faster than expected. Is hand wrapped tray is pushed deformed, but fortunately no injury to the table.</v>
      </c>
    </row>
    <row r="4360">
      <c r="A4360" s="1">
        <v>5.0</v>
      </c>
      <c r="B4360" s="1" t="s">
        <v>4344</v>
      </c>
      <c r="C4360" t="str">
        <f>IFERROR(__xludf.DUMMYFUNCTION("GOOGLETRANSLATE(B4360, ""zh"", ""en"")"),"Shuai overall texture is very good, suitable for wide feet foot friend")</f>
        <v>Shuai overall texture is very good, suitable for wide feet foot friend</v>
      </c>
    </row>
    <row r="4361">
      <c r="A4361" s="1">
        <v>5.0</v>
      </c>
      <c r="B4361" s="1" t="s">
        <v>4345</v>
      </c>
      <c r="C4361" t="str">
        <f>IFERROR(__xludf.DUMMYFUNCTION("GOOGLETRANSLATE(B4361, ""zh"", ""en"")"),"boss basically fit to wear comfortable quality stuff next time.")</f>
        <v>boss basically fit to wear comfortable quality stuff next time.</v>
      </c>
    </row>
    <row r="4362">
      <c r="A4362" s="1">
        <v>5.0</v>
      </c>
      <c r="B4362" s="1" t="s">
        <v>4346</v>
      </c>
      <c r="C4362" t="str">
        <f>IFERROR(__xludf.DUMMYFUNCTION("GOOGLETRANSLATE(B4362, ""zh"", ""en"")"),"Yes! Very fit! The price is very appropriate!")</f>
        <v>Yes! Very fit! The price is very appropriate!</v>
      </c>
    </row>
    <row r="4363">
      <c r="A4363" s="1">
        <v>5.0</v>
      </c>
      <c r="B4363" s="1" t="s">
        <v>4347</v>
      </c>
      <c r="C4363" t="str">
        <f>IFERROR(__xludf.DUMMYFUNCTION("GOOGLETRANSLATE(B4363, ""zh"", ""en"")"),"Children like to use solid materials, insulation effect, the children love it.")</f>
        <v>Children like to use solid materials, insulation effect, the children love it.</v>
      </c>
    </row>
    <row r="4364">
      <c r="A4364" s="1">
        <v>5.0</v>
      </c>
      <c r="B4364" s="1" t="s">
        <v>4348</v>
      </c>
      <c r="C4364" t="str">
        <f>IFERROR(__xludf.DUMMYFUNCTION("GOOGLETRANSLATE(B4364, ""zh"", ""en"")"),"Like satisfaction gave her boyfriend a birthday present about ten days to arrive. Still very handsome. But the shoes very delicate feeling he did not care for the near future will soon be broken")</f>
        <v>Like satisfaction gave her boyfriend a birthday present about ten days to arrive. Still very handsome. But the shoes very delicate feeling he did not care for the near future will soon be broken</v>
      </c>
    </row>
    <row r="4365">
      <c r="A4365" s="1">
        <v>5.0</v>
      </c>
      <c r="B4365" s="1" t="s">
        <v>4349</v>
      </c>
      <c r="C4365" t="str">
        <f>IFERROR(__xludf.DUMMYFUNCTION("GOOGLETRANSLATE(B4365, ""zh"", ""en"")"),"recommend! Very good very appropriate")</f>
        <v>recommend! Very good very appropriate</v>
      </c>
    </row>
    <row r="4366">
      <c r="A4366" s="1">
        <v>5.0</v>
      </c>
      <c r="B4366" s="1" t="s">
        <v>4350</v>
      </c>
      <c r="C4366" t="str">
        <f>IFERROR(__xludf.DUMMYFUNCTION("GOOGLETRANSLATE(B4366, ""zh"", ""en"")"),"Good quality and good logistics fast enough.")</f>
        <v>Good quality and good logistics fast enough.</v>
      </c>
    </row>
    <row r="4367">
      <c r="A4367" s="1">
        <v>5.0</v>
      </c>
      <c r="B4367" s="1" t="s">
        <v>4351</v>
      </c>
      <c r="C4367" t="str">
        <f>IFERROR(__xludf.DUMMYFUNCTION("GOOGLETRANSLATE(B4367, ""zh"", ""en"")"),"Zojirushi is a big brand is very good, the feeling is genuine.")</f>
        <v>Zojirushi is a big brand is very good, the feeling is genuine.</v>
      </c>
    </row>
    <row r="4368">
      <c r="A4368" s="1">
        <v>5.0</v>
      </c>
      <c r="B4368" s="1" t="s">
        <v>4352</v>
      </c>
      <c r="C4368" t="str">
        <f>IFERROR(__xludf.DUMMYFUNCTION("GOOGLETRANSLATE(B4368, ""zh"", ""en"")"),"Starting below 900, the absolute value of the arrival of fast, universal power 12v, 1.5a, 8-capacity, cost-effective")</f>
        <v>Starting below 900, the absolute value of the arrival of fast, universal power 12v, 1.5a, 8-capacity, cost-effective</v>
      </c>
    </row>
    <row r="4369">
      <c r="A4369" s="1">
        <v>5.0</v>
      </c>
      <c r="B4369" s="1" t="s">
        <v>4353</v>
      </c>
      <c r="C4369" t="str">
        <f>IFERROR(__xludf.DUMMYFUNCTION("GOOGLETRANSLATE(B4369, ""zh"", ""en"")"),"After loading water is 100 degrees and 100 degrees insulation means ... 48 hours water is hot water, opened the way to test the water temperature ... 2 times the hot, really super insulation!")</f>
        <v>After loading water is 100 degrees and 100 degrees insulation means ... 48 hours water is hot water, opened the way to test the water temperature ... 2 times the hot, really super insulation!</v>
      </c>
    </row>
    <row r="4370">
      <c r="A4370" s="1">
        <v>5.0</v>
      </c>
      <c r="B4370" s="1" t="s">
        <v>4354</v>
      </c>
      <c r="C4370" t="str">
        <f>IFERROR(__xludf.DUMMYFUNCTION("GOOGLETRANSLATE(B4370, ""zh"", ""en"")"),"The exact size of the sweater the right size to wear comfortable but the neckline is too small electrostatic What is the sheep's wool.")</f>
        <v>The exact size of the sweater the right size to wear comfortable but the neckline is too small electrostatic What is the sheep's wool.</v>
      </c>
    </row>
    <row r="4371">
      <c r="A4371" s="1">
        <v>5.0</v>
      </c>
      <c r="B4371" s="1" t="s">
        <v>4355</v>
      </c>
      <c r="C4371" t="str">
        <f>IFERROR(__xludf.DUMMYFUNCTION("GOOGLETRANSLATE(B4371, ""zh"", ""en"")"),"Good pants 175, weight 160, very fit, especially the kind of money is not self-cultivation, but better than jeans straight points to close, wearing a very spiritual, work, travel wear are appropriate. Fabrics feel good, terms of thickness, in addition to "&amp;"summer are suitable to wear.")</f>
        <v>Good pants 175, weight 160, very fit, especially the kind of money is not self-cultivation, but better than jeans straight points to close, wearing a very spiritual, work, travel wear are appropriate. Fabrics feel good, terms of thickness, in addition to summer are suitable to wear.</v>
      </c>
    </row>
    <row r="4372">
      <c r="A4372" s="1">
        <v>5.0</v>
      </c>
      <c r="B4372" s="1" t="s">
        <v>4356</v>
      </c>
      <c r="C4372" t="str">
        <f>IFERROR(__xludf.DUMMYFUNCTION("GOOGLETRANSLATE(B4372, ""zh"", ""en"")"),"Satisfied with something good, just the right size, the price is very crucial to the force, ha")</f>
        <v>Satisfied with something good, just the right size, the price is very crucial to the force, ha</v>
      </c>
    </row>
    <row r="4373">
      <c r="A4373" s="1">
        <v>5.0</v>
      </c>
      <c r="B4373" s="1" t="s">
        <v>4357</v>
      </c>
      <c r="C4373" t="str">
        <f>IFERROR(__xludf.DUMMYFUNCTION("GOOGLETRANSLATE(B4373, ""zh"", ""en"")"),"High cost is great, really great! Small size, big water, the water is very uniform, water droplets collide to skin the moment, I feel great, worth buying.")</f>
        <v>High cost is great, really great! Small size, big water, the water is very uniform, water droplets collide to skin the moment, I feel great, worth buying.</v>
      </c>
    </row>
    <row r="4374">
      <c r="A4374" s="1">
        <v>5.0</v>
      </c>
      <c r="B4374" s="1" t="s">
        <v>4358</v>
      </c>
      <c r="C4374" t="str">
        <f>IFERROR(__xludf.DUMMYFUNCTION("GOOGLETRANSLATE(B4374, ""zh"", ""en"")"),"Looking like the style, the color is also very good, wearing fit, comfortable. Very good with clothes.")</f>
        <v>Looking like the style, the color is also very good, wearing fit, comfortable. Very good with clothes.</v>
      </c>
    </row>
    <row r="4375">
      <c r="A4375" s="1">
        <v>5.0</v>
      </c>
      <c r="B4375" s="1" t="s">
        <v>4359</v>
      </c>
      <c r="C4375" t="str">
        <f>IFERROR(__xludf.DUMMYFUNCTION("GOOGLETRANSLATE(B4375, ""zh"", ""en"")"),"Very good value've been using Philips electric toothbrush, the brush head is a consumable item, but really not much to buy in Jingdong activities, overseas shopping is to force the intensity of the event, as soon as possible to start the")</f>
        <v>Very good value've been using Philips electric toothbrush, the brush head is a consumable item, but really not much to buy in Jingdong activities, overseas shopping is to force the intensity of the event, as soon as possible to start the</v>
      </c>
    </row>
    <row r="4376">
      <c r="A4376" s="1">
        <v>5.0</v>
      </c>
      <c r="B4376" s="1" t="s">
        <v>4360</v>
      </c>
      <c r="C4376" t="str">
        <f>IFERROR(__xludf.DUMMYFUNCTION("GOOGLETRANSLATE(B4376, ""zh"", ""en"")"),"3M good results, the price level should exceed 5 micron filter, then the filter boiled water for a large water, no taste, a total of 150 freight, buy two or four charge transfer charge 6 is inserted 3M Original hose connector interfaces, one a hose connec"&amp;"ted to a faucet, a general store selling water purifiers are sold, you can use, and easy to install.")</f>
        <v>3M good results, the price level should exceed 5 micron filter, then the filter boiled water for a large water, no taste, a total of 150 freight, buy two or four charge transfer charge 6 is inserted 3M Original hose connector interfaces, one a hose connected to a faucet, a general store selling water purifiers are sold, you can use, and easy to install.</v>
      </c>
    </row>
    <row r="4377">
      <c r="A4377" s="1">
        <v>5.0</v>
      </c>
      <c r="B4377" s="1" t="s">
        <v>4361</v>
      </c>
      <c r="C4377" t="str">
        <f>IFERROR(__xludf.DUMMYFUNCTION("GOOGLETRANSLATE(B4377, ""zh"", ""en"")"),"Good suitable for spring wear, it is appropriate")</f>
        <v>Good suitable for spring wear, it is appropriate</v>
      </c>
    </row>
    <row r="4378">
      <c r="A4378" s="1">
        <v>5.0</v>
      </c>
      <c r="B4378" s="1" t="s">
        <v>4362</v>
      </c>
      <c r="C4378" t="str">
        <f>IFERROR(__xludf.DUMMYFUNCTION("GOOGLETRANSLATE(B4378, ""zh"", ""en"")"),"ECCO shoe size is positive, with domestic scouring the sea as appropriate. Domestic pair of shoes is 41 yards, the sea Amoy US7.5, UK7 can, ECCO on shoe size do particularly well")</f>
        <v>ECCO shoe size is positive, with domestic scouring the sea as appropriate. Domestic pair of shoes is 41 yards, the sea Amoy US7.5, UK7 can, ECCO on shoe size do particularly well</v>
      </c>
    </row>
    <row r="4379">
      <c r="A4379" s="1">
        <v>2.0</v>
      </c>
      <c r="B4379" s="1" t="s">
        <v>4363</v>
      </c>
      <c r="C4379" t="str">
        <f>IFERROR(__xludf.DUMMYFUNCTION("GOOGLETRANSLATE(B4379, ""zh"", ""en"")"),"Vietnamese general quality, show very bright blue insulation effect is good, not too light weight, can be considered good, it is important to shake the cup will be rustling sound, felt something fall in a vacuum layer.")</f>
        <v>Vietnamese general quality, show very bright blue insulation effect is good, not too light weight, can be considered good, it is important to shake the cup will be rustling sound, felt something fall in a vacuum layer.</v>
      </c>
    </row>
    <row r="4380">
      <c r="A4380" s="1">
        <v>3.0</v>
      </c>
      <c r="B4380" s="1" t="s">
        <v>4364</v>
      </c>
      <c r="C4380" t="str">
        <f>IFERROR(__xludf.DUMMYFUNCTION("GOOGLETRANSLATE(B4380, ""zh"", ""en"")"),"Non-cotton, thread a little more than 187cm, 87kg, xl appropriate")</f>
        <v>Non-cotton, thread a little more than 187cm, 87kg, xl appropriate</v>
      </c>
    </row>
    <row r="4381">
      <c r="A4381" s="1">
        <v>3.0</v>
      </c>
      <c r="B4381" s="1" t="s">
        <v>4365</v>
      </c>
      <c r="C4381" t="str">
        <f>IFERROR(__xludf.DUMMYFUNCTION("GOOGLETRANSLATE(B4381, ""zh"", ""en"")"),"Little bit like a general, women's shoes slightly smaller point. For pairs of insoles is very comfortable.")</f>
        <v>Little bit like a general, women's shoes slightly smaller point. For pairs of insoles is very comfortable.</v>
      </c>
    </row>
    <row r="4382">
      <c r="A4382" s="1">
        <v>1.0</v>
      </c>
      <c r="B4382" s="1" t="s">
        <v>4366</v>
      </c>
      <c r="C4382" t="str">
        <f>IFERROR(__xludf.DUMMYFUNCTION("GOOGLETRANSLATE(B4382, ""zh"", ""en"")"),"Use a lint-free start, although this is from the United Kingdom by mail, but the quality is really secondary, a big difference with the original, a brush, toothbrush case of hair loss, the second use, Mao began to defect, deformation , with a small worksh"&amp;"op not like, feel good fake products")</f>
        <v>Use a lint-free start, although this is from the United Kingdom by mail, but the quality is really secondary, a big difference with the original, a brush, toothbrush case of hair loss, the second use, Mao began to defect, deformation , with a small workshop not like, feel good fake products</v>
      </c>
    </row>
    <row r="4383">
      <c r="A4383" s="1">
        <v>1.0</v>
      </c>
      <c r="B4383" s="1" t="s">
        <v>4367</v>
      </c>
      <c r="C4383" t="str">
        <f>IFERROR(__xludf.DUMMYFUNCTION("GOOGLETRANSLATE(B4383, ""zh"", ""en"")"),"Especially the right foot than left foot wide and 1 foot of soil, such as sample. The difference in width of about 2 two have more than 0.5cm, more to the right width, poor quality control.")</f>
        <v>Especially the right foot than left foot wide and 1 foot of soil, such as sample. The difference in width of about 2 two have more than 0.5cm, more to the right width, poor quality control.</v>
      </c>
    </row>
    <row r="4384">
      <c r="A4384" s="1">
        <v>1.0</v>
      </c>
      <c r="B4384" s="1" t="s">
        <v>4368</v>
      </c>
      <c r="C4384" t="str">
        <f>IFERROR(__xludf.DUMMYFUNCTION("GOOGLETRANSLATE(B4384, ""zh"", ""en"")"),"Defective products shoe size is accurate, but with lots of black-scratches, stains and a dirty black, all can not afford to clean up, which if over the counter which is not anyone want. Overseas purchase return inconvenience, you can send such defective p"&amp;"roducts fool people? Very disappointed")</f>
        <v>Defective products shoe size is accurate, but with lots of black-scratches, stains and a dirty black, all can not afford to clean up, which if over the counter which is not anyone want. Overseas purchase return inconvenience, you can send such defective products fool people? Very disappointed</v>
      </c>
    </row>
    <row r="4385">
      <c r="A4385" s="1">
        <v>4.0</v>
      </c>
      <c r="B4385" s="1" t="s">
        <v>4369</v>
      </c>
      <c r="C4385" t="str">
        <f>IFERROR(__xludf.DUMMYFUNCTION("GOOGLETRANSLATE(B4385, ""zh"", ""en"")"),"Generally material is generally a little too large ~ ~")</f>
        <v>Generally material is generally a little too large ~ ~</v>
      </c>
    </row>
    <row r="4386">
      <c r="A4386" s="1">
        <v>4.0</v>
      </c>
      <c r="B4386" s="1" t="s">
        <v>4370</v>
      </c>
      <c r="C4386" t="str">
        <f>IFERROR(__xludf.DUMMYFUNCTION("GOOGLETRANSLATE(B4386, ""zh"", ""en"")"),"The only drawback is that drilling velvet fit, warm, lightweight, only drawback is that drill down")</f>
        <v>The only drawback is that drilling velvet fit, warm, lightweight, only drawback is that drill down</v>
      </c>
    </row>
    <row r="4387">
      <c r="A4387" s="1">
        <v>4.0</v>
      </c>
      <c r="B4387" s="1" t="s">
        <v>4371</v>
      </c>
      <c r="C4387" t="str">
        <f>IFERROR(__xludf.DUMMYFUNCTION("GOOGLETRANSLATE(B4387, ""zh"", ""en"")"),"Belt good. Belt a little short, should buy 36 yards on the right.")</f>
        <v>Belt good. Belt a little short, should buy 36 yards on the right.</v>
      </c>
    </row>
    <row r="4388">
      <c r="A4388" s="1">
        <v>4.0</v>
      </c>
      <c r="B4388" s="1" t="s">
        <v>4372</v>
      </c>
      <c r="C4388" t="str">
        <f>IFERROR(__xludf.DUMMYFUNCTION("GOOGLETRANSLATE(B4388, ""zh"", ""en"")"),"Delivery is a bit slow, but the goods received appears to be original, not to the inspection of delivery a bit slow, but the goods received appears to be original, not to the inspection")</f>
        <v>Delivery is a bit slow, but the goods received appears to be original, not to the inspection of delivery a bit slow, but the goods received appears to be original, not to the inspection</v>
      </c>
    </row>
    <row r="4389">
      <c r="A4389" s="1">
        <v>4.0</v>
      </c>
      <c r="B4389" s="1" t="s">
        <v>4373</v>
      </c>
      <c r="C4389" t="str">
        <f>IFERROR(__xludf.DUMMYFUNCTION("GOOGLETRANSLATE(B4389, ""zh"", ""en"")"),"160,96 pounds of good quality, good quality, but should buy s number")</f>
        <v>160,96 pounds of good quality, good quality, but should buy s number</v>
      </c>
    </row>
    <row r="4390">
      <c r="A4390" s="1">
        <v>5.0</v>
      </c>
      <c r="B4390" s="1" t="s">
        <v>4374</v>
      </c>
      <c r="C4390" t="str">
        <f>IFERROR(__xludf.DUMMYFUNCTION("GOOGLETRANSLATE(B4390, ""zh"", ""en"")"),"Really nice pants pants buy will depend on the evaluation, I usually wear w36l32, read reviews decisive w34l32, just good, pants are very comfortable, very like, want to come back to buy a blue strip positive, but unfortunately out of stock.")</f>
        <v>Really nice pants pants buy will depend on the evaluation, I usually wear w36l32, read reviews decisive w34l32, just good, pants are very comfortable, very like, want to come back to buy a blue strip positive, but unfortunately out of stock.</v>
      </c>
    </row>
    <row r="4391">
      <c r="A4391" s="1">
        <v>5.0</v>
      </c>
      <c r="B4391" s="1" t="s">
        <v>4375</v>
      </c>
      <c r="C4391" t="str">
        <f>IFERROR(__xludf.DUMMYFUNCTION("GOOGLETRANSLATE(B4391, ""zh"", ""en"")"),"Wearing a long cool watch, wild clothes.")</f>
        <v>Wearing a long cool watch, wild clothes.</v>
      </c>
    </row>
    <row r="4392">
      <c r="A4392" s="1">
        <v>5.0</v>
      </c>
      <c r="B4392" s="1" t="s">
        <v>4376</v>
      </c>
      <c r="C4392" t="str">
        <f>IFERROR(__xludf.DUMMYFUNCTION("GOOGLETRANSLATE(B4392, ""zh"", ""en"")"),"When the production price spike to buy, Germany, price on the very edge. This nice coloring pens, paint very comfortable. Is water soluble.")</f>
        <v>When the production price spike to buy, Germany, price on the very edge. This nice coloring pens, paint very comfortable. Is water soluble.</v>
      </c>
    </row>
    <row r="4393">
      <c r="A4393" s="1">
        <v>5.0</v>
      </c>
      <c r="B4393" s="1" t="s">
        <v>4377</v>
      </c>
      <c r="C4393" t="str">
        <f>IFERROR(__xludf.DUMMYFUNCTION("GOOGLETRANSLATE(B4393, ""zh"", ""en"")"),"Overseas purchase is very convenient! Amazon purchased overseas really convenient, but also scouring the low prices of good things, but also security, the high cost.")</f>
        <v>Overseas purchase is very convenient! Amazon purchased overseas really convenient, but also scouring the low prices of good things, but also security, the high cost.</v>
      </c>
    </row>
    <row r="4394">
      <c r="A4394" s="1">
        <v>5.0</v>
      </c>
      <c r="B4394" s="1" t="s">
        <v>4378</v>
      </c>
      <c r="C4394" t="str">
        <f>IFERROR(__xludf.DUMMYFUNCTION("GOOGLETRANSLATE(B4394, ""zh"", ""en"")"),"Delivery speed, price for orders of force Saturday, arrived on Thursday, a total of five days, very fast! Shoes good quality, should be genuine brand new, but the old section of the box is not the new black box. Great wear Nike foot 46 yards, slightly lar"&amp;"ger than the 45 point substantially fit shoe really relaxed, comfortable breathable insole slightly slippery. To force the price, cheaper than half price discount than the store!")</f>
        <v>Delivery speed, price for orders of force Saturday, arrived on Thursday, a total of five days, very fast! Shoes good quality, should be genuine brand new, but the old section of the box is not the new black box. Great wear Nike foot 46 yards, slightly larger than the 45 point substantially fit shoe really relaxed, comfortable breathable insole slightly slippery. To force the price, cheaper than half price discount than the store!</v>
      </c>
    </row>
    <row r="4395">
      <c r="A4395" s="1">
        <v>5.0</v>
      </c>
      <c r="B4395" s="1" t="s">
        <v>4379</v>
      </c>
      <c r="C4395" t="str">
        <f>IFERROR(__xludf.DUMMYFUNCTION("GOOGLETRANSLATE(B4395, ""zh"", ""en"")"),"Summer is breathable chest is pressed, the function does not gather, but cool, very comfortable shoulder strap, will not fall, bought a few pieces of summer wear.")</f>
        <v>Summer is breathable chest is pressed, the function does not gather, but cool, very comfortable shoulder strap, will not fall, bought a few pieces of summer wear.</v>
      </c>
    </row>
    <row r="4396">
      <c r="A4396" s="1">
        <v>5.0</v>
      </c>
      <c r="B4396" s="1" t="s">
        <v>4380</v>
      </c>
      <c r="C4396" t="str">
        <f>IFERROR(__xludf.DUMMYFUNCTION("GOOGLETRANSLATE(B4396, ""zh"", ""en"")"),"e5 friend of speakers, the overall sound is quite satisfactory.")</f>
        <v>e5 friend of speakers, the overall sound is quite satisfactory.</v>
      </c>
    </row>
    <row r="4397">
      <c r="A4397" s="1">
        <v>5.0</v>
      </c>
      <c r="B4397" s="1" t="s">
        <v>4381</v>
      </c>
      <c r="C4397" t="str">
        <f>IFERROR(__xludf.DUMMYFUNCTION("GOOGLETRANSLATE(B4397, ""zh"", ""en"")"),"It is worth buying at this price is very good, but also a great reader also worth buying.")</f>
        <v>It is worth buying at this price is very good, but also a great reader also worth buying.</v>
      </c>
    </row>
    <row r="4398">
      <c r="A4398" s="1">
        <v>5.0</v>
      </c>
      <c r="B4398" s="1" t="s">
        <v>4382</v>
      </c>
      <c r="C4398" t="str">
        <f>IFERROR(__xludf.DUMMYFUNCTION("GOOGLETRANSLATE(B4398, ""zh"", ""en"")"),"A lot of people say good things useless, I bought, bought after I bought it feel a lot of things! Not bad this money to change a bad habit,")</f>
        <v>A lot of people say good things useless, I bought, bought after I bought it feel a lot of things! Not bad this money to change a bad habit,</v>
      </c>
    </row>
    <row r="4399">
      <c r="A4399" s="1">
        <v>5.0</v>
      </c>
      <c r="B4399" s="1" t="s">
        <v>4383</v>
      </c>
      <c r="C4399" t="str">
        <f>IFERROR(__xludf.DUMMYFUNCTION("GOOGLETRANSLATE(B4399, ""zh"", ""en"")"),"Shoes men wear the best option W version shoes men wear. Shoes are very suitable, 256 feet long, to buy 9.5W, can wear thick socks toe activity, very good. Color than the picture a little bit shallow, relatively heavy. Overall very good, rain and snow mus"&amp;"t have! Price is also very satisfied. But that is a little thin laces I'm going to set myself with anything else. Or five stars, like the Amazon!")</f>
        <v>Shoes men wear the best option W version shoes men wear. Shoes are very suitable, 256 feet long, to buy 9.5W, can wear thick socks toe activity, very good. Color than the picture a little bit shallow, relatively heavy. Overall very good, rain and snow must have! Price is also very satisfied. But that is a little thin laces I'm going to set myself with anything else. Or five stars, like the Amazon!</v>
      </c>
    </row>
    <row r="4400">
      <c r="A4400" s="1">
        <v>5.0</v>
      </c>
      <c r="B4400" s="1" t="s">
        <v>4384</v>
      </c>
      <c r="C4400" t="str">
        <f>IFERROR(__xludf.DUMMYFUNCTION("GOOGLETRANSLATE(B4400, ""zh"", ""en"")"),"Okay! ! ! Okay! ! !")</f>
        <v>Okay! ! ! Okay! ! !</v>
      </c>
    </row>
    <row r="4401">
      <c r="A4401" s="1">
        <v>5.0</v>
      </c>
      <c r="B4401" s="1" t="s">
        <v>4385</v>
      </c>
      <c r="C4401" t="str">
        <f>IFERROR(__xludf.DUMMYFUNCTION("GOOGLETRANSLATE(B4401, ""zh"", ""en"")"),"Under Armor 171,75, medium appropriate. Very warm clothes.")</f>
        <v>Under Armor 171,75, medium appropriate. Very warm clothes.</v>
      </c>
    </row>
    <row r="4402">
      <c r="A4402" s="1">
        <v>5.0</v>
      </c>
      <c r="B4402" s="1" t="s">
        <v>4386</v>
      </c>
      <c r="C4402" t="str">
        <f>IFERROR(__xludf.DUMMYFUNCTION("GOOGLETRANSLATE(B4402, ""zh"", ""en"")"),"Insulation pot insulation properties feel good when just got a great look and color pages illustrating the difference, in other words satisfaction page color map! Later, through the use, I feel more and more good-looking, including styles. Really think th"&amp;"e test of the appearance of colors and styles to withstand time! Also insulation pot good insulation properties, to the freshly boiled water over the past six hours, drinking it is quite hot mouth!")</f>
        <v>Insulation pot insulation properties feel good when just got a great look and color pages illustrating the difference, in other words satisfaction page color map! Later, through the use, I feel more and more good-looking, including styles. Really think the test of the appearance of colors and styles to withstand time! Also insulation pot good insulation properties, to the freshly boiled water over the past six hours, drinking it is quite hot mouth!</v>
      </c>
    </row>
    <row r="4403">
      <c r="A4403" s="1">
        <v>5.0</v>
      </c>
      <c r="B4403" s="1" t="s">
        <v>4387</v>
      </c>
      <c r="C4403" t="str">
        <f>IFERROR(__xludf.DUMMYFUNCTION("GOOGLETRANSLATE(B4403, ""zh"", ""en"")"),"Ok really good, children need both hands grip")</f>
        <v>Ok really good, children need both hands grip</v>
      </c>
    </row>
    <row r="4404">
      <c r="A4404" s="1">
        <v>5.0</v>
      </c>
      <c r="B4404" s="1" t="s">
        <v>4388</v>
      </c>
      <c r="C4404" t="str">
        <f>IFERROR(__xludf.DUMMYFUNCTION("GOOGLETRANSLATE(B4404, ""zh"", ""en"")"),"Still be a little thin cup wall, insulation requirements in think most appropriate summer")</f>
        <v>Still be a little thin cup wall, insulation requirements in think most appropriate summer</v>
      </c>
    </row>
    <row r="4405">
      <c r="A4405" s="1">
        <v>5.0</v>
      </c>
      <c r="B4405" s="1" t="s">
        <v>4389</v>
      </c>
      <c r="C4405" t="str">
        <f>IFERROR(__xludf.DUMMYFUNCTION("GOOGLETRANSLATE(B4405, ""zh"", ""en"")"),"A word good thing to have a very easy to use! G. . d")</f>
        <v>A word good thing to have a very easy to use! G. . d</v>
      </c>
    </row>
    <row r="4406">
      <c r="A4406" s="1">
        <v>5.0</v>
      </c>
      <c r="B4406" s="1" t="s">
        <v>4390</v>
      </c>
      <c r="C4406" t="str">
        <f>IFERROR(__xludf.DUMMYFUNCTION("GOOGLETRANSLATE(B4406, ""zh"", ""en"")"),"Domestic cotton has been comfortable with the times, the first time Japan aunt towel, this touch softer, comfortable")</f>
        <v>Domestic cotton has been comfortable with the times, the first time Japan aunt towel, this touch softer, comfortable</v>
      </c>
    </row>
    <row r="4407">
      <c r="A4407" s="1">
        <v>5.0</v>
      </c>
      <c r="B4407" s="1" t="s">
        <v>4391</v>
      </c>
      <c r="C4407" t="str">
        <f>IFERROR(__xludf.DUMMYFUNCTION("GOOGLETRANSLATE(B4407, ""zh"", ""en"")"),"Very good product like this product. Much better than 18cm. It is so heavy. The pole can afford to live it?")</f>
        <v>Very good product like this product. Much better than 18cm. It is so heavy. The pole can afford to live it?</v>
      </c>
    </row>
    <row r="4408">
      <c r="A4408" s="1">
        <v>5.0</v>
      </c>
      <c r="B4408" s="1" t="s">
        <v>4392</v>
      </c>
      <c r="C4408" t="str">
        <f>IFERROR(__xludf.DUMMYFUNCTION("GOOGLETRANSLATE(B4408, ""zh"", ""en"")"),"Very comfortable and cozy, very high cost.")</f>
        <v>Very comfortable and cozy, very high cost.</v>
      </c>
    </row>
    <row r="4409">
      <c r="A4409" s="1">
        <v>5.0</v>
      </c>
      <c r="B4409" s="1" t="s">
        <v>4393</v>
      </c>
      <c r="C4409" t="str">
        <f>IFERROR(__xludf.DUMMYFUNCTION("GOOGLETRANSLATE(B4409, ""zh"", ""en"")"),"Shoes models like the color is very positive")</f>
        <v>Shoes models like the color is very positive</v>
      </c>
    </row>
    <row r="4410">
      <c r="A4410" s="1">
        <v>5.0</v>
      </c>
      <c r="B4410" s="1" t="s">
        <v>4394</v>
      </c>
      <c r="C4410" t="str">
        <f>IFERROR(__xludf.DUMMYFUNCTION("GOOGLETRANSLATE(B4410, ""zh"", ""en"")"),"Electricity needs improvement. I got a little older baby can consider this lazy, want to buy before their casual sweep, then wipe dry, then wet wipe. After using I think it was equipped with a cleaning robot or handheld Dyson. Because this guy really is a"&amp;" question of power, and then wipe dry wet rub, I have this little house broken middle one charge to complete the task. Spent two days, the line remains a mystery, it feels quite sofa and love drill under the table. Generally speaking recommend it. Oversea"&amp;"s purchase warranty and return has been a big problem, we hope that Amazon will seriously deal with overseas purchase sale. Let us enjoy the country and supply the same warranty and free shipping for return.")</f>
        <v>Electricity needs improvement. I got a little older baby can consider this lazy, want to buy before their casual sweep, then wipe dry, then wet wipe. After using I think it was equipped with a cleaning robot or handheld Dyson. Because this guy really is a question of power, and then wipe dry wet rub, I have this little house broken middle one charge to complete the task. Spent two days, the line remains a mystery, it feels quite sofa and love drill under the table. Generally speaking recommend it. Overseas purchase warranty and return has been a big problem, we hope that Amazon will seriously deal with overseas purchase sale. Let us enjoy the country and supply the same warranty and free shipping for return.</v>
      </c>
    </row>
    <row r="4411">
      <c r="A4411" s="1">
        <v>5.0</v>
      </c>
      <c r="B4411" s="1" t="s">
        <v>4395</v>
      </c>
      <c r="C4411" t="str">
        <f>IFERROR(__xludf.DUMMYFUNCTION("GOOGLETRANSLATE(B4411, ""zh"", ""en"")"),"Satisfied with good, very good quality, the right size, you can wear in April")</f>
        <v>Satisfied with good, very good quality, the right size, you can wear in April</v>
      </c>
    </row>
    <row r="4412">
      <c r="A4412" s="1">
        <v>2.0</v>
      </c>
      <c r="B4412" s="1" t="s">
        <v>4396</v>
      </c>
      <c r="C4412" t="str">
        <f>IFERROR(__xludf.DUMMYFUNCTION("GOOGLETRANSLATE(B4412, ""zh"", ""en"")"),"Quality is not wearing a few months, on top of a small toe on worn. This situation appears for the first time wearing shoes.")</f>
        <v>Quality is not wearing a few months, on top of a small toe on worn. This situation appears for the first time wearing shoes.</v>
      </c>
    </row>
    <row r="4413">
      <c r="A4413" s="1">
        <v>3.0</v>
      </c>
      <c r="B4413" s="1" t="s">
        <v>4397</v>
      </c>
      <c r="C4413" t="str">
        <f>IFERROR(__xludf.DUMMYFUNCTION("GOOGLETRANSLATE(B4413, ""zh"", ""en"")"),"Unstable appearance was nice, but summer is not very stable, must have been with a small fan blowing, or you'll die.")</f>
        <v>Unstable appearance was nice, but summer is not very stable, must have been with a small fan blowing, or you'll die.</v>
      </c>
    </row>
    <row r="4414">
      <c r="A4414" s="1">
        <v>3.0</v>
      </c>
      <c r="B4414" s="1" t="s">
        <v>4398</v>
      </c>
      <c r="C4414" t="str">
        <f>IFERROR(__xludf.DUMMYFUNCTION("GOOGLETRANSLATE(B4414, ""zh"", ""en"")"),"Use good, 750pro 19 available by the end of the receipt of 17 years of production, the cup body is very dirty, there are obvious scratches on the lid, and made me once suspected to be false or used, but also good to use")</f>
        <v>Use good, 750pro 19 available by the end of the receipt of 17 years of production, the cup body is very dirty, there are obvious scratches on the lid, and made me once suspected to be false or used, but also good to use</v>
      </c>
    </row>
    <row r="4415">
      <c r="A4415" s="1">
        <v>1.0</v>
      </c>
      <c r="B4415" s="1" t="s">
        <v>4399</v>
      </c>
      <c r="C4415" t="str">
        <f>IFERROR(__xludf.DUMMYFUNCTION("GOOGLETRANSLATE(B4415, ""zh"", ""en"")"),"too big. Serious discrepancies with the size of the table, buy back overseas and cumbersome, postage themselves only 2 dollars a hand back and forth, not too much Tucao point too. Serious discrepancies with the size of the table, buy back overseas and cum"&amp;"bersome, postage themselves only 2 dollars a hand back and forth, not too much Tucao point")</f>
        <v>too big. Serious discrepancies with the size of the table, buy back overseas and cumbersome, postage themselves only 2 dollars a hand back and forth, not too much Tucao point too. Serious discrepancies with the size of the table, buy back overseas and cumbersome, postage themselves only 2 dollars a hand back and forth, not too much Tucao point</v>
      </c>
    </row>
    <row r="4416">
      <c r="A4416" s="1">
        <v>1.0</v>
      </c>
      <c r="B4416" s="1" t="s">
        <v>4400</v>
      </c>
      <c r="C4416" t="str">
        <f>IFERROR(__xludf.DUMMYFUNCTION("GOOGLETRANSLATE(B4416, ""zh"", ""en"")"),"Extremely disappointed first before read a lot of evaluation before buying this U disk, and bought before pny, and see comments that have write speeds of 60-70, more likely to trust this brand. However, waiting for nearly two weeks, the result is very dis"&amp;"appointing. U disk write speed 3.0 of amazing slow, and extremely unstable fluctuate back and forth between 12mb-41mb, the same 3.0 Toshiba exⅡ write a stable rate of 100-110mb. Ugh. . . The latest evaluation, 17g writing to 13 minutes, 15 to 30 rate fluc"&amp;"tuations. 50 did not 😭")</f>
        <v>Extremely disappointed first before read a lot of evaluation before buying this U disk, and bought before pny, and see comments that have write speeds of 60-70, more likely to trust this brand. However, waiting for nearly two weeks, the result is very disappointing. U disk write speed 3.0 of amazing slow, and extremely unstable fluctuate back and forth between 12mb-41mb, the same 3.0 Toshiba exⅡ write a stable rate of 100-110mb. Ugh. . . The latest evaluation, 17g writing to 13 minutes, 15 to 30 rate fluctuations. 50 did not 😭</v>
      </c>
    </row>
    <row r="4417">
      <c r="A4417" s="1">
        <v>1.0</v>
      </c>
      <c r="B4417" s="1" t="s">
        <v>4401</v>
      </c>
      <c r="C4417" t="str">
        <f>IFERROR(__xludf.DUMMYFUNCTION("GOOGLETRANSLATE(B4417, ""zh"", ""en"")"),"Too easily broken, do not buy, not warranty! ! It took three months and it broke! ! Customer service said the overseas purchase of goods can not be warranty. Previously bought a wired lid upside down when that tank, do not bother with the small, the resul"&amp;"ts put a half on the bad. The only 3 months and bad, black Bi Jie life! ! ! Do not buy! ! ! ! If I absolutely hit play 0 0 Star Star")</f>
        <v>Too easily broken, do not buy, not warranty! ! It took three months and it broke! ! Customer service said the overseas purchase of goods can not be warranty. Previously bought a wired lid upside down when that tank, do not bother with the small, the results put a half on the bad. The only 3 months and bad, black Bi Jie life! ! ! Do not buy! ! ! ! If I absolutely hit play 0 0 Star Star</v>
      </c>
    </row>
    <row r="4418">
      <c r="A4418" s="1">
        <v>4.0</v>
      </c>
      <c r="B4418" s="1" t="s">
        <v>4402</v>
      </c>
      <c r="C4418" t="str">
        <f>IFERROR(__xludf.DUMMYFUNCTION("GOOGLETRANSLATE(B4418, ""zh"", ""en"")"),"Bra bra no rims very comfortable to wear, but the bust is too large to wear a little loose.")</f>
        <v>Bra bra no rims very comfortable to wear, but the bust is too large to wear a little loose.</v>
      </c>
    </row>
    <row r="4419">
      <c r="A4419" s="1">
        <v>4.0</v>
      </c>
      <c r="B4419" s="1" t="s">
        <v>4403</v>
      </c>
      <c r="C4419" t="str">
        <f>IFERROR(__xludf.DUMMYFUNCTION("GOOGLETRANSLATE(B4419, ""zh"", ""en"")"),"Mug cup can be very good use, dishes in general, there is no way fixed.")</f>
        <v>Mug cup can be very good use, dishes in general, there is no way fixed.</v>
      </c>
    </row>
    <row r="4420">
      <c r="A4420" s="1">
        <v>4.0</v>
      </c>
      <c r="B4420" s="1" t="s">
        <v>4404</v>
      </c>
      <c r="C4420" t="str">
        <f>IFERROR(__xludf.DUMMYFUNCTION("GOOGLETRANSLATE(B4420, ""zh"", ""en"")"),"It can also do not know how to put up to buy a map today, to today, this is not very good logistics fast write, loose white pen has been flying at, I do not know if it is a common problem with small hands, the pen is very thick, very difficult to hold and"&amp;", girls do not recommend to buy F sharp thick gel pen to write than to write a 2000 word about 0.5, comes with about 1/3 of the ink tube, do not use this Zi! I wrote a report on thinking that I could not climb a lattice tired! Get packing plastic box, in "&amp;"fact, I prefer a bag that a. A ah, I do not know what to say, so be it")</f>
        <v>It can also do not know how to put up to buy a map today, to today, this is not very good logistics fast write, loose white pen has been flying at, I do not know if it is a common problem with small hands, the pen is very thick, very difficult to hold and, girls do not recommend to buy F sharp thick gel pen to write than to write a 2000 word about 0.5, comes with about 1/3 of the ink tube, do not use this Zi! I wrote a report on thinking that I could not climb a lattice tired! Get packing plastic box, in fact, I prefer a bag that a. A ah, I do not know what to say, so be it</v>
      </c>
    </row>
    <row r="4421">
      <c r="A4421" s="1">
        <v>4.0</v>
      </c>
      <c r="B4421" s="1" t="s">
        <v>4405</v>
      </c>
      <c r="C4421" t="str">
        <f>IFERROR(__xludf.DUMMYFUNCTION("GOOGLETRANSLATE(B4421, ""zh"", ""en"")"),"Yes, quite accurate, the watch band is too good, quite accurate, the watch band is too long")</f>
        <v>Yes, quite accurate, the watch band is too good, quite accurate, the watch band is too long</v>
      </c>
    </row>
    <row r="4422">
      <c r="A4422" s="1">
        <v>5.0</v>
      </c>
      <c r="B4422" s="1" t="s">
        <v>4406</v>
      </c>
      <c r="C4422" t="str">
        <f>IFERROR(__xludf.DUMMYFUNCTION("GOOGLETRANSLATE(B4422, ""zh"", ""en"")"),"Very good feeling in exquisite packaging does not seem to see the Apple store, but this thing as long as the good quality and have nothing to say, more refined appearance, running sound is also very small, no hot phenomenon, the overall good")</f>
        <v>Very good feeling in exquisite packaging does not seem to see the Apple store, but this thing as long as the good quality and have nothing to say, more refined appearance, running sound is also very small, no hot phenomenon, the overall good</v>
      </c>
    </row>
    <row r="4423">
      <c r="A4423" s="1">
        <v>5.0</v>
      </c>
      <c r="B4423" s="1" t="s">
        <v>4407</v>
      </c>
      <c r="C4423" t="str">
        <f>IFERROR(__xludf.DUMMYFUNCTION("GOOGLETRANSLATE(B4423, ""zh"", ""en"")"),"Very warm very warm, just pants, shirt slightly larger than the One")</f>
        <v>Very warm very warm, just pants, shirt slightly larger than the One</v>
      </c>
    </row>
    <row r="4424">
      <c r="A4424" s="1">
        <v>5.0</v>
      </c>
      <c r="B4424" s="1" t="s">
        <v>4408</v>
      </c>
      <c r="C4424" t="str">
        <f>IFERROR(__xludf.DUMMYFUNCTION("GOOGLETRANSLATE(B4424, ""zh"", ""en"")"),"Super satisfaction favorite Amazon's count words clearly said that after ten days in advance to the 18th! Shoe size standard usually 37.5 38 shoes running shoes usually buy most of the code will be 38.5, rhubarb season wear boots US7 UK5 now very good, pe"&amp;"rfect!")</f>
        <v>Super satisfaction favorite Amazon's count words clearly said that after ten days in advance to the 18th! Shoe size standard usually 37.5 38 shoes running shoes usually buy most of the code will be 38.5, rhubarb season wear boots US7 UK5 now very good, perfect!</v>
      </c>
    </row>
    <row r="4425">
      <c r="A4425" s="1">
        <v>5.0</v>
      </c>
      <c r="B4425" s="1" t="s">
        <v>4409</v>
      </c>
      <c r="C4425" t="str">
        <f>IFERROR(__xludf.DUMMYFUNCTION("GOOGLETRANSLATE(B4425, ""zh"", ""en"")"),"Pretty good just fine, looks good quality.")</f>
        <v>Pretty good just fine, looks good quality.</v>
      </c>
    </row>
    <row r="4426">
      <c r="A4426" s="1">
        <v>5.0</v>
      </c>
      <c r="B4426" s="1" t="s">
        <v>4410</v>
      </c>
      <c r="C4426" t="str">
        <f>IFERROR(__xludf.DUMMYFUNCTION("GOOGLETRANSLATE(B4426, ""zh"", ""en"")"),"Good quality is very good, the version good and then freshman code is also no problem, height 1.74 weight 160,")</f>
        <v>Good quality is very good, the version good and then freshman code is also no problem, height 1.74 weight 160,</v>
      </c>
    </row>
    <row r="4427">
      <c r="A4427" s="1">
        <v>5.0</v>
      </c>
      <c r="B4427" s="1" t="s">
        <v>4411</v>
      </c>
      <c r="C4427" t="str">
        <f>IFERROR(__xludf.DUMMYFUNCTION("GOOGLETRANSLATE(B4427, ""zh"", ""en"")"),"Ok this cup really Niubi ah, this cup is really beyond imagination")</f>
        <v>Ok this cup really Niubi ah, this cup is really beyond imagination</v>
      </c>
    </row>
    <row r="4428">
      <c r="A4428" s="1">
        <v>5.0</v>
      </c>
      <c r="B4428" s="1" t="s">
        <v>4412</v>
      </c>
      <c r="C4428" t="str">
        <f>IFERROR(__xludf.DUMMYFUNCTION("GOOGLETRANSLATE(B4428, ""zh"", ""en"")"),"This year will often wear a shoe is very good, relatively quite, wild section")</f>
        <v>This year will often wear a shoe is very good, relatively quite, wild section</v>
      </c>
    </row>
    <row r="4429">
      <c r="A4429" s="1">
        <v>5.0</v>
      </c>
      <c r="B4429" s="1" t="s">
        <v>4413</v>
      </c>
      <c r="C4429" t="str">
        <f>IFERROR(__xludf.DUMMYFUNCTION("GOOGLETRANSLATE(B4429, ""zh"", ""en"")"),"Satisfying shopping fit, fabric very satisfied.")</f>
        <v>Satisfying shopping fit, fabric very satisfied.</v>
      </c>
    </row>
    <row r="4430">
      <c r="A4430" s="1">
        <v>5.0</v>
      </c>
      <c r="B4430" s="1" t="s">
        <v>4414</v>
      </c>
      <c r="C4430" t="str">
        <f>IFERROR(__xludf.DUMMYFUNCTION("GOOGLETRANSLATE(B4430, ""zh"", ""en"")"),"Buy freshman yards just satisfaction, thick and comfortable")</f>
        <v>Buy freshman yards just satisfaction, thick and comfortable</v>
      </c>
    </row>
    <row r="4431">
      <c r="A4431" s="1">
        <v>5.0</v>
      </c>
      <c r="B4431" s="1" t="s">
        <v>4415</v>
      </c>
      <c r="C4431" t="str">
        <f>IFERROR(__xludf.DUMMYFUNCTION("GOOGLETRANSLATE(B4431, ""zh"", ""en"")"),"Good size appropriate to wear very comfortable. There are also feeling the effect, about two months, a small hip 3 cm")</f>
        <v>Good size appropriate to wear very comfortable. There are also feeling the effect, about two months, a small hip 3 cm</v>
      </c>
    </row>
    <row r="4432">
      <c r="A4432" s="1">
        <v>5.0</v>
      </c>
      <c r="B4432" s="1" t="s">
        <v>4416</v>
      </c>
      <c r="C4432" t="str">
        <f>IFERROR(__xludf.DUMMYFUNCTION("GOOGLETRANSLATE(B4432, ""zh"", ""en"")"),"Code number is too small okay, shoes too narrow")</f>
        <v>Code number is too small okay, shoes too narrow</v>
      </c>
    </row>
    <row r="4433">
      <c r="A4433" s="1">
        <v>5.0</v>
      </c>
      <c r="B4433" s="1" t="s">
        <v>4417</v>
      </c>
      <c r="C4433" t="str">
        <f>IFERROR(__xludf.DUMMYFUNCTION("GOOGLETRANSLATE(B4433, ""zh"", ""en"")"),"Good good design inside the liner may wash out alone or in hot meals super easy")</f>
        <v>Good good design inside the liner may wash out alone or in hot meals super easy</v>
      </c>
    </row>
    <row r="4434">
      <c r="A4434" s="1">
        <v>5.0</v>
      </c>
      <c r="B4434" s="1" t="s">
        <v>4418</v>
      </c>
      <c r="C4434" t="str">
        <f>IFERROR(__xludf.DUMMYFUNCTION("GOOGLETRANSLATE(B4434, ""zh"", ""en"")"),"Boil water quickly, boil water quickly jug plastic products, you can specify burn 60 degrees to 100 degrees, twenty minutes insulation function somewhat tasteless, if not in contact with the plastic jug is perfect.")</f>
        <v>Boil water quickly, boil water quickly jug plastic products, you can specify burn 60 degrees to 100 degrees, twenty minutes insulation function somewhat tasteless, if not in contact with the plastic jug is perfect.</v>
      </c>
    </row>
    <row r="4435">
      <c r="A4435" s="1">
        <v>5.0</v>
      </c>
      <c r="B4435" s="1" t="s">
        <v>4419</v>
      </c>
      <c r="C4435" t="str">
        <f>IFERROR(__xludf.DUMMYFUNCTION("GOOGLETRANSLATE(B4435, ""zh"", ""en"")"),"Clothes is very good satisfaction clothes of good quality, soft touch to get started cowboy elastic; logistics fast. Height 163 52kg S code just right")</f>
        <v>Clothes is very good satisfaction clothes of good quality, soft touch to get started cowboy elastic; logistics fast. Height 163 52kg S code just right</v>
      </c>
    </row>
    <row r="4436">
      <c r="A4436" s="1">
        <v>5.0</v>
      </c>
      <c r="B4436" s="1" t="s">
        <v>4420</v>
      </c>
      <c r="C4436" t="str">
        <f>IFERROR(__xludf.DUMMYFUNCTION("GOOGLETRANSLATE(B4436, ""zh"", ""en"")"),"Size chart is father of the pit, completely not allowed to 177CM 75KG wear M is loose, looking to buy a xl size chart")</f>
        <v>Size chart is father of the pit, completely not allowed to 177CM 75KG wear M is loose, looking to buy a xl size chart</v>
      </c>
    </row>
    <row r="4437">
      <c r="A4437" s="1">
        <v>5.0</v>
      </c>
      <c r="B4437" s="1" t="s">
        <v>4421</v>
      </c>
      <c r="C4437" t="str">
        <f>IFERROR(__xludf.DUMMYFUNCTION("GOOGLETRANSLATE(B4437, ""zh"", ""en"")"),"Or a glass of good! How can what has been used before, but over time there is the taste, glass or good! Not expensive!")</f>
        <v>Or a glass of good! How can what has been used before, but over time there is the taste, glass or good! Not expensive!</v>
      </c>
    </row>
    <row r="4438">
      <c r="A4438" s="1">
        <v>5.0</v>
      </c>
      <c r="B4438" s="1" t="s">
        <v>4422</v>
      </c>
      <c r="C4438" t="str">
        <f>IFERROR(__xludf.DUMMYFUNCTION("GOOGLETRANSLATE(B4438, ""zh"", ""en"")"),"Attractive, silica gel may be practical spoon color with temperature, with good")</f>
        <v>Attractive, silica gel may be practical spoon color with temperature, with good</v>
      </c>
    </row>
    <row r="4439">
      <c r="A4439" s="1">
        <v>5.0</v>
      </c>
      <c r="B4439" s="1" t="s">
        <v>4423</v>
      </c>
      <c r="C4439" t="str">
        <f>IFERROR(__xludf.DUMMYFUNCTION("GOOGLETRANSLATE(B4439, ""zh"", ""en"")"),"Other low-cut looks good quality are pretty good also considered very cost-effective")</f>
        <v>Other low-cut looks good quality are pretty good also considered very cost-effective</v>
      </c>
    </row>
    <row r="4440">
      <c r="A4440" s="1">
        <v>5.0</v>
      </c>
      <c r="B4440" s="1" t="s">
        <v>4424</v>
      </c>
      <c r="C4440" t="str">
        <f>IFERROR(__xludf.DUMMYFUNCTION("GOOGLETRANSLATE(B4440, ""zh"", ""en"")"),"Why detoxification only Dukang good pen, there is a slight flaw does not affect the use, satisfaction ~")</f>
        <v>Why detoxification only Dukang good pen, there is a slight flaw does not affect the use, satisfaction ~</v>
      </c>
    </row>
    <row r="4441">
      <c r="A4441" s="1">
        <v>5.0</v>
      </c>
      <c r="B4441" s="1" t="s">
        <v>4425</v>
      </c>
      <c r="C4441" t="str">
        <f>IFERROR(__xludf.DUMMYFUNCTION("GOOGLETRANSLATE(B4441, ""zh"", ""en"")"),"Champion Men's Classic knitted printed T-shirt on the clothes very satisfied, fast logistics, packaging intact, just the right size, affordable!")</f>
        <v>Champion Men's Classic knitted printed T-shirt on the clothes very satisfied, fast logistics, packaging intact, just the right size, affordable!</v>
      </c>
    </row>
    <row r="4442">
      <c r="A4442" s="1">
        <v>5.0</v>
      </c>
      <c r="B4442" s="1" t="s">
        <v>4426</v>
      </c>
      <c r="C4442" t="str">
        <f>IFERROR(__xludf.DUMMYFUNCTION("GOOGLETRANSLATE(B4442, ""zh"", ""en"")"),"Taste good quality, comfortable fabric, embroidery logo is good taste, loose money")</f>
        <v>Taste good quality, comfortable fabric, embroidery logo is good taste, loose money</v>
      </c>
    </row>
    <row r="4443">
      <c r="A4443" s="1">
        <v>5.0</v>
      </c>
      <c r="B4443" s="1" t="s">
        <v>4427</v>
      </c>
      <c r="C4443" t="str">
        <f>IFERROR(__xludf.DUMMYFUNCTION("GOOGLETRANSLATE(B4443, ""zh"", ""en"")"),"Just a little thin is a bit thin, elastic cuffs place nothing. The other very good")</f>
        <v>Just a little thin is a bit thin, elastic cuffs place nothing. The other very good</v>
      </c>
    </row>
    <row r="4444">
      <c r="A4444" s="1">
        <v>2.0</v>
      </c>
      <c r="B4444" s="1" t="s">
        <v>4428</v>
      </c>
      <c r="C4444" t="str">
        <f>IFERROR(__xludf.DUMMYFUNCTION("GOOGLETRANSLATE(B4444, ""zh"", ""en"")"),"Fortunately, the quality is very good, not from the previous evaluation, I do not know how many wasted points, points can change money now know, they should look carefully evaluated, then I put these words to copy to go, both to earn points, but also save"&amp;" time, copy where they go, the most important thing is, do not seriously review, do not think how much worse word, sent directly to it, recommend it to everyone!")</f>
        <v>Fortunately, the quality is very good, not from the previous evaluation, I do not know how many wasted points, points can change money now know, they should look carefully evaluated, then I put these words to copy to go, both to earn points, but also save time, copy where they go, the most important thing is, do not seriously review, do not think how much worse word, sent directly to it, recommend it to everyone!</v>
      </c>
    </row>
    <row r="4445">
      <c r="A4445" s="1">
        <v>3.0</v>
      </c>
      <c r="B4445" s="1" t="s">
        <v>4429</v>
      </c>
      <c r="C4445" t="str">
        <f>IFERROR(__xludf.DUMMYFUNCTION("GOOGLETRANSLATE(B4445, ""zh"", ""en"")"),"Evaluation is a thin section, slightly larger a little, a little bar, cost is not high")</f>
        <v>Evaluation is a thin section, slightly larger a little, a little bar, cost is not high</v>
      </c>
    </row>
    <row r="4446">
      <c r="A4446" s="1">
        <v>3.0</v>
      </c>
      <c r="B4446" s="1" t="s">
        <v>4430</v>
      </c>
      <c r="C4446" t="str">
        <f>IFERROR(__xludf.DUMMYFUNCTION("GOOGLETRANSLATE(B4446, ""zh"", ""en"")"),"Made in India? Clarks desert boots should be Made in China or Made in Vietnam, why this pair of shoes is Made in India ??? are there any big brother can explain the?")</f>
        <v>Made in India? Clarks desert boots should be Made in China or Made in Vietnam, why this pair of shoes is Made in India ??? are there any big brother can explain the?</v>
      </c>
    </row>
    <row r="4447">
      <c r="A4447" s="1">
        <v>3.0</v>
      </c>
      <c r="B4447" s="1" t="s">
        <v>4431</v>
      </c>
      <c r="C4447" t="str">
        <f>IFERROR(__xludf.DUMMYFUNCTION("GOOGLETRANSLATE(B4447, ""zh"", ""en"")"),"Measured overseas buy things at hand, streaking across the sea and to, measured the insulation effect is not very satisfactory, I want to consult the innermost lid with rubber seals do? No lid")</f>
        <v>Measured overseas buy things at hand, streaking across the sea and to, measured the insulation effect is not very satisfactory, I want to consult the innermost lid with rubber seals do? No lid</v>
      </c>
    </row>
    <row r="4448">
      <c r="A4448" s="1">
        <v>1.0</v>
      </c>
      <c r="B4448" s="1" t="s">
        <v>4432</v>
      </c>
      <c r="C4448" t="str">
        <f>IFERROR(__xludf.DUMMYFUNCTION("GOOGLETRANSLATE(B4448, ""zh"", ""en"")"),"Shoe size too big brand sports shoes are usually 42 yards, the results of this shoe 42 yards for a whole number one. In addition, Slovakia is produced.")</f>
        <v>Shoe size too big brand sports shoes are usually 42 yards, the results of this shoe 42 yards for a whole number one. In addition, Slovakia is produced.</v>
      </c>
    </row>
    <row r="4449">
      <c r="A4449" s="1">
        <v>1.0</v>
      </c>
      <c r="B4449" s="1" t="s">
        <v>4433</v>
      </c>
      <c r="C4449" t="str">
        <f>IFERROR(__xludf.DUMMYFUNCTION("GOOGLETRANSLATE(B4449, ""zh"", ""en"")"),"Fakes? The new version? In short good use was supposed to return, but return to the United States, the price is too high! The quality was not as good buy AIU to buy the old version, this thin, plastic taste heavy, not use, buy 4 boxes so idle")</f>
        <v>Fakes? The new version? In short good use was supposed to return, but return to the United States, the price is too high! The quality was not as good buy AIU to buy the old version, this thin, plastic taste heavy, not use, buy 4 boxes so idle</v>
      </c>
    </row>
    <row r="4450">
      <c r="A4450" s="1">
        <v>4.0</v>
      </c>
      <c r="B4450" s="1" t="s">
        <v>4434</v>
      </c>
      <c r="C4450" t="str">
        <f>IFERROR(__xludf.DUMMYFUNCTION("GOOGLETRANSLATE(B4450, ""zh"", ""en"")"),"Oversized usually buy jeans size 28, chose the No. 4 size, get the goods, or the size of a lot of big, baggy waist and hip circumference. But color is very positive, soft cloth, you can give it away.")</f>
        <v>Oversized usually buy jeans size 28, chose the No. 4 size, get the goods, or the size of a lot of big, baggy waist and hip circumference. But color is very positive, soft cloth, you can give it away.</v>
      </c>
    </row>
    <row r="4451">
      <c r="A4451" s="1">
        <v>4.0</v>
      </c>
      <c r="B4451" s="1" t="s">
        <v>4435</v>
      </c>
      <c r="C4451" t="str">
        <f>IFERROR(__xludf.DUMMYFUNCTION("GOOGLETRANSLATE(B4451, ""zh"", ""en"")"),"Single worth buying at 12.15, 12.24 received from the United States to China, nine days arrived, very quickly. 5 days with a slow 10 seconds, 2 seconds per day, travel time very accurately. Super cheap price, it is worth starting. Japan should introduce m"&amp;"ovement model, ease of maintenance. When the outer ring is less than 30 degrees turn on the card is dead, can not sub.")</f>
        <v>Single worth buying at 12.15, 12.24 received from the United States to China, nine days arrived, very quickly. 5 days with a slow 10 seconds, 2 seconds per day, travel time very accurately. Super cheap price, it is worth starting. Japan should introduce movement model, ease of maintenance. When the outer ring is less than 30 degrees turn on the card is dead, can not sub.</v>
      </c>
    </row>
    <row r="4452">
      <c r="A4452" s="1">
        <v>4.0</v>
      </c>
      <c r="B4452" s="1" t="s">
        <v>4436</v>
      </c>
      <c r="C4452" t="str">
        <f>IFERROR(__xludf.DUMMYFUNCTION("GOOGLETRANSLATE(B4452, ""zh"", ""en"")"),"Good good process, normal size, cotton fabrics feel good, I feel very comfortable to wear.")</f>
        <v>Good good process, normal size, cotton fabrics feel good, I feel very comfortable to wear.</v>
      </c>
    </row>
    <row r="4453">
      <c r="A4453" s="1">
        <v>4.0</v>
      </c>
      <c r="B4453" s="1" t="s">
        <v>4437</v>
      </c>
      <c r="C4453" t="str">
        <f>IFERROR(__xludf.DUMMYFUNCTION("GOOGLETRANSLATE(B4453, ""zh"", ""en"")"),"Slim pants good quality, personal feel too self-cultivation, it may be because the reason I like to wear loose pants!")</f>
        <v>Slim pants good quality, personal feel too self-cultivation, it may be because the reason I like to wear loose pants!</v>
      </c>
    </row>
    <row r="4454">
      <c r="A4454" s="1">
        <v>4.0</v>
      </c>
      <c r="B4454" s="1" t="s">
        <v>4438</v>
      </c>
      <c r="C4454" t="str">
        <f>IFERROR(__xludf.DUMMYFUNCTION("GOOGLETRANSLATE(B4454, ""zh"", ""en"")"),"Size marked the best and then some of the details, such as Europe and America code is too large. Code is too big, height 178, weight 172 pounds, XL code a large lot, feel wear M code can be, and good low price, make do wear it, foreign exchange purchase i"&amp;"s also troublesome.")</f>
        <v>Size marked the best and then some of the details, such as Europe and America code is too large. Code is too big, height 178, weight 172 pounds, XL code a large lot, feel wear M code can be, and good low price, make do wear it, foreign exchange purchase is also troublesome.</v>
      </c>
    </row>
    <row r="4455">
      <c r="A4455" s="1">
        <v>5.0</v>
      </c>
      <c r="B4455" s="1" t="s">
        <v>4439</v>
      </c>
      <c r="C4455" t="str">
        <f>IFERROR(__xludf.DUMMYFUNCTION("GOOGLETRANSLATE(B4455, ""zh"", ""en"")"),"Good wear appropriate, put cotton trousers nice, very fit")</f>
        <v>Good wear appropriate, put cotton trousers nice, very fit</v>
      </c>
    </row>
    <row r="4456">
      <c r="A4456" s="1">
        <v>5.0</v>
      </c>
      <c r="B4456" s="1" t="s">
        <v>4440</v>
      </c>
      <c r="C4456" t="str">
        <f>IFERROR(__xludf.DUMMYFUNCTION("GOOGLETRANSLATE(B4456, ""zh"", ""en"")"),"Cost is still possible height 176, weight 70kg choose a 33 × 30, and as a very strange waistline and 31 × 30, but also still slightly larger a little bit, not tight feeling, but not the kind of very, very large, legs a little fat, has again bought, 19 × 3"&amp;"0 in.")</f>
        <v>Cost is still possible height 176, weight 70kg choose a 33 × 30, and as a very strange waistline and 31 × 30, but also still slightly larger a little bit, not tight feeling, but not the kind of very, very large, legs a little fat, has again bought, 19 × 30 in.</v>
      </c>
    </row>
    <row r="4457">
      <c r="A4457" s="1">
        <v>5.0</v>
      </c>
      <c r="B4457" s="1" t="s">
        <v>4441</v>
      </c>
      <c r="C4457" t="str">
        <f>IFERROR(__xludf.DUMMYFUNCTION("GOOGLETRANSLATE(B4457, ""zh"", ""en"")"),"Well no fluorescence and smell good, cheap prices")</f>
        <v>Well no fluorescence and smell good, cheap prices</v>
      </c>
    </row>
    <row r="4458">
      <c r="A4458" s="1">
        <v>5.0</v>
      </c>
      <c r="B4458" s="1" t="s">
        <v>4442</v>
      </c>
      <c r="C4458" t="str">
        <f>IFERROR(__xludf.DUMMYFUNCTION("GOOGLETRANSLATE(B4458, ""zh"", ""en"")"),"Very good quality and workmanship are good, can wear. 18180 to buy S, a little bit small.")</f>
        <v>Very good quality and workmanship are good, can wear. 18180 to buy S, a little bit small.</v>
      </c>
    </row>
    <row r="4459">
      <c r="A4459" s="1">
        <v>5.0</v>
      </c>
      <c r="B4459" s="1" t="s">
        <v>4443</v>
      </c>
      <c r="C4459" t="str">
        <f>IFERROR(__xludf.DUMMYFUNCTION("GOOGLETRANSLATE(B4459, ""zh"", ""en"")"),"Well, like a good baby, shipped back to Germany, much cheaper than domestic buy, baby liked, always use a manual toothbrush brush is not clean feeling, with the electric toothbrush also more obedient, but also a clean brush")</f>
        <v>Well, like a good baby, shipped back to Germany, much cheaper than domestic buy, baby liked, always use a manual toothbrush brush is not clean feeling, with the electric toothbrush also more obedient, but also a clean brush</v>
      </c>
    </row>
    <row r="4460">
      <c r="A4460" s="1">
        <v>5.0</v>
      </c>
      <c r="B4460" s="1" t="s">
        <v>4444</v>
      </c>
      <c r="C4460" t="str">
        <f>IFERROR(__xludf.DUMMYFUNCTION("GOOGLETRANSLATE(B4460, ""zh"", ""en"")"),"Zojirushi stew beaker buy a lot of Zojirushi cup, came good. The insulation badly, after all, the same caliber larger than the capacity of the mug, feeling the lid is not very tight, in-kind good-looking than the picture, satisfied.")</f>
        <v>Zojirushi stew beaker buy a lot of Zojirushi cup, came good. The insulation badly, after all, the same caliber larger than the capacity of the mug, feeling the lid is not very tight, in-kind good-looking than the picture, satisfied.</v>
      </c>
    </row>
    <row r="4461">
      <c r="A4461" s="1">
        <v>5.0</v>
      </c>
      <c r="B4461" s="1" t="s">
        <v>4445</v>
      </c>
      <c r="C4461" t="str">
        <f>IFERROR(__xludf.DUMMYFUNCTION("GOOGLETRANSLATE(B4461, ""zh"", ""en"")"),"Good packaging, 1 year global warranty. Good packaging, 1 year global warranty.")</f>
        <v>Good packaging, 1 year global warranty. Good packaging, 1 year global warranty.</v>
      </c>
    </row>
    <row r="4462">
      <c r="A4462" s="1">
        <v>5.0</v>
      </c>
      <c r="B4462" s="1" t="s">
        <v>4446</v>
      </c>
      <c r="C4462" t="str">
        <f>IFERROR(__xludf.DUMMYFUNCTION("GOOGLETRANSLATE(B4462, ""zh"", ""en"")"),"Less oil spills, smooth writing ballpoint pen with a good number of big brands decades as always, just in time for the price, almost half price, a box of 50, half black half blue, writing smooth, very little oil.")</f>
        <v>Less oil spills, smooth writing ballpoint pen with a good number of big brands decades as always, just in time for the price, almost half price, a box of 50, half black half blue, writing smooth, very little oil.</v>
      </c>
    </row>
    <row r="4463">
      <c r="A4463" s="1">
        <v>5.0</v>
      </c>
      <c r="B4463" s="1" t="s">
        <v>4447</v>
      </c>
      <c r="C4463" t="str">
        <f>IFERROR(__xludf.DUMMYFUNCTION("GOOGLETRANSLATE(B4463, ""zh"", ""en"")"),"Value for money Germany 5 days arrive, coming not imagine, Yan is very high, cheaper than some East 500. Three block efforts deft a bottle of water can rinse the teeth. No state security, hope and durable point")</f>
        <v>Value for money Germany 5 days arrive, coming not imagine, Yan is very high, cheaper than some East 500. Three block efforts deft a bottle of water can rinse the teeth. No state security, hope and durable point</v>
      </c>
    </row>
    <row r="4464">
      <c r="A4464" s="1">
        <v>5.0</v>
      </c>
      <c r="B4464" s="1" t="s">
        <v>4448</v>
      </c>
      <c r="C4464" t="str">
        <f>IFERROR(__xludf.DUMMYFUNCTION("GOOGLETRANSLATE(B4464, ""zh"", ""en"")"),"Warm thin very thin very warm, someone liked. 140 pounds, 170, for S")</f>
        <v>Warm thin very thin very warm, someone liked. 140 pounds, 170, for S</v>
      </c>
    </row>
    <row r="4465">
      <c r="A4465" s="1">
        <v>5.0</v>
      </c>
      <c r="B4465" s="1" t="s">
        <v>4449</v>
      </c>
      <c r="C4465" t="str">
        <f>IFERROR(__xludf.DUMMYFUNCTION("GOOGLETRANSLATE(B4465, ""zh"", ""en"")"),"Buy a little big shoes look good, is genuine, praise")</f>
        <v>Buy a little big shoes look good, is genuine, praise</v>
      </c>
    </row>
    <row r="4466">
      <c r="A4466" s="1">
        <v>5.0</v>
      </c>
      <c r="B4466" s="1" t="s">
        <v>4450</v>
      </c>
      <c r="C4466" t="str">
        <f>IFERROR(__xludf.DUMMYFUNCTION("GOOGLETRANSLATE(B4466, ""zh"", ""en"")"),"Small but powerful, extraordinary fidelity. Small but powerful, extraordinary fidelity.")</f>
        <v>Small but powerful, extraordinary fidelity. Small but powerful, extraordinary fidelity.</v>
      </c>
    </row>
    <row r="4467">
      <c r="A4467" s="1">
        <v>5.0</v>
      </c>
      <c r="B4467" s="1" t="s">
        <v>4451</v>
      </c>
      <c r="C4467" t="str">
        <f>IFERROR(__xludf.DUMMYFUNCTION("GOOGLETRANSLATE(B4467, ""zh"", ""en"")"),"Affordable logistics fast inexpensive logistics fast!")</f>
        <v>Affordable logistics fast inexpensive logistics fast!</v>
      </c>
    </row>
    <row r="4468">
      <c r="A4468" s="1">
        <v>5.0</v>
      </c>
      <c r="B4468" s="1" t="s">
        <v>4452</v>
      </c>
      <c r="C4468" t="str">
        <f>IFERROR(__xludf.DUMMYFUNCTION("GOOGLETRANSLATE(B4468, ""zh"", ""en"")"),"Basic shopping fun for the first time to buy a very comfortable pair of shoes")</f>
        <v>Basic shopping fun for the first time to buy a very comfortable pair of shoes</v>
      </c>
    </row>
    <row r="4469">
      <c r="A4469" s="1">
        <v>5.0</v>
      </c>
      <c r="B4469" s="1" t="s">
        <v>4453</v>
      </c>
      <c r="C4469" t="str">
        <f>IFERROR(__xludf.DUMMYFUNCTION("GOOGLETRANSLATE(B4469, ""zh"", ""en"")"),"Other underwear size too small compared with the boss is slightly smaller, wearing a little tight.")</f>
        <v>Other underwear size too small compared with the boss is slightly smaller, wearing a little tight.</v>
      </c>
    </row>
    <row r="4470">
      <c r="A4470" s="1">
        <v>5.0</v>
      </c>
      <c r="B4470" s="1" t="s">
        <v>4454</v>
      </c>
      <c r="C4470" t="str">
        <f>IFERROR(__xludf.DUMMYFUNCTION("GOOGLETRANSLATE(B4470, ""zh"", ""en"")"),"New Look comment fear is second-hand, received open checks are brand new, never used signs, much cheaper than the official website, happy")</f>
        <v>New Look comment fear is second-hand, received open checks are brand new, never used signs, much cheaper than the official website, happy</v>
      </c>
    </row>
    <row r="4471">
      <c r="A4471" s="1">
        <v>5.0</v>
      </c>
      <c r="B4471" s="1" t="s">
        <v>4455</v>
      </c>
      <c r="C4471" t="str">
        <f>IFERROR(__xludf.DUMMYFUNCTION("GOOGLETRANSLATE(B4471, ""zh"", ""en"")"),"Kangaroo gray often good-looking clothes oh ~ ~ ~ gray often good-looking clothes kangaroo oh ~~~ 180cm 95kg not pregnant, bought L, XL short sleeve of his house before you buy big, this time specifically to buy small just right.")</f>
        <v>Kangaroo gray often good-looking clothes oh ~ ~ ~ gray often good-looking clothes kangaroo oh ~~~ 180cm 95kg not pregnant, bought L, XL short sleeve of his house before you buy big, this time specifically to buy small just right.</v>
      </c>
    </row>
    <row r="4472">
      <c r="A4472" s="1">
        <v>5.0</v>
      </c>
      <c r="B4472" s="1" t="s">
        <v>4456</v>
      </c>
      <c r="C4472" t="str">
        <f>IFERROR(__xludf.DUMMYFUNCTION("GOOGLETRANSLATE(B4472, ""zh"", ""en"")"),"173cm 74kg handsome invincible spiral explosion about 173cm 74kg of body fat 15 Workout type it almost waist bust a little more than 80 100 entirely appropriate addition to the midfielder's place is not particularly fat wore a thick hoodie or sweater is n"&amp;"o problem to the length of the belt below that is itself part of the upper body is relatively short sleeves a little longer, but not too skinny is not recommended to buy really big inside space to hold up to the multi-meat")</f>
        <v>173cm 74kg handsome invincible spiral explosion about 173cm 74kg of body fat 15 Workout type it almost waist bust a little more than 80 100 entirely appropriate addition to the midfielder's place is not particularly fat wore a thick hoodie or sweater is no problem to the length of the belt below that is itself part of the upper body is relatively short sleeves a little longer, but not too skinny is not recommended to buy really big inside space to hold up to the multi-meat</v>
      </c>
    </row>
    <row r="4473">
      <c r="A4473" s="1">
        <v>5.0</v>
      </c>
      <c r="B4473" s="1" t="s">
        <v>4457</v>
      </c>
      <c r="C4473" t="str">
        <f>IFERROR(__xludf.DUMMYFUNCTION("GOOGLETRANSLATE(B4473, ""zh"", ""en"")"),"Highly recommended people to buy! Do not feel pushed up the price line of easy-care. The fabric is thin, but very fine, good texture, is particularly suitable for work use! Fabric is very pretty. Slim little point, appear to be more competent! 172cm 71kg,"&amp;" usually LEWIS GSTAR 31/30, and will be able to wear this, just a little slim. Relatively deep blue, the color will not be jumping")</f>
        <v>Highly recommended people to buy! Do not feel pushed up the price line of easy-care. The fabric is thin, but very fine, good texture, is particularly suitable for work use! Fabric is very pretty. Slim little point, appear to be more competent! 172cm 71kg, usually LEWIS GSTAR 31/30, and will be able to wear this, just a little slim. Relatively deep blue, the color will not be jumping</v>
      </c>
    </row>
    <row r="4474">
      <c r="A4474" s="1">
        <v>5.0</v>
      </c>
      <c r="B4474" s="1" t="s">
        <v>4458</v>
      </c>
      <c r="C4474" t="str">
        <f>IFERROR(__xludf.DUMMYFUNCTION("GOOGLETRANSLATE(B4474, ""zh"", ""en"")"),"Very good product. Styles, colors are very beautiful. If you follow Ouma, size is very accurate.")</f>
        <v>Very good product. Styles, colors are very beautiful. If you follow Ouma, size is very accurate.</v>
      </c>
    </row>
    <row r="4475">
      <c r="A4475" s="1">
        <v>5.0</v>
      </c>
      <c r="B4475" s="1" t="s">
        <v>4459</v>
      </c>
      <c r="C4475" t="str">
        <f>IFERROR(__xludf.DUMMYFUNCTION("GOOGLETRANSLATE(B4475, ""zh"", ""en"")"),"Colors look good on foot is very comfortable, my feet 23.5 cm long, 7B appropriate.")</f>
        <v>Colors look good on foot is very comfortable, my feet 23.5 cm long, 7B appropriate.</v>
      </c>
    </row>
    <row r="4476">
      <c r="A4476" s="1">
        <v>5.0</v>
      </c>
      <c r="B4476" s="1" t="s">
        <v>4460</v>
      </c>
      <c r="C4476" t="str">
        <f>IFERROR(__xludf.DUMMYFUNCTION("GOOGLETRANSLATE(B4476, ""zh"", ""en"")"),"Satisfaction head considerably looser than 574 feet, but do not dare to buy small a number, color is very satisfied, the price is reasonable, worthy of the top New Balance,")</f>
        <v>Satisfaction head considerably looser than 574 feet, but do not dare to buy small a number, color is very satisfied, the price is reasonable, worthy of the top New Balance,</v>
      </c>
    </row>
    <row r="4477">
      <c r="A4477" s="1">
        <v>2.0</v>
      </c>
      <c r="B4477" s="1" t="s">
        <v>4461</v>
      </c>
      <c r="C4477" t="str">
        <f>IFERROR(__xludf.DUMMYFUNCTION("GOOGLETRANSLATE(B4477, ""zh"", ""en"")"),"Something like a defective thing looks like as defective, the two have some black spots, I do not know what it is, there are some flaws scratched, well, too lazy to back, like this one delivery speed is quickly.")</f>
        <v>Something like a defective thing looks like as defective, the two have some black spots, I do not know what it is, there are some flaws scratched, well, too lazy to back, like this one delivery speed is quickly.</v>
      </c>
    </row>
    <row r="4478">
      <c r="A4478" s="1">
        <v>3.0</v>
      </c>
      <c r="B4478" s="1" t="s">
        <v>4462</v>
      </c>
      <c r="C4478" t="str">
        <f>IFERROR(__xludf.DUMMYFUNCTION("GOOGLETRANSLATE(B4478, ""zh"", ""en"")"),"Use first color value is high, just shoe size, but the sole is relatively hard, wear comfort is not expected.")</f>
        <v>Use first color value is high, just shoe size, but the sole is relatively hard, wear comfort is not expected.</v>
      </c>
    </row>
    <row r="4479">
      <c r="A4479" s="1">
        <v>3.0</v>
      </c>
      <c r="B4479" s="1" t="s">
        <v>4463</v>
      </c>
      <c r="C4479" t="str">
        <f>IFERROR(__xludf.DUMMYFUNCTION("GOOGLETRANSLATE(B4479, ""zh"", ""en"")"),"Loose version, this pants too big fabric in general, not domestic good, relatively hard, the US version of the loose pants too")</f>
        <v>Loose version, this pants too big fabric in general, not domestic good, relatively hard, the US version of the loose pants too</v>
      </c>
    </row>
    <row r="4480">
      <c r="A4480" s="1">
        <v>1.0</v>
      </c>
      <c r="B4480" s="1" t="s">
        <v>4464</v>
      </c>
      <c r="C4480" t="str">
        <f>IFERROR(__xludf.DUMMYFUNCTION("GOOGLETRANSLATE(B4480, ""zh"", ""en"")"),"What the hell hole sell, where a hole in the crotch, how could this genuine quality and do not know where to take knockoff")</f>
        <v>What the hell hole sell, where a hole in the crotch, how could this genuine quality and do not know where to take knockoff</v>
      </c>
    </row>
    <row r="4481">
      <c r="A4481" s="1">
        <v>1.0</v>
      </c>
      <c r="B4481" s="1" t="s">
        <v>4465</v>
      </c>
      <c r="C4481" t="str">
        <f>IFERROR(__xludf.DUMMYFUNCTION("GOOGLETRANSLATE(B4481, ""zh"", ""en"")"),"Pilling serious pilling speechless washed twice pilling very serious")</f>
        <v>Pilling serious pilling speechless washed twice pilling very serious</v>
      </c>
    </row>
    <row r="4482">
      <c r="A4482" s="1">
        <v>4.0</v>
      </c>
      <c r="B4482" s="1" t="s">
        <v>4466</v>
      </c>
      <c r="C4482" t="str">
        <f>IFERROR(__xludf.DUMMYFUNCTION("GOOGLETRANSLATE(B4482, ""zh"", ""en"")"),"No blotter no ink absorber")</f>
        <v>No blotter no ink absorber</v>
      </c>
    </row>
    <row r="4483">
      <c r="A4483" s="1">
        <v>4.0</v>
      </c>
      <c r="B4483" s="1" t="s">
        <v>4467</v>
      </c>
      <c r="C4483" t="str">
        <f>IFERROR(__xludf.DUMMYFUNCTION("GOOGLETRANSLATE(B4483, ""zh"", ""en"")"),"Japan's underwear is too small cup of it to buy a Chinese code can be physical too small a cup, it is lightweight.")</f>
        <v>Japan's underwear is too small cup of it to buy a Chinese code can be physical too small a cup, it is lightweight.</v>
      </c>
    </row>
    <row r="4484">
      <c r="A4484" s="1">
        <v>4.0</v>
      </c>
      <c r="B4484" s="1" t="s">
        <v>4468</v>
      </c>
      <c r="C4484" t="str">
        <f>IFERROR(__xludf.DUMMYFUNCTION("GOOGLETRANSLATE(B4484, ""zh"", ""en"")"),"Pattern a little disappointed kids loved Princess Aisha, so chose this brush, but the delivery is really to Olaf and Anna, a little disappointed.")</f>
        <v>Pattern a little disappointed kids loved Princess Aisha, so chose this brush, but the delivery is really to Olaf and Anna, a little disappointed.</v>
      </c>
    </row>
    <row r="4485">
      <c r="A4485" s="1">
        <v>4.0</v>
      </c>
      <c r="B4485" s="1" t="s">
        <v>4469</v>
      </c>
      <c r="C4485" t="str">
        <f>IFERROR(__xludf.DUMMYFUNCTION("GOOGLETRANSLATE(B4485, ""zh"", ""en"")"),"china looking at all okay, that is back of the watch is made in china")</f>
        <v>china looking at all okay, that is back of the watch is made in china</v>
      </c>
    </row>
    <row r="4486">
      <c r="A4486" s="1">
        <v>4.0</v>
      </c>
      <c r="B4486" s="1" t="s">
        <v>4470</v>
      </c>
      <c r="C4486" t="str">
        <f>IFERROR(__xludf.DUMMYFUNCTION("GOOGLETRANSLATE(B4486, ""zh"", ""en"")"),"Height Weight 2018 172 68 S code suitable for spring wear wear")</f>
        <v>Height Weight 2018 172 68 S code suitable for spring wear wear</v>
      </c>
    </row>
    <row r="4487">
      <c r="A4487" s="1">
        <v>5.0</v>
      </c>
      <c r="B4487" s="1" t="s">
        <v>4471</v>
      </c>
      <c r="C4487" t="str">
        <f>IFERROR(__xludf.DUMMYFUNCTION("GOOGLETRANSLATE(B4487, ""zh"", ""en"")"),"Parker ink prices, although more expensive, but buy rest assured that the quality should be guaranteed self-Mayer")</f>
        <v>Parker ink prices, although more expensive, but buy rest assured that the quality should be guaranteed self-Mayer</v>
      </c>
    </row>
    <row r="4488">
      <c r="A4488" s="1">
        <v>5.0</v>
      </c>
      <c r="B4488" s="1" t="s">
        <v>4472</v>
      </c>
      <c r="C4488" t="str">
        <f>IFERROR(__xludf.DUMMYFUNCTION("GOOGLETRANSLATE(B4488, ""zh"", ""en"")"),"Can figure 165 or less and then re-buy 45kg xs xs do not know if it is still large do not buy unless there xxs")</f>
        <v>Can figure 165 or less and then re-buy 45kg xs xs do not know if it is still large do not buy unless there xxs</v>
      </c>
    </row>
    <row r="4489">
      <c r="A4489" s="1">
        <v>5.0</v>
      </c>
      <c r="B4489" s="1" t="s">
        <v>4473</v>
      </c>
      <c r="C4489" t="str">
        <f>IFERROR(__xludf.DUMMYFUNCTION("GOOGLETRANSLATE(B4489, ""zh"", ""en"")"),". But I useless on something good")</f>
        <v>. But I useless on something good</v>
      </c>
    </row>
    <row r="4490">
      <c r="A4490" s="1">
        <v>5.0</v>
      </c>
      <c r="B4490" s="1" t="s">
        <v>4474</v>
      </c>
      <c r="C4490" t="str">
        <f>IFERROR(__xludf.DUMMYFUNCTION("GOOGLETRANSLATE(B4490, ""zh"", ""en"")"),"Slightly wider than usual small one yard is recommended 160 / 62kg, buy M-code, personal feel slightly wider shoulder a bit too big. S code may be more suitable for their own, very good quality clothes, a little elastic! 247 price, it can also accept.")</f>
        <v>Slightly wider than usual small one yard is recommended 160 / 62kg, buy M-code, personal feel slightly wider shoulder a bit too big. S code may be more suitable for their own, very good quality clothes, a little elastic! 247 price, it can also accept.</v>
      </c>
    </row>
    <row r="4491">
      <c r="A4491" s="1">
        <v>5.0</v>
      </c>
      <c r="B4491" s="1" t="s">
        <v>4475</v>
      </c>
      <c r="C4491" t="str">
        <f>IFERROR(__xludf.DUMMYFUNCTION("GOOGLETRANSLATE(B4491, ""zh"", ""en"")"),"This choice of data warehouse capacity, the price has been invincible. Test a little speed, copy over 60 MB, but also to accept it.")</f>
        <v>This choice of data warehouse capacity, the price has been invincible. Test a little speed, copy over 60 MB, but also to accept it.</v>
      </c>
    </row>
    <row r="4492">
      <c r="A4492" s="1">
        <v>5.0</v>
      </c>
      <c r="B4492" s="1" t="s">
        <v>2508</v>
      </c>
      <c r="C4492" t="str">
        <f>IFERROR(__xludf.DUMMYFUNCTION("GOOGLETRANSLATE(B4492, ""zh"", ""en"")"),"Very good movement, cup too large, bought a small one yard")</f>
        <v>Very good movement, cup too large, bought a small one yard</v>
      </c>
    </row>
    <row r="4493">
      <c r="A4493" s="1">
        <v>5.0</v>
      </c>
      <c r="B4493" s="1" t="s">
        <v>4476</v>
      </c>
      <c r="C4493" t="str">
        <f>IFERROR(__xludf.DUMMYFUNCTION("GOOGLETRANSLATE(B4493, ""zh"", ""en"")"),"The high cost of product quality in all aspects in line with expectations, very satisfied with the shopping experience!")</f>
        <v>The high cost of product quality in all aspects in line with expectations, very satisfied with the shopping experience!</v>
      </c>
    </row>
    <row r="4494">
      <c r="A4494" s="1">
        <v>5.0</v>
      </c>
      <c r="B4494" s="1" t="s">
        <v>4477</v>
      </c>
      <c r="C4494" t="str">
        <f>IFERROR(__xludf.DUMMYFUNCTION("GOOGLETRANSLATE(B4494, ""zh"", ""en"")"),"Good bottle packaging needs to be improved, the US direct mail over, the packaging is not ye drops, it is a bag loaded that, two bottles across the sea, and open the bottle when the box has been a bit crushed.")</f>
        <v>Good bottle packaging needs to be improved, the US direct mail over, the packaging is not ye drops, it is a bag loaded that, two bottles across the sea, and open the bottle when the box has been a bit crushed.</v>
      </c>
    </row>
    <row r="4495">
      <c r="A4495" s="1">
        <v>5.0</v>
      </c>
      <c r="B4495" s="1" t="s">
        <v>4478</v>
      </c>
      <c r="C4495" t="str">
        <f>IFERROR(__xludf.DUMMYFUNCTION("GOOGLETRANSLATE(B4495, ""zh"", ""en"")"),"Pants well arrive fast ah! Week to the hands. Very accurate numbers, blame me misjudged his waist, as has recently been wearing pants elastic band, did not expect and fat. Page photo a little color cast, kind more greenish, pale olive green translated int"&amp;"o more appropriate. Pants good, upper body good results; thickness suitable; in addition to all other appropriate waist, then lean a lean on it. 172CM, 80KG, waist 86CM, 2-foot-6, the pants should be the appropriate 33W. (October 2 feet 5 also it! Waist 2"&amp;"-foot-5, 32W appropriate.)")</f>
        <v>Pants well arrive fast ah! Week to the hands. Very accurate numbers, blame me misjudged his waist, as has recently been wearing pants elastic band, did not expect and fat. Page photo a little color cast, kind more greenish, pale olive green translated into more appropriate. Pants good, upper body good results; thickness suitable; in addition to all other appropriate waist, then lean a lean on it. 172CM, 80KG, waist 86CM, 2-foot-6, the pants should be the appropriate 33W. (October 2 feet 5 also it! Waist 2-foot-5, 32W appropriate.)</v>
      </c>
    </row>
    <row r="4496">
      <c r="A4496" s="1">
        <v>5.0</v>
      </c>
      <c r="B4496" s="1" t="s">
        <v>4479</v>
      </c>
      <c r="C4496" t="str">
        <f>IFERROR(__xludf.DUMMYFUNCTION("GOOGLETRANSLATE(B4496, ""zh"", ""en"")"),"The size just right! Fortunately, buy a bigger size! The results came back positive just right! soft skin! Like effect that folds!")</f>
        <v>The size just right! Fortunately, buy a bigger size! The results came back positive just right! soft skin! Like effect that folds!</v>
      </c>
    </row>
    <row r="4497">
      <c r="A4497" s="1">
        <v>5.0</v>
      </c>
      <c r="B4497" s="1" t="s">
        <v>4480</v>
      </c>
      <c r="C4497" t="str">
        <f>IFERROR(__xludf.DUMMYFUNCTION("GOOGLETRANSLATE(B4497, ""zh"", ""en"")"),"Worth buying freshman code to buy, a little narrow, but comfortable, cost-effective.")</f>
        <v>Worth buying freshman code to buy, a little narrow, but comfortable, cost-effective.</v>
      </c>
    </row>
    <row r="4498">
      <c r="A4498" s="1">
        <v>5.0</v>
      </c>
      <c r="B4498" s="1" t="s">
        <v>4481</v>
      </c>
      <c r="C4498" t="str">
        <f>IFERROR(__xludf.DUMMYFUNCTION("GOOGLETRANSLATE(B4498, ""zh"", ""en"")"),"Thermostatically controlled very convenient! perfectly worked! Perfect match! In particular thermostatically controlled, it is easy to use!")</f>
        <v>Thermostatically controlled very convenient! perfectly worked! Perfect match! In particular thermostatically controlled, it is easy to use!</v>
      </c>
    </row>
    <row r="4499">
      <c r="A4499" s="1">
        <v>5.0</v>
      </c>
      <c r="B4499" s="1" t="s">
        <v>4482</v>
      </c>
      <c r="C4499" t="str">
        <f>IFERROR(__xludf.DUMMYFUNCTION("GOOGLETRANSLATE(B4499, ""zh"", ""en"")"),"Suitable code 180 60m 180 60 kg a slender, m Shoulder Sleeve code size can be calculated exactly other suitable actuator tight")</f>
        <v>Suitable code 180 60m 180 60 kg a slender, m Shoulder Sleeve code size can be calculated exactly other suitable actuator tight</v>
      </c>
    </row>
    <row r="4500">
      <c r="A4500" s="1">
        <v>5.0</v>
      </c>
      <c r="B4500" s="1" t="s">
        <v>4483</v>
      </c>
      <c r="C4500" t="str">
        <f>IFERROR(__xludf.DUMMYFUNCTION("GOOGLETRANSLATE(B4500, ""zh"", ""en"")"),"Western Digital hard drive has been installed to use, good quality")</f>
        <v>Western Digital hard drive has been installed to use, good quality</v>
      </c>
    </row>
    <row r="4501">
      <c r="A4501" s="1">
        <v>5.0</v>
      </c>
      <c r="B4501" s="1" t="s">
        <v>4484</v>
      </c>
      <c r="C4501" t="str">
        <f>IFERROR(__xludf.DUMMYFUNCTION("GOOGLETRANSLATE(B4501, ""zh"", ""en"")"),"Buy a smaller size is the right choice to buy a smaller size is just right, comfortable to wear, praise")</f>
        <v>Buy a smaller size is the right choice to buy a smaller size is just right, comfortable to wear, praise</v>
      </c>
    </row>
    <row r="4502">
      <c r="A4502" s="1">
        <v>5.0</v>
      </c>
      <c r="B4502" s="1" t="s">
        <v>4485</v>
      </c>
      <c r="C4502" t="str">
        <f>IFERROR(__xludf.DUMMYFUNCTION("GOOGLETRANSLATE(B4502, ""zh"", ""en"")"),"Great great Recommended Recommended ...")</f>
        <v>Great great Recommended Recommended ...</v>
      </c>
    </row>
    <row r="4503">
      <c r="A4503" s="1">
        <v>5.0</v>
      </c>
      <c r="B4503" s="1" t="s">
        <v>4486</v>
      </c>
      <c r="C4503" t="str">
        <f>IFERROR(__xludf.DUMMYFUNCTION("GOOGLETRANSLATE(B4503, ""zh"", ""en"")"),"Simple, easy to clean to do a cup of milk, bananas, simple operation, easy to clean, read the instructions, you can also add other accessories, but now this feature is what I need, first with a period of time to say it.")</f>
        <v>Simple, easy to clean to do a cup of milk, bananas, simple operation, easy to clean, read the instructions, you can also add other accessories, but now this feature is what I need, first with a period of time to say it.</v>
      </c>
    </row>
    <row r="4504">
      <c r="A4504" s="1">
        <v>5.0</v>
      </c>
      <c r="B4504" s="1" t="s">
        <v>4487</v>
      </c>
      <c r="C4504" t="str">
        <f>IFERROR(__xludf.DUMMYFUNCTION("GOOGLETRANSLATE(B4504, ""zh"", ""en"")"),"Perfect after tax price and quality are very satisfied, looked at several Amoy Friends Comments decisive choice 36WX32L, lumbar 28 entirely appropriate, a little bit long, logistics soon")</f>
        <v>Perfect after tax price and quality are very satisfied, looked at several Amoy Friends Comments decisive choice 36WX32L, lumbar 28 entirely appropriate, a little bit long, logistics soon</v>
      </c>
    </row>
    <row r="4505">
      <c r="A4505" s="1">
        <v>5.0</v>
      </c>
      <c r="B4505" s="1" t="s">
        <v>4488</v>
      </c>
      <c r="C4505" t="str">
        <f>IFERROR(__xludf.DUMMYFUNCTION("GOOGLETRANSLATE(B4505, ""zh"", ""en"")"),"Very thick, not suitable for the summer I bought the color is boss, especially thick, straight jeans, significant leg length")</f>
        <v>Very thick, not suitable for the summer I bought the color is boss, especially thick, straight jeans, significant leg length</v>
      </c>
    </row>
    <row r="4506">
      <c r="A4506" s="1">
        <v>5.0</v>
      </c>
      <c r="B4506" s="1" t="s">
        <v>4489</v>
      </c>
      <c r="C4506" t="str">
        <f>IFERROR(__xludf.DUMMYFUNCTION("GOOGLETRANSLATE(B4506, ""zh"", ""en"")"),"Praise! Brother in law's birthday present. Unfortunately, there is no white.")</f>
        <v>Praise! Brother in law's birthday present. Unfortunately, there is no white.</v>
      </c>
    </row>
    <row r="4507">
      <c r="A4507" s="1">
        <v>5.0</v>
      </c>
      <c r="B4507" s="1" t="s">
        <v>4490</v>
      </c>
      <c r="C4507" t="str">
        <f>IFERROR(__xludf.DUMMYFUNCTION("GOOGLETRANSLATE(B4507, ""zh"", ""en"")"),"Well, I like it! it is good! Thickness of just writing, pen delicate, not too slippery, I just write the corresponding control. Pen with wooden texture, low-key, restrained, and series stars a strong contrast. I like! Logistics is also good, one week to h"&amp;"and.")</f>
        <v>Well, I like it! it is good! Thickness of just writing, pen delicate, not too slippery, I just write the corresponding control. Pen with wooden texture, low-key, restrained, and series stars a strong contrast. I like! Logistics is also good, one week to hand.</v>
      </c>
    </row>
    <row r="4508">
      <c r="A4508" s="1">
        <v>5.0</v>
      </c>
      <c r="B4508" s="1" t="s">
        <v>4491</v>
      </c>
      <c r="C4508" t="str">
        <f>IFERROR(__xludf.DUMMYFUNCTION("GOOGLETRANSLATE(B4508, ""zh"", ""en"")"),"Recommended to buy the perfect texture, polished texture, elastic fabric, no belt more comfortable, do not want to evaluate the good cause prices Amazon, Ref around 230, will buy the price is right")</f>
        <v>Recommended to buy the perfect texture, polished texture, elastic fabric, no belt more comfortable, do not want to evaluate the good cause prices Amazon, Ref around 230, will buy the price is right</v>
      </c>
    </row>
    <row r="4509">
      <c r="A4509" s="1">
        <v>2.0</v>
      </c>
      <c r="B4509" s="1" t="s">
        <v>4492</v>
      </c>
      <c r="C4509" t="str">
        <f>IFERROR(__xludf.DUMMYFUNCTION("GOOGLETRANSLATE(B4509, ""zh"", ""en"")"),"Gorilla version of the type of clothing version of the type is very funny, chest tight, big belly, Sleeve! It is estimated to wear a gorilla, right, imagine, set in the gorilla's body. Although described as a bit exaggerated, but, ah, is that look. Materi"&amp;"al is very thin. When you experience the bad workmanship in North America that it")</f>
        <v>Gorilla version of the type of clothing version of the type is very funny, chest tight, big belly, Sleeve! It is estimated to wear a gorilla, right, imagine, set in the gorilla's body. Although described as a bit exaggerated, but, ah, is that look. Material is very thin. When you experience the bad workmanship in North America that it</v>
      </c>
    </row>
    <row r="4510">
      <c r="A4510" s="1">
        <v>3.0</v>
      </c>
      <c r="B4510" s="1" t="s">
        <v>4493</v>
      </c>
      <c r="C4510" t="str">
        <f>IFERROR(__xludf.DUMMYFUNCTION("GOOGLETRANSLATE(B4510, ""zh"", ""en"")"),"You pay for it waited two months to receive, you do not know how to use? Yesterday I tried a little kneading machine function takes a shaking sieve-like, afraid someday nose will fly ah ....")</f>
        <v>You pay for it waited two months to receive, you do not know how to use? Yesterday I tried a little kneading machine function takes a shaking sieve-like, afraid someday nose will fly ah ....</v>
      </c>
    </row>
    <row r="4511">
      <c r="A4511" s="1">
        <v>3.0</v>
      </c>
      <c r="B4511" s="1" t="s">
        <v>4494</v>
      </c>
      <c r="C4511" t="str">
        <f>IFERROR(__xludf.DUMMYFUNCTION("GOOGLETRANSLATE(B4511, ""zh"", ""en"")"),"Fortunately, the missing equipment installed hot water will drain the hot water I suspect life, cold water will not leak. Security is scratch, they can return the party mercy not? Bala bottom of the cup proper way, hope is not just a technology problem or"&amp;" else a crack at any moment ""beng !!"" bought a big ml, for several years, very easy to use, is too heavy, do not carry, this time to buy a small used with. Do not install water, burnt to death every minute, outside of silicone non-slip effect than anti-"&amp;"scald, eyes full of holes, hollow out the installation of hot water leaks, use either the desktop or warm water (cold water) carry put the bag ^ _ ^ This cup has aftermarket it? If there are quality issues who to turn to?")</f>
        <v>Fortunately, the missing equipment installed hot water will drain the hot water I suspect life, cold water will not leak. Security is scratch, they can return the party mercy not? Bala bottom of the cup proper way, hope is not just a technology problem or else a crack at any moment "beng !!" bought a big ml, for several years, very easy to use, is too heavy, do not carry, this time to buy a small used with. Do not install water, burnt to death every minute, outside of silicone non-slip effect than anti-scald, eyes full of holes, hollow out the installation of hot water leaks, use either the desktop or warm water (cold water) carry put the bag ^ _ ^ This cup has aftermarket it? If there are quality issues who to turn to?</v>
      </c>
    </row>
    <row r="4512">
      <c r="A4512" s="1">
        <v>1.0</v>
      </c>
      <c r="B4512" s="1" t="s">
        <v>4495</v>
      </c>
      <c r="C4512" t="str">
        <f>IFERROR(__xludf.DUMMYFUNCTION("GOOGLETRANSLATE(B4512, ""zh"", ""en"")"),"Spent just six months is not able to read, and slow response, often can not identify, can not return, I ask how to deal with? ? ? Has an order in June 2016 to January 2017 8 12 can not be used")</f>
        <v>Spent just six months is not able to read, and slow response, often can not identify, can not return, I ask how to deal with? ? ? Has an order in June 2016 to January 2017 8 12 can not be used</v>
      </c>
    </row>
    <row r="4513">
      <c r="A4513" s="1">
        <v>1.0</v>
      </c>
      <c r="B4513" s="1" t="s">
        <v>4496</v>
      </c>
      <c r="C4513" t="str">
        <f>IFERROR(__xludf.DUMMYFUNCTION("GOOGLETRANSLATE(B4513, ""zh"", ""en"")"),"+ Plus velvet low collar big opening, wonderful, right? Design has a big problem, plus velvet fabric, is actually a large open low collar, wearing a day, irrigation neck inside hula hula cold, we advise you not to buy! ! !")</f>
        <v>+ Plus velvet low collar big opening, wonderful, right? Design has a big problem, plus velvet fabric, is actually a large open low collar, wearing a day, irrigation neck inside hula hula cold, we advise you not to buy! ! !</v>
      </c>
    </row>
    <row r="4514">
      <c r="A4514" s="1">
        <v>1.0</v>
      </c>
      <c r="B4514" s="1" t="s">
        <v>4497</v>
      </c>
      <c r="C4514" t="str">
        <f>IFERROR(__xludf.DUMMYFUNCTION("GOOGLETRANSLATE(B4514, ""zh"", ""en"")"),"Commodities fraud, not recommended to buy, do not buy, not the subject merchandise, SDXCII standard interfaces are two rows of metal contact strips (see detail I made the third of a white background from east electronic business platform shots), but I got"&amp;" only one hand rows of metal sheet, this is SDXCI highest standard that is only 95MB / S, so the sticker on the front is SDXCII 150MB / S is false, the interface is not SDXCII how to speed? This is achieved by fake too obvious, who in the Amazon pit it? I"&amp;" am prepared to rights! Today bring a camera to shoot outside, you can see just took 2 seconds before the shoot look, pictures can not be played back, the computer does not recognize Cary Photos")</f>
        <v>Commodities fraud, not recommended to buy, do not buy, not the subject merchandise, SDXCII standard interfaces are two rows of metal contact strips (see detail I made the third of a white background from east electronic business platform shots), but I got only one hand rows of metal sheet, this is SDXCI highest standard that is only 95MB / S, so the sticker on the front is SDXCII 150MB / S is false, the interface is not SDXCII how to speed? This is achieved by fake too obvious, who in the Amazon pit it? I am prepared to rights! Today bring a camera to shoot outside, you can see just took 2 seconds before the shoot look, pictures can not be played back, the computer does not recognize Cary Photos</v>
      </c>
    </row>
    <row r="4515">
      <c r="A4515" s="1">
        <v>4.0</v>
      </c>
      <c r="B4515" s="1" t="s">
        <v>4498</v>
      </c>
      <c r="C4515" t="str">
        <f>IFERROR(__xludf.DUMMYFUNCTION("GOOGLETRANSLATE(B4515, ""zh"", ""en"")"),"Received defective belt metal belt deducted serious paint, leather see looks pretty strong buy 32 yards, width 38mm, length 102cm")</f>
        <v>Received defective belt metal belt deducted serious paint, leather see looks pretty strong buy 32 yards, width 38mm, length 102cm</v>
      </c>
    </row>
    <row r="4516">
      <c r="A4516" s="1">
        <v>4.0</v>
      </c>
      <c r="B4516" s="1" t="s">
        <v>4499</v>
      </c>
      <c r="C4516" t="str">
        <f>IFERROR(__xludf.DUMMYFUNCTION("GOOGLETRANSLATE(B4516, ""zh"", ""en"")"),"Yes pretty good, I have been using the bowls, very good use.")</f>
        <v>Yes pretty good, I have been using the bowls, very good use.</v>
      </c>
    </row>
    <row r="4517">
      <c r="A4517" s="1">
        <v>4.0</v>
      </c>
      <c r="B4517" s="1" t="s">
        <v>4500</v>
      </c>
      <c r="C4517" t="str">
        <f>IFERROR(__xludf.DUMMYFUNCTION("GOOGLETRANSLATE(B4517, ""zh"", ""en"")"),"In line with expectations at an affordable price, of course, the appropriate work ""benefits"" of some, but still worthy of the price of clothes very thick, not particularly thin before. And it is expected to almost the same, about the size, the equivalen"&amp;"t of the United States Code LARGE XL Asia")</f>
        <v>In line with expectations at an affordable price, of course, the appropriate work "benefits" of some, but still worthy of the price of clothes very thick, not particularly thin before. And it is expected to almost the same, about the size, the equivalent of the United States Code LARGE XL Asia</v>
      </c>
    </row>
    <row r="4518">
      <c r="A4518" s="1">
        <v>4.0</v>
      </c>
      <c r="B4518" s="1" t="s">
        <v>4501</v>
      </c>
      <c r="C4518" t="str">
        <f>IFERROR(__xludf.DUMMYFUNCTION("GOOGLETRANSLATE(B4518, ""zh"", ""en"")"),"Cute baby drink it was looking at, sometimes a straw-up will drink less water, but have fundamental, very cute and very comprehensive.")</f>
        <v>Cute baby drink it was looking at, sometimes a straw-up will drink less water, but have fundamental, very cute and very comprehensive.</v>
      </c>
    </row>
    <row r="4519">
      <c r="A4519" s="1">
        <v>4.0</v>
      </c>
      <c r="B4519" s="1" t="s">
        <v>4502</v>
      </c>
      <c r="C4519" t="str">
        <f>IFERROR(__xludf.DUMMYFUNCTION("GOOGLETRANSLATE(B4519, ""zh"", ""en"")"),"Normal size, slim, supple fabrics, very good, rendering it, meaning almost worn over normal size, Slim, supple fabrics, very good, rendering it, meaning almost worn out")</f>
        <v>Normal size, slim, supple fabrics, very good, rendering it, meaning almost worn over normal size, Slim, supple fabrics, very good, rendering it, meaning almost worn out</v>
      </c>
    </row>
    <row r="4520">
      <c r="A4520" s="1">
        <v>5.0</v>
      </c>
      <c r="B4520" s="1" t="s">
        <v>4503</v>
      </c>
      <c r="C4520" t="str">
        <f>IFERROR(__xludf.DUMMYFUNCTION("GOOGLETRANSLATE(B4520, ""zh"", ""en"")"),"Satisfaction liked. Originally worried about the size will be large, but actually try feel very fit. Onitsuka Tiger through 6.5, this is 6.5, wear shoes 36. The price is very cost-effective, it is worth waiting for nearly two weeks.")</f>
        <v>Satisfaction liked. Originally worried about the size will be large, but actually try feel very fit. Onitsuka Tiger through 6.5, this is 6.5, wear shoes 36. The price is very cost-effective, it is worth waiting for nearly two weeks.</v>
      </c>
    </row>
    <row r="4521">
      <c r="A4521" s="1">
        <v>5.0</v>
      </c>
      <c r="B4521" s="1" t="s">
        <v>4504</v>
      </c>
      <c r="C4521" t="str">
        <f>IFERROR(__xludf.DUMMYFUNCTION("GOOGLETRANSLATE(B4521, ""zh"", ""en"")"),"Bad things good looking, slightly larger but very comfortable to wear, a little darker than the picture, though,")</f>
        <v>Bad things good looking, slightly larger but very comfortable to wear, a little darker than the picture, though,</v>
      </c>
    </row>
    <row r="4522">
      <c r="A4522" s="1">
        <v>5.0</v>
      </c>
      <c r="B4522" s="1" t="s">
        <v>4505</v>
      </c>
      <c r="C4522" t="str">
        <f>IFERROR(__xludf.DUMMYFUNCTION("GOOGLETRANSLATE(B4522, ""zh"", ""en"")"),"Well strap a little female texture a little rough on the perfect")</f>
        <v>Well strap a little female texture a little rough on the perfect</v>
      </c>
    </row>
    <row r="4523">
      <c r="A4523" s="1">
        <v>5.0</v>
      </c>
      <c r="B4523" s="1" t="s">
        <v>4506</v>
      </c>
      <c r="C4523" t="str">
        <f>IFERROR(__xludf.DUMMYFUNCTION("GOOGLETRANSLATE(B4523, ""zh"", ""en"")"),"Very good, indeed the mother and child a good thing. Bib Oh well, twists around the bottom of the mouth of the silicone is very soft, very comfortable with the baby. Bib Oh well, twists around the bottom of the mouth of the silicone is very soft, very com"&amp;"fortable with the baby. Bib Oh well, twists around the bottom of the mouth of the silicone is very soft, very comfortable with the baby. Bib Oh well, twists around the bottom of the mouth of the silicone is very soft, very comfortable with the baby. Bib O"&amp;"h well, twists around the bottom of the mouth of the silicone is very soft, very comfortable with the baby. Bib Oh well, twists around the bottom of the mouth of the silicone is very soft, very comfortable with the baby. Bib Oh well, twists around the bot"&amp;"tom of the mouth of the silicone is very soft, very comfortable with the baby.")</f>
        <v>Very good, indeed the mother and child a good thing. Bib Oh well, twists around the bottom of the mouth of the silicone is very soft, very comfortable with the baby. Bib Oh well, twists around the bottom of the mouth of the silicone is very soft, very comfortable with the baby. Bib Oh well, twists around the bottom of the mouth of the silicone is very soft, very comfortable with the baby. Bib Oh well, twists around the bottom of the mouth of the silicone is very soft, very comfortable with the baby. Bib Oh well, twists around the bottom of the mouth of the silicone is very soft, very comfortable with the baby. Bib Oh well, twists around the bottom of the mouth of the silicone is very soft, very comfortable with the baby. Bib Oh well, twists around the bottom of the mouth of the silicone is very soft, very comfortable with the baby.</v>
      </c>
    </row>
    <row r="4524">
      <c r="A4524" s="1">
        <v>5.0</v>
      </c>
      <c r="B4524" s="1" t="s">
        <v>4507</v>
      </c>
      <c r="C4524" t="str">
        <f>IFERROR(__xludf.DUMMYFUNCTION("GOOGLETRANSLATE(B4524, ""zh"", ""en"")"),"Simple and elegant originally bought a home health pot, feature-rich, water heating is also fast, but there is always the base wire burning smell, and my heart horrifying, for good health, rest assured that the online search to see the whole structure! An"&amp;"d the big opening easy to clean, very fast speed, high praise!")</f>
        <v>Simple and elegant originally bought a home health pot, feature-rich, water heating is also fast, but there is always the base wire burning smell, and my heart horrifying, for good health, rest assured that the online search to see the whole structure! And the big opening easy to clean, very fast speed, high praise!</v>
      </c>
    </row>
    <row r="4525">
      <c r="A4525" s="1">
        <v>5.0</v>
      </c>
      <c r="B4525" s="1" t="s">
        <v>4508</v>
      </c>
      <c r="C4525" t="str">
        <f>IFERROR(__xludf.DUMMYFUNCTION("GOOGLETRANSLATE(B4525, ""zh"", ""en"")"),"Big point. Not very self-cultivation. Put on a little elegant feel.")</f>
        <v>Big point. Not very self-cultivation. Put on a little elegant feel.</v>
      </c>
    </row>
    <row r="4526">
      <c r="A4526" s="1">
        <v>5.0</v>
      </c>
      <c r="B4526" s="1" t="s">
        <v>4509</v>
      </c>
      <c r="C4526" t="str">
        <f>IFERROR(__xludf.DUMMYFUNCTION("GOOGLETRANSLATE(B4526, ""zh"", ""en"")"),"The child was delighted nice glass cup")</f>
        <v>The child was delighted nice glass cup</v>
      </c>
    </row>
    <row r="4527">
      <c r="A4527" s="1">
        <v>5.0</v>
      </c>
      <c r="B4527" s="1" t="s">
        <v>4510</v>
      </c>
      <c r="C4527" t="str">
        <f>IFERROR(__xludf.DUMMYFUNCTION("GOOGLETRANSLATE(B4527, ""zh"", ""en"")"),"Good very thin, not cotton, feel very slippery, very comfortable")</f>
        <v>Good very thin, not cotton, feel very slippery, very comfortable</v>
      </c>
    </row>
    <row r="4528">
      <c r="A4528" s="1">
        <v>5.0</v>
      </c>
      <c r="B4528" s="1" t="s">
        <v>4511</v>
      </c>
      <c r="C4528" t="str">
        <f>IFERROR(__xludf.DUMMYFUNCTION("GOOGLETRANSLATE(B4528, ""zh"", ""en"")"),"See this cost-effective products hold a low score uneven. I bought this headset for use in the United States, now estimated to be used with the four or five years, in addition to a little black out without any quality problems; the time to buy as the intr"&amp;"oductory paragraph, but the sound quality is a surprise, treble bass is very balanced, I should be used headphones used the longest (since the entry for a long time did not willing to reentry other until two years ago). And there is one of the biggest adv"&amp;"antages is the line, not bad really pull ah. . . The only drawback is that line too much too long to fit out to the streets.")</f>
        <v>See this cost-effective products hold a low score uneven. I bought this headset for use in the United States, now estimated to be used with the four or five years, in addition to a little black out without any quality problems; the time to buy as the introductory paragraph, but the sound quality is a surprise, treble bass is very balanced, I should be used headphones used the longest (since the entry for a long time did not willing to reentry other until two years ago). And there is one of the biggest advantages is the line, not bad really pull ah. . . The only drawback is that line too much too long to fit out to the streets.</v>
      </c>
    </row>
    <row r="4529">
      <c r="A4529" s="1">
        <v>5.0</v>
      </c>
      <c r="B4529" s="1" t="s">
        <v>4512</v>
      </c>
      <c r="C4529" t="str">
        <f>IFERROR(__xludf.DUMMYFUNCTION("GOOGLETRANSLATE(B4529, ""zh"", ""en"")"),"Sennheiser headphones very good good, found that after a period of good in all aspects")</f>
        <v>Sennheiser headphones very good good, found that after a period of good in all aspects</v>
      </c>
    </row>
    <row r="4530">
      <c r="A4530" s="1">
        <v>5.0</v>
      </c>
      <c r="B4530" s="1" t="s">
        <v>4513</v>
      </c>
      <c r="C4530" t="str">
        <f>IFERROR(__xludf.DUMMYFUNCTION("GOOGLETRANSLATE(B4530, ""zh"", ""en"")"),"Very good results particularly good, the price is not expensive, but the introduction of the agents in the country, so do not need to buy later")</f>
        <v>Very good results particularly good, the price is not expensive, but the introduction of the agents in the country, so do not need to buy later</v>
      </c>
    </row>
    <row r="4531">
      <c r="A4531" s="1">
        <v>5.0</v>
      </c>
      <c r="B4531" s="1" t="s">
        <v>4514</v>
      </c>
      <c r="C4531" t="str">
        <f>IFERROR(__xludf.DUMMYFUNCTION("GOOGLETRANSLATE(B4531, ""zh"", ""en"")"),"quickly! Previously had a usb2.0 disk, do a little comparison. When used together 2.0 interface, whether it is copied to the computer or copy u disk u disk to the computer has 2 times the speed boost. When using 3.0 interface, computer u disk copy to thre"&amp;"e times faster, u disk copy to a computer to enhance the 6-fold! The u-purchase on Amazon is considered affordable.")</f>
        <v>quickly! Previously had a usb2.0 disk, do a little comparison. When used together 2.0 interface, whether it is copied to the computer or copy u disk u disk to the computer has 2 times the speed boost. When using 3.0 interface, computer u disk copy to three times faster, u disk copy to a computer to enhance the 6-fold! The u-purchase on Amazon is considered affordable.</v>
      </c>
    </row>
    <row r="4532">
      <c r="A4532" s="1">
        <v>5.0</v>
      </c>
      <c r="B4532" s="1" t="s">
        <v>4515</v>
      </c>
      <c r="C4532" t="str">
        <f>IFERROR(__xludf.DUMMYFUNCTION("GOOGLETRANSLATE(B4532, ""zh"", ""en"")"),"A big bottle, has been eating big bottle")</f>
        <v>A big bottle, has been eating big bottle</v>
      </c>
    </row>
    <row r="4533">
      <c r="A4533" s="1">
        <v>5.0</v>
      </c>
      <c r="B4533" s="1" t="s">
        <v>4516</v>
      </c>
      <c r="C4533" t="str">
        <f>IFERROR(__xludf.DUMMYFUNCTION("GOOGLETRANSLATE(B4533, ""zh"", ""en"")"),"M usually wear a good quality, buy S, very suitable, off-white Fleece")</f>
        <v>M usually wear a good quality, buy S, very suitable, off-white Fleece</v>
      </c>
    </row>
    <row r="4534">
      <c r="A4534" s="1">
        <v>5.0</v>
      </c>
      <c r="B4534" s="1" t="s">
        <v>4517</v>
      </c>
      <c r="C4534" t="str">
        <f>IFERROR(__xludf.DUMMYFUNCTION("GOOGLETRANSLATE(B4534, ""zh"", ""en"")"),"Sleeves slightly longer than height 170 weight 70, S code just right, but slightly longer sleeves Americans, the other can still be.")</f>
        <v>Sleeves slightly longer than height 170 weight 70, S code just right, but slightly longer sleeves Americans, the other can still be.</v>
      </c>
    </row>
    <row r="4535">
      <c r="A4535" s="1">
        <v>5.0</v>
      </c>
      <c r="B4535" s="1" t="s">
        <v>4518</v>
      </c>
      <c r="C4535" t="str">
        <f>IFERROR(__xludf.DUMMYFUNCTION("GOOGLETRANSLATE(B4535, ""zh"", ""en"")"),"Packaging can also feel very simple, it should be genuine it. In fact, I'm not good packaging is also very simple to distinguish the water is okay standard ink gall to ask the official customer service is genuine domestic distribution blotter instead of i"&amp;"nk bag.")</f>
        <v>Packaging can also feel very simple, it should be genuine it. In fact, I'm not good packaging is also very simple to distinguish the water is okay standard ink gall to ask the official customer service is genuine domestic distribution blotter instead of ink bag.</v>
      </c>
    </row>
    <row r="4536">
      <c r="A4536" s="1">
        <v>5.0</v>
      </c>
      <c r="B4536" s="1" t="s">
        <v>4519</v>
      </c>
      <c r="C4536" t="str">
        <f>IFERROR(__xludf.DUMMYFUNCTION("GOOGLETRANSLATE(B4536, ""zh"", ""en"")"),"Very satisfied with the right size, color beautiful.")</f>
        <v>Very satisfied with the right size, color beautiful.</v>
      </c>
    </row>
    <row r="4537">
      <c r="A4537" s="1">
        <v>5.0</v>
      </c>
      <c r="B4537" s="1" t="s">
        <v>4520</v>
      </c>
      <c r="C4537" t="str">
        <f>IFERROR(__xludf.DUMMYFUNCTION("GOOGLETRANSLATE(B4537, ""zh"", ""en"")"),"Stick For me this is not a love of eating star fruit people, very convenient. Favorite Amazon!")</f>
        <v>Stick For me this is not a love of eating star fruit people, very convenient. Favorite Amazon!</v>
      </c>
    </row>
    <row r="4538">
      <c r="A4538" s="1">
        <v>5.0</v>
      </c>
      <c r="B4538" s="1" t="s">
        <v>4521</v>
      </c>
      <c r="C4538" t="str">
        <f>IFERROR(__xludf.DUMMYFUNCTION("GOOGLETRANSLATE(B4538, ""zh"", ""en"")"),"Doing at home than to buy the same card to be cheaper than at home doing the same card to buy cheaper. High-speed continuous shooting than I had more than one card to shoot two. Just do not know how to recover deleted data. After four months to pull me 33"&amp;" yuan more than RMB into my bank card.")</f>
        <v>Doing at home than to buy the same card to be cheaper than at home doing the same card to buy cheaper. High-speed continuous shooting than I had more than one card to shoot two. Just do not know how to recover deleted data. After four months to pull me 33 yuan more than RMB into my bank card.</v>
      </c>
    </row>
    <row r="4539">
      <c r="A4539" s="1">
        <v>5.0</v>
      </c>
      <c r="B4539" s="1" t="s">
        <v>4522</v>
      </c>
      <c r="C4539" t="str">
        <f>IFERROR(__xludf.DUMMYFUNCTION("GOOGLETRANSLATE(B4539, ""zh"", ""en"")"),"Useful use every day, after brushing also washed out a lot of debris.")</f>
        <v>Useful use every day, after brushing also washed out a lot of debris.</v>
      </c>
    </row>
    <row r="4540">
      <c r="A4540" s="1">
        <v>5.0</v>
      </c>
      <c r="B4540" s="1" t="s">
        <v>4523</v>
      </c>
      <c r="C4540" t="str">
        <f>IFERROR(__xludf.DUMMYFUNCTION("GOOGLETRANSLATE(B4540, ""zh"", ""en"")"),"Belts very good, very good value for money")</f>
        <v>Belts very good, very good value for money</v>
      </c>
    </row>
    <row r="4541">
      <c r="A4541" s="1">
        <v>2.0</v>
      </c>
      <c r="B4541" s="1" t="s">
        <v>4524</v>
      </c>
      <c r="C4541" t="str">
        <f>IFERROR(__xludf.DUMMYFUNCTION("GOOGLETRANSLATE(B4541, ""zh"", ""en"")"),"The first doubt in the Amazon shopping is not genuine, the shoes Post back the packaging is damaged, there is a shoe insoles, a no insole, traces of glue shoes particularly heavy.")</f>
        <v>The first doubt in the Amazon shopping is not genuine, the shoes Post back the packaging is damaged, there is a shoe insoles, a no insole, traces of glue shoes particularly heavy.</v>
      </c>
    </row>
    <row r="4542">
      <c r="A4542" s="1">
        <v>3.0</v>
      </c>
      <c r="B4542" s="1" t="s">
        <v>4525</v>
      </c>
      <c r="C4542" t="str">
        <f>IFERROR(__xludf.DUMMYFUNCTION("GOOGLETRANSLATE(B4542, ""zh"", ""en"")"),"Recommended to buy small 2 yards thin section, very comfortable feeling. It is too great, given the large number than my two girl.")</f>
        <v>Recommended to buy small 2 yards thin section, very comfortable feeling. It is too great, given the large number than my two girl.</v>
      </c>
    </row>
    <row r="4543">
      <c r="A4543" s="1">
        <v>3.0</v>
      </c>
      <c r="B4543" s="1" t="s">
        <v>4526</v>
      </c>
      <c r="C4543" t="str">
        <f>IFERROR(__xludf.DUMMYFUNCTION("GOOGLETRANSLATE(B4543, ""zh"", ""en"")"),"Cheap, flawed, but very comfortable shoes looks like a substandard product, right upper obviously biased, look at the much cheaper than the store's sake, to reclaim the. But having said that, really comfortable to wear.")</f>
        <v>Cheap, flawed, but very comfortable shoes looks like a substandard product, right upper obviously biased, look at the much cheaper than the store's sake, to reclaim the. But having said that, really comfortable to wear.</v>
      </c>
    </row>
    <row r="4544">
      <c r="A4544" s="1">
        <v>3.0</v>
      </c>
      <c r="B4544" s="1" t="s">
        <v>4527</v>
      </c>
      <c r="C4544" t="str">
        <f>IFERROR(__xludf.DUMMYFUNCTION("GOOGLETRANSLATE(B4544, ""zh"", ""en"")"),"Too big too big, 180 tall, 185 pounds of large size is too large, the code can be, read other people's comments, go to buy two are big.")</f>
        <v>Too big too big, 180 tall, 185 pounds of large size is too large, the code can be, read other people's comments, go to buy two are big.</v>
      </c>
    </row>
    <row r="4545">
      <c r="A4545" s="1">
        <v>1.0</v>
      </c>
      <c r="B4545" s="1" t="s">
        <v>4528</v>
      </c>
      <c r="C4545" t="str">
        <f>IFERROR(__xludf.DUMMYFUNCTION("GOOGLETRANSLATE(B4545, ""zh"", ""en"")"),"Battery not tax the product is good, only a brush, prepaid taxes can not provide tax, has been unable to solve! The next day will be prompted to use the full power of the flash lamp")</f>
        <v>Battery not tax the product is good, only a brush, prepaid taxes can not provide tax, has been unable to solve! The next day will be prompted to use the full power of the flash lamp</v>
      </c>
    </row>
    <row r="4546">
      <c r="A4546" s="1">
        <v>1.0</v>
      </c>
      <c r="B4546" s="1" t="s">
        <v>4529</v>
      </c>
      <c r="C4546" t="str">
        <f>IFERROR(__xludf.DUMMYFUNCTION("GOOGLETRANSLATE(B4546, ""zh"", ""en"")"),"Black fade serious generally do not comment, but this shopping experience is really bad! T-shirts can understand a little big, but fade serious to tolerate, especially this black, or black water, wash the pots, and water which has a particularly large num"&amp;"ber of black slag slag line, seven or eight times to wash all wash clean ~")</f>
        <v>Black fade serious generally do not comment, but this shopping experience is really bad! T-shirts can understand a little big, but fade serious to tolerate, especially this black, or black water, wash the pots, and water which has a particularly large number of black slag slag line, seven or eight times to wash all wash clean ~</v>
      </c>
    </row>
    <row r="4547">
      <c r="A4547" s="1">
        <v>1.0</v>
      </c>
      <c r="B4547" s="1" t="s">
        <v>4530</v>
      </c>
      <c r="C4547" t="str">
        <f>IFERROR(__xludf.DUMMYFUNCTION("GOOGLETRANSLATE(B4547, ""zh"", ""en"")"),"There is a serious scratches scratches, like second-hand")</f>
        <v>There is a serious scratches scratches, like second-hand</v>
      </c>
    </row>
    <row r="4548">
      <c r="A4548" s="1">
        <v>4.0</v>
      </c>
      <c r="B4548" s="1" t="s">
        <v>4531</v>
      </c>
      <c r="C4548" t="str">
        <f>IFERROR(__xludf.DUMMYFUNCTION("GOOGLETRANSLATE(B4548, ""zh"", ""en"")"),"Wear comfortable cotton fabrics, will not generate static electricity")</f>
        <v>Wear comfortable cotton fabrics, will not generate static electricity</v>
      </c>
    </row>
    <row r="4549">
      <c r="A4549" s="1">
        <v>4.0</v>
      </c>
      <c r="B4549" s="1" t="s">
        <v>4532</v>
      </c>
      <c r="C4549" t="str">
        <f>IFERROR(__xludf.DUMMYFUNCTION("GOOGLETRANSLATE(B4549, ""zh"", ""en"")"),"The high price of high prices")</f>
        <v>The high price of high prices</v>
      </c>
    </row>
    <row r="4550">
      <c r="A4550" s="1">
        <v>4.0</v>
      </c>
      <c r="B4550" s="1" t="s">
        <v>4533</v>
      </c>
      <c r="C4550" t="str">
        <f>IFERROR(__xludf.DUMMYFUNCTION("GOOGLETRANSLATE(B4550, ""zh"", ""en"")"),"Product reviews My height 178cm, weight 87kg, waist circumference 2 feet 7, wearing just. But the color does not match the picture, not brown, a bit like a real green. Pants made in China is Bangladesh, 98% cotton, 2% spandex. After opening the package, t"&amp;"here is an odor. A water wash, fade.")</f>
        <v>Product reviews My height 178cm, weight 87kg, waist circumference 2 feet 7, wearing just. But the color does not match the picture, not brown, a bit like a real green. Pants made in China is Bangladesh, 98% cotton, 2% spandex. After opening the package, there is an odor. A water wash, fade.</v>
      </c>
    </row>
    <row r="4551">
      <c r="A4551" s="1">
        <v>4.0</v>
      </c>
      <c r="B4551" s="1" t="s">
        <v>4534</v>
      </c>
      <c r="C4551" t="str">
        <f>IFERROR(__xludf.DUMMYFUNCTION("GOOGLETRANSLATE(B4551, ""zh"", ""en"")"),"Good work, good work, not willing to use, should be good,")</f>
        <v>Good work, good work, not willing to use, should be good,</v>
      </c>
    </row>
    <row r="4552">
      <c r="A4552" s="1">
        <v>5.0</v>
      </c>
      <c r="B4552" s="1" t="s">
        <v>4535</v>
      </c>
      <c r="C4552" t="str">
        <f>IFERROR(__xludf.DUMMYFUNCTION("GOOGLETRANSLATE(B4552, ""zh"", ""en"")"),"Big a yard big a yard. S code should be 78-80 waist length 30.")</f>
        <v>Big a yard big a yard. S code should be 78-80 waist length 30.</v>
      </c>
    </row>
    <row r="4553">
      <c r="A4553" s="1">
        <v>5.0</v>
      </c>
      <c r="B4553" s="1" t="s">
        <v>4536</v>
      </c>
      <c r="C4553" t="str">
        <f>IFERROR(__xludf.DUMMYFUNCTION("GOOGLETRANSLATE(B4553, ""zh"", ""en"")"),"Very very strong very well liked, do not know can not be maintained, the tip soft, long time, distorted")</f>
        <v>Very very strong very well liked, do not know can not be maintained, the tip soft, long time, distorted</v>
      </c>
    </row>
    <row r="4554">
      <c r="A4554" s="1">
        <v>5.0</v>
      </c>
      <c r="B4554" s="1" t="s">
        <v>4537</v>
      </c>
      <c r="C4554" t="str">
        <f>IFERROR(__xludf.DUMMYFUNCTION("GOOGLETRANSLATE(B4554, ""zh"", ""en"")"),"Very appropriate size is very appropriate length just right")</f>
        <v>Very appropriate size is very appropriate length just right</v>
      </c>
    </row>
    <row r="4555">
      <c r="A4555" s="1">
        <v>5.0</v>
      </c>
      <c r="B4555" s="1" t="s">
        <v>4538</v>
      </c>
      <c r="C4555" t="str">
        <f>IFERROR(__xludf.DUMMYFUNCTION("GOOGLETRANSLATE(B4555, ""zh"", ""en"")"),"Very good with a very nice, very clean brush")</f>
        <v>Very good with a very nice, very clean brush</v>
      </c>
    </row>
    <row r="4556">
      <c r="A4556" s="1">
        <v>5.0</v>
      </c>
      <c r="B4556" s="1" t="s">
        <v>4539</v>
      </c>
      <c r="C4556" t="str">
        <f>IFERROR(__xludf.DUMMYFUNCTION("GOOGLETRANSLATE(B4556, ""zh"", ""en"")"),"Inexpensive like the appearance of this product, more suitable for a street wear. The sound quality is really good, the sound effects are pretty cool. Yes!")</f>
        <v>Inexpensive like the appearance of this product, more suitable for a street wear. The sound quality is really good, the sound effects are pretty cool. Yes!</v>
      </c>
    </row>
    <row r="4557">
      <c r="A4557" s="1">
        <v>5.0</v>
      </c>
      <c r="B4557" s="1" t="s">
        <v>4540</v>
      </c>
      <c r="C4557" t="str">
        <f>IFERROR(__xludf.DUMMYFUNCTION("GOOGLETRANSLATE(B4557, ""zh"", ""en"")"),"Pretty! Nice big tofu, is indeed the flagship Parker pen!")</f>
        <v>Pretty! Nice big tofu, is indeed the flagship Parker pen!</v>
      </c>
    </row>
    <row r="4558">
      <c r="A4558" s="1">
        <v>5.0</v>
      </c>
      <c r="B4558" s="1" t="s">
        <v>4541</v>
      </c>
      <c r="C4558" t="str">
        <f>IFERROR(__xludf.DUMMYFUNCTION("GOOGLETRANSLATE(B4558, ""zh"", ""en"")"),"Cheap leather, but the skin is not very thick kind, it is very appropriate than the big three yards of pants.")</f>
        <v>Cheap leather, but the skin is not very thick kind, it is very appropriate than the big three yards of pants.</v>
      </c>
    </row>
    <row r="4559">
      <c r="A4559" s="1">
        <v>5.0</v>
      </c>
      <c r="B4559" s="1" t="s">
        <v>4542</v>
      </c>
      <c r="C4559" t="str">
        <f>IFERROR(__xludf.DUMMYFUNCTION("GOOGLETRANSLATE(B4559, ""zh"", ""en"")"),"very nice fit, perfect size")</f>
        <v>very nice fit, perfect size</v>
      </c>
    </row>
    <row r="4560">
      <c r="A4560" s="1">
        <v>5.0</v>
      </c>
      <c r="B4560" s="1" t="s">
        <v>4543</v>
      </c>
      <c r="C4560" t="str">
        <f>IFERROR(__xludf.DUMMYFUNCTION("GOOGLETRANSLATE(B4560, ""zh"", ""en"")"),"Bodi shoes a little big or large expected a good-looking")</f>
        <v>Bodi shoes a little big or large expected a good-looking</v>
      </c>
    </row>
    <row r="4561">
      <c r="A4561" s="1">
        <v>5.0</v>
      </c>
      <c r="B4561" s="1" t="s">
        <v>4544</v>
      </c>
      <c r="C4561" t="str">
        <f>IFERROR(__xludf.DUMMYFUNCTION("GOOGLETRANSLATE(B4561, ""zh"", ""en"")"),"Biore Biore hand soap foam seal extruded soap is very beautiful, clean and good results not to hurt the hand.")</f>
        <v>Biore Biore hand soap foam seal extruded soap is very beautiful, clean and good results not to hurt the hand.</v>
      </c>
    </row>
    <row r="4562">
      <c r="A4562" s="1">
        <v>5.0</v>
      </c>
      <c r="B4562" s="1" t="s">
        <v>4545</v>
      </c>
      <c r="C4562" t="str">
        <f>IFERROR(__xludf.DUMMYFUNCTION("GOOGLETRANSLATE(B4562, ""zh"", ""en"")"),"A little bit rough rough pen nib, suitable for pen writing is very smooth, very comfortable writing")</f>
        <v>A little bit rough rough pen nib, suitable for pen writing is very smooth, very comfortable writing</v>
      </c>
    </row>
    <row r="4563">
      <c r="A4563" s="1">
        <v>5.0</v>
      </c>
      <c r="B4563" s="1" t="s">
        <v>4546</v>
      </c>
      <c r="C4563" t="str">
        <f>IFERROR(__xludf.DUMMYFUNCTION("GOOGLETRANSLATE(B4563, ""zh"", ""en"")"),"Seismic effect is good, a bit too small seismic effect did not have to say, is to see comments buy small, who also did a ...... before that buy big, almost kneeling, fortunately still lose weight, can wear, over time it should just, and then look very bea"&amp;"utiful, very like")</f>
        <v>Seismic effect is good, a bit too small seismic effect did not have to say, is to see comments buy small, who also did a ...... before that buy big, almost kneeling, fortunately still lose weight, can wear, over time it should just, and then look very beautiful, very like</v>
      </c>
    </row>
    <row r="4564">
      <c r="A4564" s="1">
        <v>5.0</v>
      </c>
      <c r="B4564" s="1" t="s">
        <v>4547</v>
      </c>
      <c r="C4564" t="str">
        <f>IFERROR(__xludf.DUMMYFUNCTION("GOOGLETRANSLATE(B4564, ""zh"", ""en"")"),"Well there is a thin fleece inside, the sleeve is padded winter can 170 68 kilograms a little belly, buy s, exactly.")</f>
        <v>Well there is a thin fleece inside, the sleeve is padded winter can 170 68 kilograms a little belly, buy s, exactly.</v>
      </c>
    </row>
    <row r="4565">
      <c r="A4565" s="1">
        <v>5.0</v>
      </c>
      <c r="B4565" s="1" t="s">
        <v>4548</v>
      </c>
      <c r="C4565" t="str">
        <f>IFERROR(__xludf.DUMMYFUNCTION("GOOGLETRANSLATE(B4565, ""zh"", ""en"")"),"High cost plus a turret head 10, plus tax just 200 succeed, the price in the country can only buy four heads. Amazon's overseas purchase or cost-effective. Just a pity that there is no black five concessions, but cheap enough.")</f>
        <v>High cost plus a turret head 10, plus tax just 200 succeed, the price in the country can only buy four heads. Amazon's overseas purchase or cost-effective. Just a pity that there is no black five concessions, but cheap enough.</v>
      </c>
    </row>
    <row r="4566">
      <c r="A4566" s="1">
        <v>5.0</v>
      </c>
      <c r="B4566" s="1" t="s">
        <v>4549</v>
      </c>
      <c r="C4566" t="str">
        <f>IFERROR(__xludf.DUMMYFUNCTION("GOOGLETRANSLATE(B4566, ""zh"", ""en"")"),"Value for money logistics fast, the right size, brand new shoes, very satisfied, the key is the price is right, excellent value for money. recommend!")</f>
        <v>Value for money logistics fast, the right size, brand new shoes, very satisfied, the key is the price is right, excellent value for money. recommend!</v>
      </c>
    </row>
    <row r="4567">
      <c r="A4567" s="1">
        <v>5.0</v>
      </c>
      <c r="B4567" s="1" t="s">
        <v>4550</v>
      </c>
      <c r="C4567" t="str">
        <f>IFERROR(__xludf.DUMMYFUNCTION("GOOGLETRANSLATE(B4567, ""zh"", ""en"")"),"Sound hen bu cuo w sound better and better, just get our hands on feel the sound in general, found that more than a month after listening to sound better and better, I liked it, but also comfortable to wear")</f>
        <v>Sound hen bu cuo w sound better and better, just get our hands on feel the sound in general, found that more than a month after listening to sound better and better, I liked it, but also comfortable to wear</v>
      </c>
    </row>
    <row r="4568">
      <c r="A4568" s="1">
        <v>5.0</v>
      </c>
      <c r="B4568" s="1" t="s">
        <v>4551</v>
      </c>
      <c r="C4568" t="str">
        <f>IFERROR(__xludf.DUMMYFUNCTION("GOOGLETRANSLATE(B4568, ""zh"", ""en"")"),"Like 👍 affordable, comfortable and delicate, love does not address enough. Less than 1,000 yuan to buy, plus tax 1100 yuan. You can buy according to the usual number.")</f>
        <v>Like 👍 affordable, comfortable and delicate, love does not address enough. Less than 1,000 yuan to buy, plus tax 1100 yuan. You can buy according to the usual number.</v>
      </c>
    </row>
    <row r="4569">
      <c r="A4569" s="1">
        <v>5.0</v>
      </c>
      <c r="B4569" s="1" t="s">
        <v>4552</v>
      </c>
      <c r="C4569" t="str">
        <f>IFERROR(__xludf.DUMMYFUNCTION("GOOGLETRANSLATE(B4569, ""zh"", ""en"")"),"To tide point like that is a big point")</f>
        <v>To tide point like that is a big point</v>
      </c>
    </row>
    <row r="4570">
      <c r="A4570" s="1">
        <v>5.0</v>
      </c>
      <c r="B4570" s="1" t="s">
        <v>4553</v>
      </c>
      <c r="C4570" t="str">
        <f>IFERROR(__xludf.DUMMYFUNCTION("GOOGLETRANSLATE(B4570, ""zh"", ""en"")"),"Casio EF106D-2A 1, the appearance looks better, better than the pictures in kind Aspect; 2, quartz watch, when you do not have to go that is certainly more accurate, fast 10 seconds a month. 3, the disadvantage is relatively hard strap. Overall, very sati"&amp;"sfied!")</f>
        <v>Casio EF106D-2A 1, the appearance looks better, better than the pictures in kind Aspect; 2, quartz watch, when you do not have to go that is certainly more accurate, fast 10 seconds a month. 3, the disadvantage is relatively hard strap. Overall, very satisfied!</v>
      </c>
    </row>
    <row r="4571">
      <c r="A4571" s="1">
        <v>5.0</v>
      </c>
      <c r="B4571" s="1" t="s">
        <v>4554</v>
      </c>
      <c r="C4571" t="str">
        <f>IFERROR(__xludf.DUMMYFUNCTION("GOOGLETRANSLATE(B4571, ""zh"", ""en"")"),"Worth buying waist circumference slightly larger point, but the quality and price did not say")</f>
        <v>Worth buying waist circumference slightly larger point, but the quality and price did not say</v>
      </c>
    </row>
    <row r="4572">
      <c r="A4572" s="1">
        <v>5.0</v>
      </c>
      <c r="B4572" s="1" t="s">
        <v>4555</v>
      </c>
      <c r="C4572" t="str">
        <f>IFERROR(__xludf.DUMMYFUNCTION("GOOGLETRANSLATE(B4572, ""zh"", ""en"")"),"Soft and comfortable not very thick, inside a thin layer, soft and comfortable")</f>
        <v>Soft and comfortable not very thick, inside a thin layer, soft and comfortable</v>
      </c>
    </row>
    <row r="4573">
      <c r="A4573" s="1">
        <v>5.0</v>
      </c>
      <c r="B4573" s="1" t="s">
        <v>4556</v>
      </c>
      <c r="C4573" t="str">
        <f>IFERROR(__xludf.DUMMYFUNCTION("GOOGLETRANSLATE(B4573, ""zh"", ""en"")"),"Really great value to the country for four days to send the SF! Oh, next time to buy good value for money")</f>
        <v>Really great value to the country for four days to send the SF! Oh, next time to buy good value for money</v>
      </c>
    </row>
    <row r="4574">
      <c r="A4574" s="1">
        <v>2.0</v>
      </c>
      <c r="B4574" s="1" t="s">
        <v>4557</v>
      </c>
      <c r="C4574" t="str">
        <f>IFERROR(__xludf.DUMMYFUNCTION("GOOGLETRANSLATE(B4574, ""zh"", ""en"")"),"Quality worrying T-shirt no color, material comfort, but the quality is worrying, because the price is affordable, free shipping to scrape together four, including two seam cracking, Americans do not check carefully, really unpleasant.")</f>
        <v>Quality worrying T-shirt no color, material comfort, but the quality is worrying, because the price is affordable, free shipping to scrape together four, including two seam cracking, Americans do not check carefully, really unpleasant.</v>
      </c>
    </row>
    <row r="4575">
      <c r="A4575" s="1">
        <v>3.0</v>
      </c>
      <c r="B4575" s="1" t="s">
        <v>4558</v>
      </c>
      <c r="C4575" t="str">
        <f>IFERROR(__xludf.DUMMYFUNCTION("GOOGLETRANSLATE(B4575, ""zh"", ""en"")"),"Shed black Shed, not a good imagination.")</f>
        <v>Shed black Shed, not a good imagination.</v>
      </c>
    </row>
    <row r="4576">
      <c r="A4576" s="1">
        <v>3.0</v>
      </c>
      <c r="B4576" s="1" t="s">
        <v>4559</v>
      </c>
      <c r="C4576" t="str">
        <f>IFERROR(__xludf.DUMMYFUNCTION("GOOGLETRANSLATE(B4576, ""zh"", ""en"")"),"OK speaker noise floor is fairly small, and no one else said so much, I was alone in a plug socket. You can clearly feel a lot stronger than hundreds of small speakers, listen to pop music but really not very good.")</f>
        <v>OK speaker noise floor is fairly small, and no one else said so much, I was alone in a plug socket. You can clearly feel a lot stronger than hundreds of small speakers, listen to pop music but really not very good.</v>
      </c>
    </row>
    <row r="4577">
      <c r="A4577" s="1">
        <v>3.0</v>
      </c>
      <c r="B4577" s="1" t="s">
        <v>4560</v>
      </c>
      <c r="C4577" t="str">
        <f>IFERROR(__xludf.DUMMYFUNCTION("GOOGLETRANSLATE(B4577, ""zh"", ""en"")"),"Germany to send over not quite understand what the packaging is no packaging machine will not receive the original box did not break out of the box sets of transport is difficult to see the machine simply is not broken even if it looks like there is very "&amp;"unstable trial capsule? ? ? I did not see")</f>
        <v>Germany to send over not quite understand what the packaging is no packaging machine will not receive the original box did not break out of the box sets of transport is difficult to see the machine simply is not broken even if it looks like there is very unstable trial capsule? ? ? I did not see</v>
      </c>
    </row>
    <row r="4578">
      <c r="A4578" s="1">
        <v>1.0</v>
      </c>
      <c r="B4578" s="1" t="s">
        <v>4561</v>
      </c>
      <c r="C4578" t="str">
        <f>IFERROR(__xludf.DUMMYFUNCTION("GOOGLETRANSLATE(B4578, ""zh"", ""en"")"),"Holding a solar-powered watch watch very light, looked like children watch, really cheap goods not good ah! Buy is indeed blue dial, but received a black dial, with the picture is not the same,")</f>
        <v>Holding a solar-powered watch watch very light, looked like children watch, really cheap goods not good ah! Buy is indeed blue dial, but received a black dial, with the picture is not the same,</v>
      </c>
    </row>
    <row r="4579">
      <c r="A4579" s="1">
        <v>1.0</v>
      </c>
      <c r="B4579" s="1" t="s">
        <v>4562</v>
      </c>
      <c r="C4579" t="str">
        <f>IFERROR(__xludf.DUMMYFUNCTION("GOOGLETRANSLATE(B4579, ""zh"", ""en"")"),"Do not buy do not buy, say it is tears ah, took a couple of months and it broke, do not give domestic warranty, find their own repair repair can not say, circuit boards are sealed with glue, can not service. Pit dead.")</f>
        <v>Do not buy do not buy, say it is tears ah, took a couple of months and it broke, do not give domestic warranty, find their own repair repair can not say, circuit boards are sealed with glue, can not service. Pit dead.</v>
      </c>
    </row>
    <row r="4580">
      <c r="A4580" s="1">
        <v>4.0</v>
      </c>
      <c r="B4580" s="1" t="s">
        <v>4563</v>
      </c>
      <c r="C4580" t="str">
        <f>IFERROR(__xludf.DUMMYFUNCTION("GOOGLETRANSLATE(B4580, ""zh"", ""en"")"),"General General, 172,65kg, s little tight Clothes")</f>
        <v>General General, 172,65kg, s little tight Clothes</v>
      </c>
    </row>
    <row r="4581">
      <c r="A4581" s="1">
        <v>4.0</v>
      </c>
      <c r="B4581" s="1" t="s">
        <v>4564</v>
      </c>
      <c r="C4581" t="str">
        <f>IFERROR(__xludf.DUMMYFUNCTION("GOOGLETRANSLATE(B4581, ""zh"", ""en"")"),"Good quality impress very good, especially the soles very good. But if shoes are not very delicate, a little man a little. Suitable handsome girls")</f>
        <v>Good quality impress very good, especially the soles very good. But if shoes are not very delicate, a little man a little. Suitable handsome girls</v>
      </c>
    </row>
    <row r="4582">
      <c r="A4582" s="1">
        <v>4.0</v>
      </c>
      <c r="B4582" s="1" t="s">
        <v>4565</v>
      </c>
      <c r="C4582" t="str">
        <f>IFERROR(__xludf.DUMMYFUNCTION("GOOGLETRANSLATE(B4582, ""zh"", ""en"")"),"Quality in general it suitable for spring wear, fabric good, work so-so, after all, so much money.")</f>
        <v>Quality in general it suitable for spring wear, fabric good, work so-so, after all, so much money.</v>
      </c>
    </row>
    <row r="4583">
      <c r="A4583" s="1">
        <v>4.0</v>
      </c>
      <c r="B4583" s="1" t="s">
        <v>4566</v>
      </c>
      <c r="C4583" t="str">
        <f>IFERROR(__xludf.DUMMYFUNCTION("GOOGLETRANSLATE(B4583, ""zh"", ""en"")"),"Easy to fade like the style, size 34 is just right, work is also good, but after some time the Department has faint traces circles on the waistline.")</f>
        <v>Easy to fade like the style, size 34 is just right, work is also good, but after some time the Department has faint traces circles on the waistline.</v>
      </c>
    </row>
    <row r="4584">
      <c r="A4584" s="1">
        <v>4.0</v>
      </c>
      <c r="B4584" s="1" t="s">
        <v>4567</v>
      </c>
      <c r="C4584" t="str">
        <f>IFERROR(__xludf.DUMMYFUNCTION("GOOGLETRANSLATE(B4584, ""zh"", ""en"")"),"Material is very thick, work in general the US version of a common problem, people hurry to work, the price casual Pei-ling")</f>
        <v>Material is very thick, work in general the US version of a common problem, people hurry to work, the price casual Pei-ling</v>
      </c>
    </row>
    <row r="4585">
      <c r="A4585" s="1">
        <v>5.0</v>
      </c>
      <c r="B4585" s="1" t="s">
        <v>4568</v>
      </c>
      <c r="C4585" t="str">
        <f>IFERROR(__xludf.DUMMYFUNCTION("GOOGLETRANSLATE(B4585, ""zh"", ""en"")"),"And domestic packaging different feel very good, did not completely cover the taste.")</f>
        <v>And domestic packaging different feel very good, did not completely cover the taste.</v>
      </c>
    </row>
    <row r="4586">
      <c r="A4586" s="1">
        <v>5.0</v>
      </c>
      <c r="B4586" s="1" t="s">
        <v>4569</v>
      </c>
      <c r="C4586" t="str">
        <f>IFERROR(__xludf.DUMMYFUNCTION("GOOGLETRANSLATE(B4586, ""zh"", ""en"")"),"Buy most of the code is not suitable for jogging, running 10 kilometers feeling more rigid shoes, walking can also be, in short, well, most of the code buy shoes")</f>
        <v>Buy most of the code is not suitable for jogging, running 10 kilometers feeling more rigid shoes, walking can also be, in short, well, most of the code buy shoes</v>
      </c>
    </row>
    <row r="4587">
      <c r="A4587" s="1">
        <v>5.0</v>
      </c>
      <c r="B4587" s="1" t="s">
        <v>4570</v>
      </c>
      <c r="C4587" t="str">
        <f>IFERROR(__xludf.DUMMYFUNCTION("GOOGLETRANSLATE(B4587, ""zh"", ""en"")"),"Figure nib iridium grain color is like the color, but vibrant blue did not think. In addition EF sharp comparative hanging paper, estimated that at least one week to write the word pen to running good!")</f>
        <v>Figure nib iridium grain color is like the color, but vibrant blue did not think. In addition EF sharp comparative hanging paper, estimated that at least one week to write the word pen to running good!</v>
      </c>
    </row>
    <row r="4588">
      <c r="A4588" s="1">
        <v>5.0</v>
      </c>
      <c r="B4588" s="1" t="s">
        <v>4571</v>
      </c>
      <c r="C4588" t="str">
        <f>IFERROR(__xludf.DUMMYFUNCTION("GOOGLETRANSLATE(B4588, ""zh"", ""en"")"),"Size gray often good quality, I 178/62, M code slightly loose, feel good, for your reference Ha.")</f>
        <v>Size gray often good quality, I 178/62, M code slightly loose, feel good, for your reference Ha.</v>
      </c>
    </row>
    <row r="4589">
      <c r="A4589" s="1">
        <v>5.0</v>
      </c>
      <c r="B4589" s="1" t="s">
        <v>4572</v>
      </c>
      <c r="C4589" t="str">
        <f>IFERROR(__xludf.DUMMYFUNCTION("GOOGLETRANSLATE(B4589, ""zh"", ""en"")"),"According to 250 feet long to buy right foot")</f>
        <v>According to 250 feet long to buy right foot</v>
      </c>
    </row>
    <row r="4590">
      <c r="A4590" s="1">
        <v>5.0</v>
      </c>
      <c r="B4590" s="1" t="s">
        <v>4573</v>
      </c>
      <c r="C4590" t="str">
        <f>IFERROR(__xludf.DUMMYFUNCTION("GOOGLETRANSLATE(B4590, ""zh"", ""en"")"),"Breathable, fit. not bad. Comfortable to wear, activity without restraint.")</f>
        <v>Breathable, fit. not bad. Comfortable to wear, activity without restraint.</v>
      </c>
    </row>
    <row r="4591">
      <c r="A4591" s="1">
        <v>5.0</v>
      </c>
      <c r="B4591" s="1" t="s">
        <v>4574</v>
      </c>
      <c r="C4591" t="str">
        <f>IFERROR(__xludf.DUMMYFUNCTION("GOOGLETRANSLATE(B4591, ""zh"", ""en"")"),"Good eighth shirt, first bought a white, a black supplemented.")</f>
        <v>Good eighth shirt, first bought a white, a black supplemented.</v>
      </c>
    </row>
    <row r="4592">
      <c r="A4592" s="1">
        <v>5.0</v>
      </c>
      <c r="B4592" s="1" t="s">
        <v>976</v>
      </c>
      <c r="C4592" t="str">
        <f>IFERROR(__xludf.DUMMYFUNCTION("GOOGLETRANSLATE(B4592, ""zh"", ""en"")"),"Very, very good, never went before the evaluation, I do not know how many wasted points, points can change money now know, they should look carefully evaluated, then I put these words to copy to go, both to earn points, but also the easy way to go where c"&amp;"opy where, most importantly, do not seriously review, do not think how much worse word, sent directly to it, recommend it to everyone! !")</f>
        <v>Very, very good, never went before the evaluation, I do not know how many wasted points, points can change money now know, they should look carefully evaluated, then I put these words to copy to go, both to earn points, but also the easy way to go where copy where, most importantly, do not seriously review, do not think how much worse word, sent directly to it, recommend it to everyone! !</v>
      </c>
    </row>
    <row r="4593">
      <c r="A4593" s="1">
        <v>5.0</v>
      </c>
      <c r="B4593" s="1" t="s">
        <v>4575</v>
      </c>
      <c r="C4593" t="str">
        <f>IFERROR(__xludf.DUMMYFUNCTION("GOOGLETRANSLATE(B4593, ""zh"", ""en"")"),"Good buy something good short is the wrong size short point")</f>
        <v>Good buy something good short is the wrong size short point</v>
      </c>
    </row>
    <row r="4594">
      <c r="A4594" s="1">
        <v>5.0</v>
      </c>
      <c r="B4594" s="1" t="s">
        <v>4576</v>
      </c>
      <c r="C4594" t="str">
        <f>IFERROR(__xludf.DUMMYFUNCTION("GOOGLETRANSLATE(B4594, ""zh"", ""en"")"),"Yes this is true can be used at different stages and gave a friend bought two sets")</f>
        <v>Yes this is true can be used at different stages and gave a friend bought two sets</v>
      </c>
    </row>
    <row r="4595">
      <c r="A4595" s="1">
        <v>5.0</v>
      </c>
      <c r="B4595" s="1" t="s">
        <v>4577</v>
      </c>
      <c r="C4595" t="str">
        <f>IFERROR(__xludf.DUMMYFUNCTION("GOOGLETRANSLATE(B4595, ""zh"", ""en"")"),"I liked to wear comfortable, very fit")</f>
        <v>I liked to wear comfortable, very fit</v>
      </c>
    </row>
    <row r="4596">
      <c r="A4596" s="1">
        <v>5.0</v>
      </c>
      <c r="B4596" s="1" t="s">
        <v>4578</v>
      </c>
      <c r="C4596" t="str">
        <f>IFERROR(__xludf.DUMMYFUNCTION("GOOGLETRANSLATE(B4596, ""zh"", ""en"")"),"Genuine good quality")</f>
        <v>Genuine good quality</v>
      </c>
    </row>
    <row r="4597">
      <c r="A4597" s="1">
        <v>5.0</v>
      </c>
      <c r="B4597" s="1" t="s">
        <v>4579</v>
      </c>
      <c r="C4597" t="str">
        <f>IFERROR(__xludf.DUMMYFUNCTION("GOOGLETRANSLATE(B4597, ""zh"", ""en"")"),"good very good")</f>
        <v>good very good</v>
      </c>
    </row>
    <row r="4598">
      <c r="A4598" s="1">
        <v>5.0</v>
      </c>
      <c r="B4598" s="1" t="s">
        <v>4580</v>
      </c>
      <c r="C4598" t="str">
        <f>IFERROR(__xludf.DUMMYFUNCTION("GOOGLETRANSLATE(B4598, ""zh"", ""en"")"),"It is recommended that the son has been eating probiotics, good")</f>
        <v>It is recommended that the son has been eating probiotics, good</v>
      </c>
    </row>
    <row r="4599">
      <c r="A4599" s="1">
        <v>5.0</v>
      </c>
      <c r="B4599" s="1" t="s">
        <v>4581</v>
      </c>
      <c r="C4599" t="str">
        <f>IFERROR(__xludf.DUMMYFUNCTION("GOOGLETRANSLATE(B4599, ""zh"", ""en"")"),"Good, oh super good, cheap and easy to use.")</f>
        <v>Good, oh super good, cheap and easy to use.</v>
      </c>
    </row>
    <row r="4600">
      <c r="A4600" s="1">
        <v>5.0</v>
      </c>
      <c r="B4600" s="1" t="s">
        <v>4582</v>
      </c>
      <c r="C4600" t="str">
        <f>IFERROR(__xludf.DUMMYFUNCTION("GOOGLETRANSLATE(B4600, ""zh"", ""en"")"),"Vegetables are good to eat with this good")</f>
        <v>Vegetables are good to eat with this good</v>
      </c>
    </row>
    <row r="4601">
      <c r="A4601" s="1">
        <v>5.0</v>
      </c>
      <c r="B4601" s="1" t="s">
        <v>4583</v>
      </c>
      <c r="C4601" t="str">
        <f>IFERROR(__xludf.DUMMYFUNCTION("GOOGLETRANSLATE(B4601, ""zh"", ""en"")"),"The right size, comfortable size ECCO's very consistent, has selected 42 yards (8.5), very fit, comfortable, price is not bad. ECCO shoes in recent years is the feeling of quality has declined, mainly the decline in the quality of the soles, often upper s"&amp;"ub still intact, the soles fell off and cracked, which I do not know how to double?")</f>
        <v>The right size, comfortable size ECCO's very consistent, has selected 42 yards (8.5), very fit, comfortable, price is not bad. ECCO shoes in recent years is the feeling of quality has declined, mainly the decline in the quality of the soles, often upper sub still intact, the soles fell off and cracked, which I do not know how to double?</v>
      </c>
    </row>
    <row r="4602">
      <c r="A4602" s="1">
        <v>5.0</v>
      </c>
      <c r="B4602" s="1" t="s">
        <v>4584</v>
      </c>
      <c r="C4602" t="str">
        <f>IFERROR(__xludf.DUMMYFUNCTION("GOOGLETRANSLATE(B4602, ""zh"", ""en"")"),"Very, very good made in Japan. Comfort. 170CM, 72KG this number just right, fit. Warm feeling also can put some of the really warming up. recommend!")</f>
        <v>Very, very good made in Japan. Comfort. 170CM, 72KG this number just right, fit. Warm feeling also can put some of the really warming up. recommend!</v>
      </c>
    </row>
    <row r="4603">
      <c r="A4603" s="1">
        <v>5.0</v>
      </c>
      <c r="B4603" s="1" t="s">
        <v>4585</v>
      </c>
      <c r="C4603" t="str">
        <f>IFERROR(__xludf.DUMMYFUNCTION("GOOGLETRANSLATE(B4603, ""zh"", ""en"")"),"Sea Amoy genuine origin of shipments, children's electric toothbrush replaced with, no problems, authentic, cheaper than domestic.")</f>
        <v>Sea Amoy genuine origin of shipments, children's electric toothbrush replaced with, no problems, authentic, cheaper than domestic.</v>
      </c>
    </row>
    <row r="4604">
      <c r="A4604" s="1">
        <v>5.0</v>
      </c>
      <c r="B4604" s="1" t="s">
        <v>4586</v>
      </c>
      <c r="C4604" t="str">
        <f>IFERROR(__xludf.DUMMYFUNCTION("GOOGLETRANSLATE(B4604, ""zh"", ""en"")"),"111 direct mail three days on hand, too fast, hard disk is very beautiful, is the built-in hard disk shrink severely, put the computer inside the transmission speed it up and down in the 130m, Internet search a bit this dish is not very good, one of the t"&amp;"otal price of a goods, but also good")</f>
        <v>111 direct mail three days on hand, too fast, hard disk is very beautiful, is the built-in hard disk shrink severely, put the computer inside the transmission speed it up and down in the 130m, Internet search a bit this dish is not very good, one of the total price of a goods, but also good</v>
      </c>
    </row>
    <row r="4605">
      <c r="A4605" s="1">
        <v>5.0</v>
      </c>
      <c r="B4605" s="1" t="s">
        <v>4587</v>
      </c>
      <c r="C4605" t="str">
        <f>IFERROR(__xludf.DUMMYFUNCTION("GOOGLETRANSLATE(B4605, ""zh"", ""en"")"),"Before the water purifier is easy to buy in Deya, transport back. You can now filter direct mail, and very convenient, always had hope.")</f>
        <v>Before the water purifier is easy to buy in Deya, transport back. You can now filter direct mail, and very convenient, always had hope.</v>
      </c>
    </row>
    <row r="4606">
      <c r="A4606" s="1">
        <v>5.0</v>
      </c>
      <c r="B4606" s="1" t="s">
        <v>4588</v>
      </c>
      <c r="C4606" t="str">
        <f>IFERROR(__xludf.DUMMYFUNCTION("GOOGLETRANSLATE(B4606, ""zh"", ""en"")"),"Good shoes are very beautiful, usually wear 41, bought US size 8, exactly. Price is very competitive.")</f>
        <v>Good shoes are very beautiful, usually wear 41, bought US size 8, exactly. Price is very competitive.</v>
      </c>
    </row>
    <row r="4607">
      <c r="A4607" s="1">
        <v>2.0</v>
      </c>
      <c r="B4607" s="1" t="s">
        <v>4589</v>
      </c>
      <c r="C4607" t="str">
        <f>IFERROR(__xludf.DUMMYFUNCTION("GOOGLETRANSLATE(B4607, ""zh"", ""en"")"),"When buying shoes, big signs fail to forget is produced in Indonesia or Vietnam, and leather and photographs vary greatly, because it is easy to stick dust, received the shoes, the shoes seem very old, the color is gray and black. Size is much larger than"&amp;" ordinary shoes, I wear sneakers just 27 feet in the shoes selected CN26.5 greater the distance a finger. The actual head shoes is very short, from top to bottom ugly fly. But the shoes very durable, thin skin, but good quality. Both sides have holes, to "&amp;"take the air.")</f>
        <v>When buying shoes, big signs fail to forget is produced in Indonesia or Vietnam, and leather and photographs vary greatly, because it is easy to stick dust, received the shoes, the shoes seem very old, the color is gray and black. Size is much larger than ordinary shoes, I wear sneakers just 27 feet in the shoes selected CN26.5 greater the distance a finger. The actual head shoes is very short, from top to bottom ugly fly. But the shoes very durable, thin skin, but good quality. Both sides have holes, to take the air.</v>
      </c>
    </row>
    <row r="4608">
      <c r="A4608" s="1">
        <v>3.0</v>
      </c>
      <c r="B4608" s="1" t="s">
        <v>4590</v>
      </c>
      <c r="C4608" t="str">
        <f>IFERROR(__xludf.DUMMYFUNCTION("GOOGLETRANSLATE(B4608, ""zh"", ""en"")"),"Like a general price OK, a hundred dollars, gave a key chain. Fabric feeling is pu, is certainly not leather. Work so-so, not bad, but definitely I'm sorry CK brand image. Size must to talk about, because it is the US version, open the slender, put 100 bi"&amp;"lls barely, measured not more than 15.")</f>
        <v>Like a general price OK, a hundred dollars, gave a key chain. Fabric feeling is pu, is certainly not leather. Work so-so, not bad, but definitely I'm sorry CK brand image. Size must to talk about, because it is the US version, open the slender, put 100 bills barely, measured not more than 15.</v>
      </c>
    </row>
    <row r="4609">
      <c r="A4609" s="1">
        <v>3.0</v>
      </c>
      <c r="B4609" s="1" t="s">
        <v>4591</v>
      </c>
      <c r="C4609" t="str">
        <f>IFERROR(__xludf.DUMMYFUNCTION("GOOGLETRANSLATE(B4609, ""zh"", ""en"")"),"No read speed and no legendary so fast")</f>
        <v>No read speed and no legendary so fast</v>
      </c>
    </row>
    <row r="4610">
      <c r="A4610" s="1">
        <v>1.0</v>
      </c>
      <c r="B4610" s="1" t="s">
        <v>4592</v>
      </c>
      <c r="C4610" t="str">
        <f>IFERROR(__xludf.DUMMYFUNCTION("GOOGLETRANSLATE(B4610, ""zh"", ""en"")"),"Very poor what software is really good garbage pants package even if it was brought to wear pants a bit too inferior to break up")</f>
        <v>Very poor what software is really good garbage pants package even if it was brought to wear pants a bit too inferior to break up</v>
      </c>
    </row>
    <row r="4611">
      <c r="A4611" s="1">
        <v>1.0</v>
      </c>
      <c r="B4611" s="1" t="s">
        <v>4593</v>
      </c>
      <c r="C4611" t="str">
        <f>IFERROR(__xludf.DUMMYFUNCTION("GOOGLETRANSLATE(B4611, ""zh"", ""en"")"),"Poor cover the smell serious, but before I bought that is not the same, the difference in assessment!")</f>
        <v>Poor cover the smell serious, but before I bought that is not the same, the difference in assessment!</v>
      </c>
    </row>
    <row r="4612">
      <c r="A4612" s="1">
        <v>4.0</v>
      </c>
      <c r="B4612" s="1" t="s">
        <v>4594</v>
      </c>
      <c r="C4612" t="str">
        <f>IFERROR(__xludf.DUMMYFUNCTION("GOOGLETRANSLATE(B4612, ""zh"", ""en"")"),"Headphone cable is very fragile, remember to buy a spare original special buy, and now the price is also cheaper than at the time, especially to recall. The sound quality is still possible, just listen; noise immunity naturally not as active noise reducti"&amp;"on. Wearing a long time does not hurt, good comfort. Headphone cable is a best buy. If you want to take sports, then you can buy a Bluetooth version.")</f>
        <v>Headphone cable is very fragile, remember to buy a spare original special buy, and now the price is also cheaper than at the time, especially to recall. The sound quality is still possible, just listen; noise immunity naturally not as active noise reduction. Wearing a long time does not hurt, good comfort. Headphone cable is a best buy. If you want to take sports, then you can buy a Bluetooth version.</v>
      </c>
    </row>
    <row r="4613">
      <c r="A4613" s="1">
        <v>4.0</v>
      </c>
      <c r="B4613" s="1" t="s">
        <v>4595</v>
      </c>
      <c r="C4613" t="str">
        <f>IFERROR(__xludf.DUMMYFUNCTION("GOOGLETRANSLATE(B4613, ""zh"", ""en"")"),"And better quality cloth, a little too small! And better quality cloth, a little too small!")</f>
        <v>And better quality cloth, a little too small! And better quality cloth, a little too small!</v>
      </c>
    </row>
    <row r="4614">
      <c r="A4614" s="1">
        <v>4.0</v>
      </c>
      <c r="B4614" s="1" t="s">
        <v>4596</v>
      </c>
      <c r="C4614" t="str">
        <f>IFERROR(__xludf.DUMMYFUNCTION("GOOGLETRANSLATE(B4614, ""zh"", ""en"")"),"Oversized shoes look great, a little bit bigger")</f>
        <v>Oversized shoes look great, a little bit bigger</v>
      </c>
    </row>
    <row r="4615">
      <c r="A4615" s="1">
        <v>4.0</v>
      </c>
      <c r="B4615" s="1" t="s">
        <v>4597</v>
      </c>
      <c r="C4615" t="str">
        <f>IFERROR(__xludf.DUMMYFUNCTION("GOOGLETRANSLATE(B4615, ""zh"", ""en"")"),"Does not exceed the expected election L31 30 very fit for my 170CM, 75KG of, is really not a domestic call Slim models, but still slim! Workmanship is very general, about 250 hand pants, in fact, not very high price, no surprises and no big disappointment"&amp;"! I do not recommend scouring the sea!")</f>
        <v>Does not exceed the expected election L31 30 very fit for my 170CM, 75KG of, is really not a domestic call Slim models, but still slim! Workmanship is very general, about 250 hand pants, in fact, not very high price, no surprises and no big disappointment! I do not recommend scouring the sea!</v>
      </c>
    </row>
    <row r="4616">
      <c r="A4616" s="1">
        <v>4.0</v>
      </c>
      <c r="B4616" s="1" t="s">
        <v>4598</v>
      </c>
      <c r="C4616" t="str">
        <f>IFERROR(__xludf.DUMMYFUNCTION("GOOGLETRANSLATE(B4616, ""zh"", ""en"")"),"Cost can oh pants very thick, not self-cultivation models, is the straight trousers, quality is also good. Suitable for middle-aged men, and pictures differ from product introduction, not so good pants")</f>
        <v>Cost can oh pants very thick, not self-cultivation models, is the straight trousers, quality is also good. Suitable for middle-aged men, and pictures differ from product introduction, not so good pants</v>
      </c>
    </row>
    <row r="4617">
      <c r="A4617" s="1">
        <v>5.0</v>
      </c>
      <c r="B4617" s="1" t="s">
        <v>4599</v>
      </c>
      <c r="C4617" t="str">
        <f>IFERROR(__xludf.DUMMYFUNCTION("GOOGLETRANSLATE(B4617, ""zh"", ""en"")"),"Super favorite bag is great quality work, there is no package may hit Oh! Summer shorts and T-shirt with nice comfortable fried chicken, Bang Bang")</f>
        <v>Super favorite bag is great quality work, there is no package may hit Oh! Summer shorts and T-shirt with nice comfortable fried chicken, Bang Bang</v>
      </c>
    </row>
    <row r="4618">
      <c r="A4618" s="1">
        <v>5.0</v>
      </c>
      <c r="B4618" s="1" t="s">
        <v>4600</v>
      </c>
      <c r="C4618" t="str">
        <f>IFERROR(__xludf.DUMMYFUNCTION("GOOGLETRANSLATE(B4618, ""zh"", ""en"")"),"The right size, that is, code incomplete. Favorite color code to buy is not quite right in accordance with the normal wear of code, see previous comment also tangled for a long time.")</f>
        <v>The right size, that is, code incomplete. Favorite color code to buy is not quite right in accordance with the normal wear of code, see previous comment also tangled for a long time.</v>
      </c>
    </row>
    <row r="4619">
      <c r="A4619" s="1">
        <v>5.0</v>
      </c>
      <c r="B4619" s="1" t="s">
        <v>4601</v>
      </c>
      <c r="C4619" t="str">
        <f>IFERROR(__xludf.DUMMYFUNCTION("GOOGLETRANSLATE(B4619, ""zh"", ""en"")"),"To more consumers good quality 👍🏼 authentic piece of advice, I have been wearing this brand of sport, hope to have more style!")</f>
        <v>To more consumers good quality 👍🏼 authentic piece of advice, I have been wearing this brand of sport, hope to have more style!</v>
      </c>
    </row>
    <row r="4620">
      <c r="A4620" s="1">
        <v>5.0</v>
      </c>
      <c r="B4620" s="1" t="s">
        <v>4602</v>
      </c>
      <c r="C4620" t="str">
        <f>IFERROR(__xludf.DUMMYFUNCTION("GOOGLETRANSLATE(B4620, ""zh"", ""en"")"),"This artifact orange juice machine super convenient and practical. Oranges without peeling, without effort, without wasting fast, easy cleaning. Every day to his son squeezed glass of orange juice are full of love, meet.")</f>
        <v>This artifact orange juice machine super convenient and practical. Oranges without peeling, without effort, without wasting fast, easy cleaning. Every day to his son squeezed glass of orange juice are full of love, meet.</v>
      </c>
    </row>
    <row r="4621">
      <c r="A4621" s="1">
        <v>5.0</v>
      </c>
      <c r="B4621" s="1" t="s">
        <v>4603</v>
      </c>
      <c r="C4621" t="str">
        <f>IFERROR(__xludf.DUMMYFUNCTION("GOOGLETRANSLATE(B4621, ""zh"", ""en"")"),"Warm pants like, super comfortable, it is also repurchased")</f>
        <v>Warm pants like, super comfortable, it is also repurchased</v>
      </c>
    </row>
    <row r="4622">
      <c r="A4622" s="1">
        <v>5.0</v>
      </c>
      <c r="B4622" s="1" t="s">
        <v>4604</v>
      </c>
      <c r="C4622" t="str">
        <f>IFERROR(__xludf.DUMMYFUNCTION("GOOGLETRANSLATE(B4622, ""zh"", ""en"")"),"Big brand soft head is assured, fed very convenient. The child is teething love bite has been chewed up a.")</f>
        <v>Big brand soft head is assured, fed very convenient. The child is teething love bite has been chewed up a.</v>
      </c>
    </row>
    <row r="4623">
      <c r="A4623" s="1">
        <v>5.0</v>
      </c>
      <c r="B4623" s="1" t="s">
        <v>4605</v>
      </c>
      <c r="C4623" t="str">
        <f>IFERROR(__xludf.DUMMYFUNCTION("GOOGLETRANSLATE(B4623, ""zh"", ""en"")"),"Good things worth buying something good, speed is fast, trustworthy!")</f>
        <v>Good things worth buying something good, speed is fast, trustworthy!</v>
      </c>
    </row>
    <row r="4624">
      <c r="A4624" s="1">
        <v>5.0</v>
      </c>
      <c r="B4624" s="1" t="s">
        <v>4606</v>
      </c>
      <c r="C4624" t="str">
        <f>IFERROR(__xludf.DUMMYFUNCTION("GOOGLETRANSLATE(B4624, ""zh"", ""en"")"),"Nice sweaters work well, 180CM, 74 Gongjin buy M number, more appropriate. The only satisfaction is not too thin slightly.")</f>
        <v>Nice sweaters work well, 180CM, 74 Gongjin buy M number, more appropriate. The only satisfaction is not too thin slightly.</v>
      </c>
    </row>
    <row r="4625">
      <c r="A4625" s="1">
        <v>5.0</v>
      </c>
      <c r="B4625" s="1" t="s">
        <v>4607</v>
      </c>
      <c r="C4625" t="str">
        <f>IFERROR(__xludf.DUMMYFUNCTION("GOOGLETRANSLATE(B4625, ""zh"", ""en"")"),"Good week to arrive, more easy to use than ordinary iron, ironing fast cut smooth, the protection function. Unfortunately, there is no instructions in Chinese, I can not find online.")</f>
        <v>Good week to arrive, more easy to use than ordinary iron, ironing fast cut smooth, the protection function. Unfortunately, there is no instructions in Chinese, I can not find online.</v>
      </c>
    </row>
    <row r="4626">
      <c r="A4626" s="1">
        <v>5.0</v>
      </c>
      <c r="B4626" s="1" t="s">
        <v>4608</v>
      </c>
      <c r="C4626" t="str">
        <f>IFERROR(__xludf.DUMMYFUNCTION("GOOGLETRANSLATE(B4626, ""zh"", ""en"")"),"Satisfied with the sound very well. Needs a good source and wire, the price is pretty good")</f>
        <v>Satisfied with the sound very well. Needs a good source and wire, the price is pretty good</v>
      </c>
    </row>
    <row r="4627">
      <c r="A4627" s="1">
        <v>5.0</v>
      </c>
      <c r="B4627" s="1" t="s">
        <v>4609</v>
      </c>
      <c r="C4627" t="str">
        <f>IFERROR(__xludf.DUMMYFUNCTION("GOOGLETRANSLATE(B4627, ""zh"", ""en"")"),"Good quality can be.")</f>
        <v>Good quality can be.</v>
      </c>
    </row>
    <row r="4628">
      <c r="A4628" s="1">
        <v>5.0</v>
      </c>
      <c r="B4628" s="1" t="s">
        <v>4610</v>
      </c>
      <c r="C4628" t="str">
        <f>IFERROR(__xludf.DUMMYFUNCTION("GOOGLETRANSLATE(B4628, ""zh"", ""en"")"),"A very good thermal insulation glass cup to the department are very good, lightweight, insulation, and lock easy to use, without affecting the mouth water.")</f>
        <v>A very good thermal insulation glass cup to the department are very good, lightweight, insulation, and lock easy to use, without affecting the mouth water.</v>
      </c>
    </row>
    <row r="4629">
      <c r="A4629" s="1">
        <v>5.0</v>
      </c>
      <c r="B4629" s="1" t="s">
        <v>4611</v>
      </c>
      <c r="C4629" t="str">
        <f>IFERROR(__xludf.DUMMYFUNCTION("GOOGLETRANSLATE(B4629, ""zh"", ""en"")"),"Good is good, about the size! !")</f>
        <v>Good is good, about the size! !</v>
      </c>
    </row>
    <row r="4630">
      <c r="A4630" s="1">
        <v>5.0</v>
      </c>
      <c r="B4630" s="1" t="s">
        <v>4612</v>
      </c>
      <c r="C4630" t="str">
        <f>IFERROR(__xludf.DUMMYFUNCTION("GOOGLETRANSLATE(B4630, ""zh"", ""en"")"),"And the adult version is certainly worse than the quality of, wearing a look, after all, cheaper British-Vietnamese, 11 days to, I was 35.5 feet, usually 36 to wear shoes, feet too fat, moderate, moderately high instep, after reading the reviews afraid to"&amp;" buy small, after all, very expensive replacement shipping back and forth, starting the big boy on insurance 4.5M point, came back to try find this code is still large (length + width), but fortunately had also wanted increased pad inside, plus thick wint"&amp;"er insole northeast, still not crowded feet. Although buy big yards, and overall have not looked very very fat, after all, the version is also good.")</f>
        <v>And the adult version is certainly worse than the quality of, wearing a look, after all, cheaper British-Vietnamese, 11 days to, I was 35.5 feet, usually 36 to wear shoes, feet too fat, moderate, moderately high instep, after reading the reviews afraid to buy small, after all, very expensive replacement shipping back and forth, starting the big boy on insurance 4.5M point, came back to try find this code is still large (length + width), but fortunately had also wanted increased pad inside, plus thick winter insole northeast, still not crowded feet. Although buy big yards, and overall have not looked very very fat, after all, the version is also good.</v>
      </c>
    </row>
    <row r="4631">
      <c r="A4631" s="1">
        <v>5.0</v>
      </c>
      <c r="B4631" s="1" t="s">
        <v>4613</v>
      </c>
      <c r="C4631" t="str">
        <f>IFERROR(__xludf.DUMMYFUNCTION("GOOGLETRANSLATE(B4631, ""zh"", ""en"")"),"Timberland is very good, usually wear sneakers 37-38, shot 6.5W, it is appropriate.")</f>
        <v>Timberland is very good, usually wear sneakers 37-38, shot 6.5W, it is appropriate.</v>
      </c>
    </row>
    <row r="4632">
      <c r="A4632" s="1">
        <v>5.0</v>
      </c>
      <c r="B4632" s="1" t="s">
        <v>4614</v>
      </c>
      <c r="C4632" t="str">
        <f>IFERROR(__xludf.DUMMYFUNCTION("GOOGLETRANSLATE(B4632, ""zh"", ""en"")"),"Good fabric, classic style very comfortable fabrics, soft but very type, that is, I bought a little ... just slightly larger than the body of the general election trumpet Well mm")</f>
        <v>Good fabric, classic style very comfortable fabrics, soft but very type, that is, I bought a little ... just slightly larger than the body of the general election trumpet Well mm</v>
      </c>
    </row>
    <row r="4633">
      <c r="A4633" s="1">
        <v>5.0</v>
      </c>
      <c r="B4633" s="1" t="s">
        <v>4615</v>
      </c>
      <c r="C4633" t="str">
        <f>IFERROR(__xludf.DUMMYFUNCTION("GOOGLETRANSLATE(B4633, ""zh"", ""en"")"),"Good product! I have been taking very good results!")</f>
        <v>Good product! I have been taking very good results!</v>
      </c>
    </row>
    <row r="4634">
      <c r="A4634" s="1">
        <v>5.0</v>
      </c>
      <c r="B4634" s="1" t="s">
        <v>4616</v>
      </c>
      <c r="C4634" t="str">
        <f>IFERROR(__xludf.DUMMYFUNCTION("GOOGLETRANSLATE(B4634, ""zh"", ""en"")"),"Amazon recommended the right size, it is recommended that the size of the Amazon can do in more detail some of the, say, shoulder, chest, around the bottom, sleeve length, after all, is overseas purchase, return is not easy, the more detailed the more it "&amp;"can help buyers to buy the right thing")</f>
        <v>Amazon recommended the right size, it is recommended that the size of the Amazon can do in more detail some of the, say, shoulder, chest, around the bottom, sleeve length, after all, is overseas purchase, return is not easy, the more detailed the more it can help buyers to buy the right thing</v>
      </c>
    </row>
    <row r="4635">
      <c r="A4635" s="1">
        <v>5.0</v>
      </c>
      <c r="B4635" s="1" t="s">
        <v>4617</v>
      </c>
      <c r="C4635" t="str">
        <f>IFERROR(__xludf.DUMMYFUNCTION("GOOGLETRANSLATE(B4635, ""zh"", ""en"")"),"Men's classic straight jeans jeans is very good! With the expected was good, number provided by the sales consultant is very appropriate. Overseas shopping time president of something, it is worth the wait. I will buy.")</f>
        <v>Men's classic straight jeans jeans is very good! With the expected was good, number provided by the sales consultant is very appropriate. Overseas shopping time president of something, it is worth the wait. I will buy.</v>
      </c>
    </row>
    <row r="4636">
      <c r="A4636" s="1">
        <v>5.0</v>
      </c>
      <c r="B4636" s="1" t="s">
        <v>4618</v>
      </c>
      <c r="C4636" t="str">
        <f>IFERROR(__xludf.DUMMYFUNCTION("GOOGLETRANSLATE(B4636, ""zh"", ""en"")"),"Like the rush of activity, toothbrush really well, and grass is too expensive, or really should be a home staff.")</f>
        <v>Like the rush of activity, toothbrush really well, and grass is too expensive, or really should be a home staff.</v>
      </c>
    </row>
    <row r="4637">
      <c r="A4637" s="1">
        <v>5.0</v>
      </c>
      <c r="B4637" s="1" t="s">
        <v>4619</v>
      </c>
      <c r="C4637" t="str">
        <f>IFERROR(__xludf.DUMMYFUNCTION("GOOGLETRANSLATE(B4637, ""zh"", ""en"")"),"Cost-effective overall good workmanship, the details of the zipper is stainless steel and white pictures do not match, the sleeve belong to the narrow sleeves. As winter coat, I recommend to everyone this section.")</f>
        <v>Cost-effective overall good workmanship, the details of the zipper is stainless steel and white pictures do not match, the sleeve belong to the narrow sleeves. As winter coat, I recommend to everyone this section.</v>
      </c>
    </row>
    <row r="4638">
      <c r="A4638" s="1">
        <v>5.0</v>
      </c>
      <c r="B4638" s="1" t="s">
        <v>4620</v>
      </c>
      <c r="C4638" t="str">
        <f>IFERROR(__xludf.DUMMYFUNCTION("GOOGLETRANSLATE(B4638, ""zh"", ""en"")"),"Same as envisioned, oh well. Pants with domestic than the higher cost.")</f>
        <v>Same as envisioned, oh well. Pants with domestic than the higher cost.</v>
      </c>
    </row>
    <row r="4639">
      <c r="A4639" s="1">
        <v>2.0</v>
      </c>
      <c r="B4639" s="1" t="s">
        <v>4621</v>
      </c>
      <c r="C4639" t="str">
        <f>IFERROR(__xludf.DUMMYFUNCTION("GOOGLETRANSLATE(B4639, ""zh"", ""en"")"),"Cut uncomfortable, unable to fully wrap ass cut uncomfortable, unable to fully wrap ass")</f>
        <v>Cut uncomfortable, unable to fully wrap ass cut uncomfortable, unable to fully wrap ass</v>
      </c>
    </row>
    <row r="4640">
      <c r="A4640" s="1">
        <v>3.0</v>
      </c>
      <c r="B4640" s="1" t="s">
        <v>4622</v>
      </c>
      <c r="C4640" t="str">
        <f>IFERROR(__xludf.DUMMYFUNCTION("GOOGLETRANSLATE(B4640, ""zh"", ""en"")"),"Packing rotten first received take plastic bags loaded bottles, squeezed into what, but fortunately no bad bottle")</f>
        <v>Packing rotten first received take plastic bags loaded bottles, squeezed into what, but fortunately no bad bottle</v>
      </c>
    </row>
    <row r="4641">
      <c r="A4641" s="1">
        <v>1.0</v>
      </c>
      <c r="B4641" s="1" t="s">
        <v>4623</v>
      </c>
      <c r="C4641" t="str">
        <f>IFERROR(__xludf.DUMMYFUNCTION("GOOGLETRANSLATE(B4641, ""zh"", ""en"")"),"US Asia-Pacific crushed to die, recently bought things are not even a box, filled with bags, send us all crushed, pressure flat, Nichia every package very well!")</f>
        <v>US Asia-Pacific crushed to die, recently bought things are not even a box, filled with bags, send us all crushed, pressure flat, Nichia every package very well!</v>
      </c>
    </row>
    <row r="4642">
      <c r="A4642" s="1">
        <v>1.0</v>
      </c>
      <c r="B4642" s="1" t="s">
        <v>4624</v>
      </c>
      <c r="C4642" t="str">
        <f>IFERROR(__xludf.DUMMYFUNCTION("GOOGLETRANSLATE(B4642, ""zh"", ""en"")"),"The actual frequency of use not more than 20 times, and then broken? Suddenly not recognized as such, can not be repaired, monitor out of these, I suspect this is false. Equipment Description: [H:] USB mass storage device (SMI USB MEMORY BAR) device type:"&amp;" mass storage device protocol version: USB 2.10 &amp; lt; - Reminder: the device supports USB3.0 specification, connect it to the USB3.0 interface can improve the performance of current speed: high-speed (HighSpeed) power consumption: 500mA USB device ID: VID"&amp;" = 090C PID = 3267 equipment supplier: Silicon Motion, Inc device name:. SM3267AB MEMORY BAR equipment Revision: manufacturer 0100 products: SMI model: USB MEMORY BAR products Revision: master 1000 Manufacturer: SMI (Silicon Motion) master model: SM3267AE"&amp;"S - ISP NONE flash ID: A4A4A4A4 - 1CE / Single Channel [MLC] may flash models ---- -------------- unknown (unknown) flash mapping table identifier ------------------ [channel 0] [channel 1] A4A4A4A4 -------- -------- -------- -------- -------- ---------- "&amp;"------ -------- -------- -------- -------- -------- ---- ---- -------- --------")</f>
        <v>The actual frequency of use not more than 20 times, and then broken? Suddenly not recognized as such, can not be repaired, monitor out of these, I suspect this is false. Equipment Description: [H:] USB mass storage device (SMI USB MEMORY BAR) device type: mass storage device protocol version: USB 2.10 &amp; lt; - Reminder: the device supports USB3.0 specification, connect it to the USB3.0 interface can improve the performance of current speed: high-speed (HighSpeed) power consumption: 500mA USB device ID: VID = 090C PID = 3267 equipment supplier: Silicon Motion, Inc device name:. SM3267AB MEMORY BAR equipment Revision: manufacturer 0100 products: SMI model: USB MEMORY BAR products Revision: master 1000 Manufacturer: SMI (Silicon Motion) master model: SM3267AES - ISP NONE flash ID: A4A4A4A4 - 1CE / Single Channel [MLC] may flash models ---- -------------- unknown (unknown) flash mapping table identifier ------------------ [channel 0] [channel 1] A4A4A4A4 -------- -------- -------- -------- -------- ---------- ------ -------- -------- -------- -------- -------- ---- ---- -------- --------</v>
      </c>
    </row>
    <row r="4643">
      <c r="A4643" s="1">
        <v>1.0</v>
      </c>
      <c r="B4643" s="1" t="s">
        <v>4625</v>
      </c>
      <c r="C4643" t="str">
        <f>IFERROR(__xludf.DUMMYFUNCTION("GOOGLETRANSLATE(B4643, ""zh"", ""en"")"),"Super very difficult to use garbage ah ah ah! ! It is not original! ! ! The brush head wear gums ah ah ah")</f>
        <v>Super very difficult to use garbage ah ah ah! ! It is not original! ! ! The brush head wear gums ah ah ah</v>
      </c>
    </row>
    <row r="4644">
      <c r="A4644" s="1">
        <v>4.0</v>
      </c>
      <c r="B4644" s="1" t="s">
        <v>4626</v>
      </c>
      <c r="C4644" t="str">
        <f>IFERROR(__xludf.DUMMYFUNCTION("GOOGLETRANSLATE(B4644, ""zh"", ""en"")"),"Cost is relatively high read and write speed is relatively slow, but relatively high cost.")</f>
        <v>Cost is relatively high read and write speed is relatively slow, but relatively high cost.</v>
      </c>
    </row>
    <row r="4645">
      <c r="A4645" s="1">
        <v>4.0</v>
      </c>
      <c r="B4645" s="1" t="s">
        <v>4627</v>
      </c>
      <c r="C4645" t="str">
        <f>IFERROR(__xludf.DUMMYFUNCTION("GOOGLETRANSLATE(B4645, ""zh"", ""en"")"),"Headphone 3⭐, 5⭐ customer service from order to confirm a full refund, which lasted a whole month, all kinds of waiting period, anxiety, surprise, disappointment ... but Amazon's service really did not get picky, well-deserved reputation, in addition to t"&amp;"ime a little long, but it is also the reason for overseas purchases and special commodity, not delays caused. Good sound quality headset itself, of course, in the case of connecting the audio cable, Bluetooth wireless connection is always current sound ob"&amp;"vious, simply can not appreciate the music itself, which is flawed, as a wireless headset, which is inexcusable flaw, Why buy wireless models or buy it? Wearing comfort aspects, can only say okay, ear a little, and need to purchase another large ear cups "&amp;"to replace the weight a little bit heavy, because it is a test machine, do not wear a long time, only to experience this. The material, the United States and Asia, according to reviews, is not part of the skin head Dai Hengliang durable, easy to scratch, "&amp;"really good shape, type, also to avoid the plastic feel of most earphones. Samsung headset itself to it, because of interference noise Bluetooth connectivity. Amazon is to give five-star customer service.")</f>
        <v>Headphone 3⭐, 5⭐ customer service from order to confirm a full refund, which lasted a whole month, all kinds of waiting period, anxiety, surprise, disappointment ... but Amazon's service really did not get picky, well-deserved reputation, in addition to time a little long, but it is also the reason for overseas purchases and special commodity, not delays caused. Good sound quality headset itself, of course, in the case of connecting the audio cable, Bluetooth wireless connection is always current sound obvious, simply can not appreciate the music itself, which is flawed, as a wireless headset, which is inexcusable flaw, Why buy wireless models or buy it? Wearing comfort aspects, can only say okay, ear a little, and need to purchase another large ear cups to replace the weight a little bit heavy, because it is a test machine, do not wear a long time, only to experience this. The material, the United States and Asia, according to reviews, is not part of the skin head Dai Hengliang durable, easy to scratch, really good shape, type, also to avoid the plastic feel of most earphones. Samsung headset itself to it, because of interference noise Bluetooth connectivity. Amazon is to give five-star customer service.</v>
      </c>
    </row>
    <row r="4646">
      <c r="A4646" s="1">
        <v>4.0</v>
      </c>
      <c r="B4646" s="1" t="s">
        <v>4628</v>
      </c>
      <c r="C4646" t="str">
        <f>IFERROR(__xludf.DUMMYFUNCTION("GOOGLETRANSLATE(B4646, ""zh"", ""en"")"),"The right size 183cm 78kg L a little tight collar of special design, wear appropriate personal.")</f>
        <v>The right size 183cm 78kg L a little tight collar of special design, wear appropriate personal.</v>
      </c>
    </row>
    <row r="4647">
      <c r="A4647" s="1">
        <v>4.0</v>
      </c>
      <c r="B4647" s="1" t="s">
        <v>4629</v>
      </c>
      <c r="C4647" t="str">
        <f>IFERROR(__xludf.DUMMYFUNCTION("GOOGLETRANSLATE(B4647, ""zh"", ""en"")"),"Yes - not bad, with this price you can not expect it to be perfect, although it looks very thin, but the feeling is good performance, as well as boxes and instructions. I think it is excellent value for money, my brother liked, and I happy!")</f>
        <v>Yes - not bad, with this price you can not expect it to be perfect, although it looks very thin, but the feeling is good performance, as well as boxes and instructions. I think it is excellent value for money, my brother liked, and I happy!</v>
      </c>
    </row>
    <row r="4648">
      <c r="A4648" s="1">
        <v>4.0</v>
      </c>
      <c r="B4648" s="1" t="s">
        <v>4630</v>
      </c>
      <c r="C4648" t="str">
        <f>IFERROR(__xludf.DUMMYFUNCTION("GOOGLETRANSLATE(B4648, ""zh"", ""en"")"),"Ratio of number of domestic fabric is thin that most")</f>
        <v>Ratio of number of domestic fabric is thin that most</v>
      </c>
    </row>
    <row r="4649">
      <c r="A4649" s="1">
        <v>5.0</v>
      </c>
      <c r="B4649" s="1" t="s">
        <v>4631</v>
      </c>
      <c r="C4649" t="str">
        <f>IFERROR(__xludf.DUMMYFUNCTION("GOOGLETRANSLATE(B4649, ""zh"", ""en"")"),"Like really like")</f>
        <v>Like really like</v>
      </c>
    </row>
    <row r="4650">
      <c r="A4650" s="1">
        <v>5.0</v>
      </c>
      <c r="B4650" s="1" t="s">
        <v>4632</v>
      </c>
      <c r="C4650" t="str">
        <f>IFERROR(__xludf.DUMMYFUNCTION("GOOGLETRANSLATE(B4650, ""zh"", ""en"")"),"175 67kg right size suitable to wear S code. Sort of a small, also happens length")</f>
        <v>175 67kg right size suitable to wear S code. Sort of a small, also happens length</v>
      </c>
    </row>
    <row r="4651">
      <c r="A4651" s="1">
        <v>5.0</v>
      </c>
      <c r="B4651" s="1" t="s">
        <v>4633</v>
      </c>
      <c r="C4651" t="str">
        <f>IFERROR(__xludf.DUMMYFUNCTION("GOOGLETRANSLATE(B4651, ""zh"", ""en"")"),"According to the views I just bought 186cm, 85kg, M code just right. Thank you very much for the information you comment")</f>
        <v>According to the views I just bought 186cm, 85kg, M code just right. Thank you very much for the information you comment</v>
      </c>
    </row>
    <row r="4652">
      <c r="A4652" s="1">
        <v>5.0</v>
      </c>
      <c r="B4652" s="1" t="s">
        <v>4634</v>
      </c>
      <c r="C4652" t="str">
        <f>IFERROR(__xludf.DUMMYFUNCTION("GOOGLETRANSLATE(B4652, ""zh"", ""en"")"),"Yes calcium daily to eat, when to buy discount, the price is very cost-effective")</f>
        <v>Yes calcium daily to eat, when to buy discount, the price is very cost-effective</v>
      </c>
    </row>
    <row r="4653">
      <c r="A4653" s="1">
        <v>5.0</v>
      </c>
      <c r="B4653" s="1" t="s">
        <v>4635</v>
      </c>
      <c r="C4653" t="str">
        <f>IFERROR(__xludf.DUMMYFUNCTION("GOOGLETRANSLATE(B4653, ""zh"", ""en"")"),"A suitable size, put a few days or foot pain, foot size or shoe size?")</f>
        <v>A suitable size, put a few days or foot pain, foot size or shoe size?</v>
      </c>
    </row>
    <row r="4654">
      <c r="A4654" s="1">
        <v>5.0</v>
      </c>
      <c r="B4654" s="1" t="s">
        <v>4636</v>
      </c>
      <c r="C4654" t="str">
        <f>IFERROR(__xludf.DUMMYFUNCTION("GOOGLETRANSLATE(B4654, ""zh"", ""en"")"),"Very comfortable. Usually 36.5, thin legs, shoes slightly longer little. Raiders say, Europeans and Americans M type in fact relatively thin, really is. Buy C / D more appropriate. Heavy, but a good walk. Black dirt.")</f>
        <v>Very comfortable. Usually 36.5, thin legs, shoes slightly longer little. Raiders say, Europeans and Americans M type in fact relatively thin, really is. Buy C / D more appropriate. Heavy, but a good walk. Black dirt.</v>
      </c>
    </row>
    <row r="4655">
      <c r="A4655" s="1">
        <v>5.0</v>
      </c>
      <c r="B4655" s="1" t="s">
        <v>4637</v>
      </c>
      <c r="C4655" t="str">
        <f>IFERROR(__xludf.DUMMYFUNCTION("GOOGLETRANSLATE(B4655, ""zh"", ""en"")"),"Be careful packaging deflated, the headphones should not impact, should be installed filler")</f>
        <v>Be careful packaging deflated, the headphones should not impact, should be installed filler</v>
      </c>
    </row>
    <row r="4656">
      <c r="A4656" s="1">
        <v>5.0</v>
      </c>
      <c r="B4656" s="1" t="s">
        <v>4638</v>
      </c>
      <c r="C4656" t="str">
        <f>IFERROR(__xludf.DUMMYFUNCTION("GOOGLETRANSLATE(B4656, ""zh"", ""en"")"),"Good insulation effect, heat insulation effect is very good for a long time, the night before, the dates and cereals freshly boiled water into the cup, the next day to eat red dates porridge in the morning, still hot mouth. Breakfast cereals have yourself"&amp;" a friend, into a recommendation. As for the other recipes called smolder Cup, I have not tried, do not comment. Also, eating breakfast cereal, can be used to clean coffee, a dual-use, value for money")</f>
        <v>Good insulation effect, heat insulation effect is very good for a long time, the night before, the dates and cereals freshly boiled water into the cup, the next day to eat red dates porridge in the morning, still hot mouth. Breakfast cereals have yourself a friend, into a recommendation. As for the other recipes called smolder Cup, I have not tried, do not comment. Also, eating breakfast cereal, can be used to clean coffee, a dual-use, value for money</v>
      </c>
    </row>
    <row r="4657">
      <c r="A4657" s="1">
        <v>5.0</v>
      </c>
      <c r="B4657" s="1" t="s">
        <v>4639</v>
      </c>
      <c r="C4657" t="str">
        <f>IFERROR(__xludf.DUMMYFUNCTION("GOOGLETRANSLATE(B4657, ""zh"", ""en"")"),"Yes very nice, but the texture is very good, 170,125 pounds, choose No. S okay, a little tight.")</f>
        <v>Yes very nice, but the texture is very good, 170,125 pounds, choose No. S okay, a little tight.</v>
      </c>
    </row>
    <row r="4658">
      <c r="A4658" s="1">
        <v>5.0</v>
      </c>
      <c r="B4658" s="1" t="s">
        <v>4640</v>
      </c>
      <c r="C4658" t="str">
        <f>IFERROR(__xludf.DUMMYFUNCTION("GOOGLETRANSLATE(B4658, ""zh"", ""en"")"),"Really great super comfortable, absolutely no sense. Naples.")</f>
        <v>Really great super comfortable, absolutely no sense. Naples.</v>
      </c>
    </row>
    <row r="4659">
      <c r="A4659" s="1">
        <v>5.0</v>
      </c>
      <c r="B4659" s="1" t="s">
        <v>4641</v>
      </c>
      <c r="C4659" t="str">
        <f>IFERROR(__xludf.DUMMYFUNCTION("GOOGLETRANSLATE(B4659, ""zh"", ""en"")"),"Very comfortable very very very very satisfied with very comfortable good comfortable very comfortable")</f>
        <v>Very comfortable very very very very satisfied with very comfortable good comfortable very comfortable</v>
      </c>
    </row>
    <row r="4660">
      <c r="A4660" s="1">
        <v>5.0</v>
      </c>
      <c r="B4660" s="1" t="s">
        <v>4642</v>
      </c>
      <c r="C4660" t="str">
        <f>IFERROR(__xludf.DUMMYFUNCTION("GOOGLETRANSLATE(B4660, ""zh"", ""en"")"),"Good good good good sound")</f>
        <v>Good good good good sound</v>
      </c>
    </row>
    <row r="4661">
      <c r="A4661" s="1">
        <v>5.0</v>
      </c>
      <c r="B4661" s="1" t="s">
        <v>4643</v>
      </c>
      <c r="C4661" t="str">
        <f>IFERROR(__xludf.DUMMYFUNCTION("GOOGLETRANSLATE(B4661, ""zh"", ""en"")"),"493 is really fragrant! ! Yen value invincible. . I Takumi Fujiwara. .")</f>
        <v>493 is really fragrant! ! Yen value invincible. . I Takumi Fujiwara. .</v>
      </c>
    </row>
    <row r="4662">
      <c r="A4662" s="1">
        <v>5.0</v>
      </c>
      <c r="B4662" s="1" t="s">
        <v>4644</v>
      </c>
      <c r="C4662" t="str">
        <f>IFERROR(__xludf.DUMMYFUNCTION("GOOGLETRANSLATE(B4662, ""zh"", ""en"")"),"Yes very good, genuine is genuine, and very favorable, and I brush handle very match, very good brush, brush your teeth, they also very comfortable. There are also great shock mounted on the head! Each brush has its own packaging Oh, very health, very goo"&amp;"d!")</f>
        <v>Yes very good, genuine is genuine, and very favorable, and I brush handle very match, very good brush, brush your teeth, they also very comfortable. There are also great shock mounted on the head! Each brush has its own packaging Oh, very health, very good!</v>
      </c>
    </row>
    <row r="4663">
      <c r="A4663" s="1">
        <v>5.0</v>
      </c>
      <c r="B4663" s="1" t="s">
        <v>4645</v>
      </c>
      <c r="C4663" t="str">
        <f>IFERROR(__xludf.DUMMYFUNCTION("GOOGLETRANSLATE(B4663, ""zh"", ""en"")"),"Well ultra-light, color and weight can be, is the need to pay attention to cleaning the inner wall needs a little soft brush, or destroy insulation properties.")</f>
        <v>Well ultra-light, color and weight can be, is the need to pay attention to cleaning the inner wall needs a little soft brush, or destroy insulation properties.</v>
      </c>
    </row>
    <row r="4664">
      <c r="A4664" s="1">
        <v>5.0</v>
      </c>
      <c r="B4664" s="1" t="s">
        <v>4646</v>
      </c>
      <c r="C4664" t="str">
        <f>IFERROR(__xludf.DUMMYFUNCTION("GOOGLETRANSLATE(B4664, ""zh"", ""en"")"),"One pair of shoes 990v4 8 points Ganso ash and no rumors so amazing, it unpretentious, it is comfortable and durable, low-key it himself, and it is wild and never lose the trend, with me, is very appropriate.")</f>
        <v>One pair of shoes 990v4 8 points Ganso ash and no rumors so amazing, it unpretentious, it is comfortable and durable, low-key it himself, and it is wild and never lose the trend, with me, is very appropriate.</v>
      </c>
    </row>
    <row r="4665">
      <c r="A4665" s="1">
        <v>5.0</v>
      </c>
      <c r="B4665" s="1" t="s">
        <v>4647</v>
      </c>
      <c r="C4665" t="str">
        <f>IFERROR(__xludf.DUMMYFUNCTION("GOOGLETRANSLATE(B4665, ""zh"", ""en"")"),"Good quality fit, white opacity, rendering Waichuan can")</f>
        <v>Good quality fit, white opacity, rendering Waichuan can</v>
      </c>
    </row>
    <row r="4666">
      <c r="A4666" s="1">
        <v>5.0</v>
      </c>
      <c r="B4666" s="1" t="s">
        <v>4648</v>
      </c>
      <c r="C4666" t="str">
        <f>IFERROR(__xludf.DUMMYFUNCTION("GOOGLETRANSLATE(B4666, ""zh"", ""en"")"),"Good quality Chinese products")</f>
        <v>Good quality Chinese products</v>
      </c>
    </row>
    <row r="4667">
      <c r="A4667" s="1">
        <v>5.0</v>
      </c>
      <c r="B4667" s="1" t="s">
        <v>4649</v>
      </c>
      <c r="C4667" t="str">
        <f>IFERROR(__xludf.DUMMYFUNCTION("GOOGLETRANSLATE(B4667, ""zh"", ""en"")"),"Satisfaction between L and M tangled for a long time, and finally into the L. Interior fit, then remove the liner, the jacket is too large. Function to be tested, believe in the power of the brand.")</f>
        <v>Satisfaction between L and M tangled for a long time, and finally into the L. Interior fit, then remove the liner, the jacket is too large. Function to be tested, believe in the power of the brand.</v>
      </c>
    </row>
    <row r="4668">
      <c r="A4668" s="1">
        <v>5.0</v>
      </c>
      <c r="B4668" s="1" t="s">
        <v>4650</v>
      </c>
      <c r="C4668" t="str">
        <f>IFERROR(__xludf.DUMMYFUNCTION("GOOGLETRANSLATE(B4668, ""zh"", ""en"")"),"Very good is genuine, to her mother to buy, eat a very good, has purchased a third time, will repurchase")</f>
        <v>Very good is genuine, to her mother to buy, eat a very good, has purchased a third time, will repurchase</v>
      </c>
    </row>
    <row r="4669">
      <c r="A4669" s="1">
        <v>5.0</v>
      </c>
      <c r="B4669" s="1" t="s">
        <v>4651</v>
      </c>
      <c r="C4669" t="str">
        <f>IFERROR(__xludf.DUMMYFUNCTION("GOOGLETRANSLATE(B4669, ""zh"", ""en"")"),"Good shoes very good, very fond of the girl, to help my colleagues bought a second double")</f>
        <v>Good shoes very good, very fond of the girl, to help my colleagues bought a second double</v>
      </c>
    </row>
    <row r="4670">
      <c r="A4670" s="1">
        <v>5.0</v>
      </c>
      <c r="B4670" s="1" t="s">
        <v>4652</v>
      </c>
      <c r="C4670" t="str">
        <f>IFERROR(__xludf.DUMMYFUNCTION("GOOGLETRANSLATE(B4670, ""zh"", ""en"")"),"Beautiful pretty hard disk, is too expensive. Mouwang comment on the quality of the late worrying. The proposed purchase of the people buy back the first time the two backup hard drive comes with software, otherwise gone directly after use.")</f>
        <v>Beautiful pretty hard disk, is too expensive. Mouwang comment on the quality of the late worrying. The proposed purchase of the people buy back the first time the two backup hard drive comes with software, otherwise gone directly after use.</v>
      </c>
    </row>
    <row r="4671">
      <c r="A4671" s="1">
        <v>2.0</v>
      </c>
      <c r="B4671" s="1" t="s">
        <v>4653</v>
      </c>
      <c r="C4671" t="str">
        <f>IFERROR(__xludf.DUMMYFUNCTION("GOOGLETRANSLATE(B4671, ""zh"", ""en"")"),"Generally bought has not removed, then put found defective products, the legs have a piece of white circle, so ugly!")</f>
        <v>Generally bought has not removed, then put found defective products, the legs have a piece of white circle, so ugly!</v>
      </c>
    </row>
    <row r="4672">
      <c r="A4672" s="1">
        <v>3.0</v>
      </c>
      <c r="B4672" s="1" t="s">
        <v>4654</v>
      </c>
      <c r="C4672" t="str">
        <f>IFERROR(__xludf.DUMMYFUNCTION("GOOGLETRANSLATE(B4672, ""zh"", ""en"")"),"In the end by any standard size of size is too lenient.")</f>
        <v>In the end by any standard size of size is too lenient.</v>
      </c>
    </row>
    <row r="4673">
      <c r="A4673" s="1">
        <v>3.0</v>
      </c>
      <c r="B4673" s="1" t="s">
        <v>4655</v>
      </c>
      <c r="C4673" t="str">
        <f>IFERROR(__xludf.DUMMYFUNCTION("GOOGLETRANSLATE(B4673, ""zh"", ""en"")"),"Cheap clothes appear a little stain can not be removed, leaving it helpless to")</f>
        <v>Cheap clothes appear a little stain can not be removed, leaving it helpless to</v>
      </c>
    </row>
    <row r="4674">
      <c r="A4674" s="1">
        <v>3.0</v>
      </c>
      <c r="B4674" s="1" t="s">
        <v>4656</v>
      </c>
      <c r="C4674" t="str">
        <f>IFERROR(__xludf.DUMMYFUNCTION("GOOGLETRANSLATE(B4674, ""zh"", ""en"")"),"Seiko SEIKO SNK621K1 goods three days to go, the speed is OK, that is, the courier service attitude is not very good, it is strongly recommended to change the delivery of excellent partners! ! ! The watch itself is not bad, or good in general, there are t"&amp;"wo details do not know if the problem: 1, the tail of the second hand has a very small spot, do not know is in itself a sign or dust; 2, when checking the time table second hand to pull the second grid is still going, as if written on the instructions can"&amp;" mean to stop? ! . In addition to the designated repair station is tight strap, received 10 yuan, said to be bought online can not be free, depressed! With first, whether the Right to go one month after the comment.")</f>
        <v>Seiko SEIKO SNK621K1 goods three days to go, the speed is OK, that is, the courier service attitude is not very good, it is strongly recommended to change the delivery of excellent partners! ! ! The watch itself is not bad, or good in general, there are two details do not know if the problem: 1, the tail of the second hand has a very small spot, do not know is in itself a sign or dust; 2, when checking the time table second hand to pull the second grid is still going, as if written on the instructions can mean to stop? ! . In addition to the designated repair station is tight strap, received 10 yuan, said to be bought online can not be free, depressed! With first, whether the Right to go one month after the comment.</v>
      </c>
    </row>
    <row r="4675">
      <c r="A4675" s="1">
        <v>1.0</v>
      </c>
      <c r="B4675" s="1" t="s">
        <v>4657</v>
      </c>
      <c r="C4675" t="str">
        <f>IFERROR(__xludf.DUMMYFUNCTION("GOOGLETRANSLATE(B4675, ""zh"", ""en"")"),"Very disappointed with the shopping time shopping particularly dissatisfied, after receiving dental floss water is not water, contact the customer service that can not pick-up, Let me be mailed to the United States, from the Amazon to reimburse internatio"&amp;"nal shipping. Ems sent it off to find the results in the failure of Customs said security was returned as undeliverable. Contact Amazon said a possible home delivery, courier collection is easy to put things fully booked after the Amazon to the back secti"&amp;"on. But ems back only part of postage, received 49 yuan declaration charges and packaging costs, I contacted Amazon customer service they want this part of the cost of compensation to me, after all it is the source of a problem because of the quality of g"&amp;"oods, followed by the first a home delivery customer service told me not to let my mailing costs only produce their own. Customer service that this can not be returned, I asked her to consult the leadership, forty-five days later, even a reply gone. Siste"&amp;"r do not care about the 49 dollars postage, Amazon is your attitude towards the customer, prime members in addition to freight discount points, we did not see any difference in service.")</f>
        <v>Very disappointed with the shopping time shopping particularly dissatisfied, after receiving dental floss water is not water, contact the customer service that can not pick-up, Let me be mailed to the United States, from the Amazon to reimburse international shipping. Ems sent it off to find the results in the failure of Customs said security was returned as undeliverable. Contact Amazon said a possible home delivery, courier collection is easy to put things fully booked after the Amazon to the back section. But ems back only part of postage, received 49 yuan declaration charges and packaging costs, I contacted Amazon customer service they want this part of the cost of compensation to me, after all it is the source of a problem because of the quality of goods, followed by the first a home delivery customer service told me not to let my mailing costs only produce their own. Customer service that this can not be returned, I asked her to consult the leadership, forty-five days later, even a reply gone. Sister do not care about the 49 dollars postage, Amazon is your attitude towards the customer, prime members in addition to freight discount points, we did not see any difference in service.</v>
      </c>
    </row>
    <row r="4676">
      <c r="A4676" s="1">
        <v>1.0</v>
      </c>
      <c r="B4676" s="1" t="s">
        <v>4658</v>
      </c>
      <c r="C4676" t="str">
        <f>IFERROR(__xludf.DUMMYFUNCTION("GOOGLETRANSLATE(B4676, ""zh"", ""en"")"),"Poor product quality, after-sales service can not be found, pass the buck to each other, comparing Amazon Jingdong big change occurs less than a month after a hard product to identify issues, Synology support machine does not recognize the problem, suspec"&amp;"ted hard disk problems, then the next single bought two hard drives, the last recognized Synology product quality problems, let Amazon were looking for quality, Amazon said return period has passed, so look for Synology. Pass the buck back and forth, or g"&amp;"o after Jingdong buy it.")</f>
        <v>Poor product quality, after-sales service can not be found, pass the buck to each other, comparing Amazon Jingdong big change occurs less than a month after a hard product to identify issues, Synology support machine does not recognize the problem, suspected hard disk problems, then the next single bought two hard drives, the last recognized Synology product quality problems, let Amazon were looking for quality, Amazon said return period has passed, so look for Synology. Pass the buck back and forth, or go after Jingdong buy it.</v>
      </c>
    </row>
    <row r="4677">
      <c r="A4677" s="1">
        <v>1.0</v>
      </c>
      <c r="B4677" s="1" t="s">
        <v>4659</v>
      </c>
      <c r="C4677" t="str">
        <f>IFERROR(__xludf.DUMMYFUNCTION("GOOGLETRANSLATE(B4677, ""zh"", ""en"")"),"Code number confusion, return shipping high not believe it, two S's, actually yellow than blue freshman code, packaging is demolished, return shipping clothes to buy 125 more expensive than I, forget")</f>
        <v>Code number confusion, return shipping high not believe it, two S's, actually yellow than blue freshman code, packaging is demolished, return shipping clothes to buy 125 more expensive than I, forget</v>
      </c>
    </row>
    <row r="4678">
      <c r="A4678" s="1">
        <v>4.0</v>
      </c>
      <c r="B4678" s="1" t="s">
        <v>4660</v>
      </c>
      <c r="C4678" t="str">
        <f>IFERROR(__xludf.DUMMYFUNCTION("GOOGLETRANSLATE(B4678, ""zh"", ""en"")"),"Not use, generally like it has not used, the quality looks decent")</f>
        <v>Not use, generally like it has not used, the quality looks decent</v>
      </c>
    </row>
    <row r="4679">
      <c r="A4679" s="1">
        <v>4.0</v>
      </c>
      <c r="B4679" s="1" t="s">
        <v>4661</v>
      </c>
      <c r="C4679" t="str">
        <f>IFERROR(__xludf.DUMMYFUNCTION("GOOGLETRANSLATE(B4679, ""zh"", ""en"")"),"In fact, because the brand is the brand advertising have the impulse to buy, but also recommended that the site has been always good, but the situation on the use of the term did not have the desired effect so good, maybe I expect too high caused, after a"&amp;"ll, the premise is very difficult to achieve the price advantage of excellent quality, with the use or can!")</f>
        <v>In fact, because the brand is the brand advertising have the impulse to buy, but also recommended that the site has been always good, but the situation on the use of the term did not have the desired effect so good, maybe I expect too high caused, after all, the premise is very difficult to achieve the price advantage of excellent quality, with the use or can!</v>
      </c>
    </row>
    <row r="4680">
      <c r="A4680" s="1">
        <v>4.0</v>
      </c>
      <c r="B4680" s="1" t="s">
        <v>4662</v>
      </c>
      <c r="C4680" t="str">
        <f>IFERROR(__xludf.DUMMYFUNCTION("GOOGLETRANSLATE(B4680, ""zh"", ""en"")"),"Lee denim 162cm, 65kg, m code buttons buttoned through the autumn a somewhat stretched, sleeve longer than domestic, not thick, which was of thin.")</f>
        <v>Lee denim 162cm, 65kg, m code buttons buttoned through the autumn a somewhat stretched, sleeve longer than domestic, not thick, which was of thin.</v>
      </c>
    </row>
    <row r="4681">
      <c r="A4681" s="1">
        <v>4.0</v>
      </c>
      <c r="B4681" s="1" t="s">
        <v>4663</v>
      </c>
      <c r="C4681" t="str">
        <f>IFERROR(__xludf.DUMMYFUNCTION("GOOGLETRANSLATE(B4681, ""zh"", ""en"")"),"wmf things are really good, but the head is really small.")</f>
        <v>wmf things are really good, but the head is really small.</v>
      </c>
    </row>
    <row r="4682">
      <c r="A4682" s="1">
        <v>4.0</v>
      </c>
      <c r="B4682" s="1" t="s">
        <v>4664</v>
      </c>
      <c r="C4682" t="str">
        <f>IFERROR(__xludf.DUMMYFUNCTION("GOOGLETRANSLATE(B4682, ""zh"", ""en"")"),"Okay European version number slightly fat, the other can not cotton")</f>
        <v>Okay European version number slightly fat, the other can not cotton</v>
      </c>
    </row>
    <row r="4683">
      <c r="A4683" s="1">
        <v>5.0</v>
      </c>
      <c r="B4683" s="1" t="s">
        <v>4665</v>
      </c>
      <c r="C4683" t="str">
        <f>IFERROR(__xludf.DUMMYFUNCTION("GOOGLETRANSLATE(B4683, ""zh"", ""en"")"),"Beyond the expectations of satisfaction for the first time shopping experience, scared to be in good faith, and is serious about my request.")</f>
        <v>Beyond the expectations of satisfaction for the first time shopping experience, scared to be in good faith, and is serious about my request.</v>
      </c>
    </row>
    <row r="4684">
      <c r="A4684" s="1">
        <v>5.0</v>
      </c>
      <c r="B4684" s="1" t="s">
        <v>4666</v>
      </c>
      <c r="C4684" t="str">
        <f>IFERROR(__xludf.DUMMYFUNCTION("GOOGLETRANSLATE(B4684, ""zh"", ""en"")"),"Loose point, back lace very comfortable to wear, the cup did not have their own type which hold up to add a coaster, liberal bias than other models, freshman code")</f>
        <v>Loose point, back lace very comfortable to wear, the cup did not have their own type which hold up to add a coaster, liberal bias than other models, freshman code</v>
      </c>
    </row>
    <row r="4685">
      <c r="A4685" s="1">
        <v>5.0</v>
      </c>
      <c r="B4685" s="1" t="s">
        <v>4667</v>
      </c>
      <c r="C4685" t="str">
        <f>IFERROR(__xludf.DUMMYFUNCTION("GOOGLETRANSLATE(B4685, ""zh"", ""en"")"),"Big feel very soft, but numbers than domestic freshman code. I wear a coat domestic xl, xk buy big, my mother. Should I buy the l")</f>
        <v>Big feel very soft, but numbers than domestic freshman code. I wear a coat domestic xl, xk buy big, my mother. Should I buy the l</v>
      </c>
    </row>
    <row r="4686">
      <c r="A4686" s="1">
        <v>5.0</v>
      </c>
      <c r="B4686" s="1" t="s">
        <v>4668</v>
      </c>
      <c r="C4686" t="str">
        <f>IFERROR(__xludf.DUMMYFUNCTION("GOOGLETRANSLATE(B4686, ""zh"", ""en"")"),"Well nice to children, easy to use, amazing, high color value!")</f>
        <v>Well nice to children, easy to use, amazing, high color value!</v>
      </c>
    </row>
    <row r="4687">
      <c r="A4687" s="1">
        <v>5.0</v>
      </c>
      <c r="B4687" s="1" t="s">
        <v>4669</v>
      </c>
      <c r="C4687" t="str">
        <f>IFERROR(__xludf.DUMMYFUNCTION("GOOGLETRANSLATE(B4687, ""zh"", ""en"")"),"Received a five-star shoes, navy blue wearing very beautiful, wearing yardage as usual, express delivery is also to force less than a week they received.")</f>
        <v>Received a five-star shoes, navy blue wearing very beautiful, wearing yardage as usual, express delivery is also to force less than a week they received.</v>
      </c>
    </row>
    <row r="4688">
      <c r="A4688" s="1">
        <v>5.0</v>
      </c>
      <c r="B4688" s="1" t="s">
        <v>4670</v>
      </c>
      <c r="C4688" t="str">
        <f>IFERROR(__xludf.DUMMYFUNCTION("GOOGLETRANSLATE(B4688, ""zh"", ""en"")"),"Clothes are pretty good clothes very good fit (I 1.8m set out in the code is just fine) personal comfort is good enough")</f>
        <v>Clothes are pretty good clothes very good fit (I 1.8m set out in the code is just fine) personal comfort is good enough</v>
      </c>
    </row>
    <row r="4689">
      <c r="A4689" s="1">
        <v>5.0</v>
      </c>
      <c r="B4689" s="1" t="s">
        <v>4671</v>
      </c>
      <c r="C4689" t="str">
        <f>IFERROR(__xludf.DUMMYFUNCTION("GOOGLETRANSLATE(B4689, ""zh"", ""en"")"),"How no replenishment ah! ! ! Such a good thing. So inexpensive. How direct mail can not be, ah! ! ! Do you have to go to Jumeirah transport? True tragedy.")</f>
        <v>How no replenishment ah! ! ! Such a good thing. So inexpensive. How direct mail can not be, ah! ! ! Do you have to go to Jumeirah transport? True tragedy.</v>
      </c>
    </row>
    <row r="4690">
      <c r="A4690" s="1">
        <v>5.0</v>
      </c>
      <c r="B4690" s="1" t="s">
        <v>4672</v>
      </c>
      <c r="C4690" t="str">
        <f>IFERROR(__xludf.DUMMYFUNCTION("GOOGLETRANSLATE(B4690, ""zh"", ""en"")"),"Very good very good, for taking two bottles, is indeed effective, Chen Bo, more obvious energy during the day. Some people say useless, I did not have time to take an estimated two bottles, did not have to take it day by day in a row! This taste should be"&amp;", gelatinized Maca.")</f>
        <v>Very good very good, for taking two bottles, is indeed effective, Chen Bo, more obvious energy during the day. Some people say useless, I did not have time to take an estimated two bottles, did not have to take it day by day in a row! This taste should be, gelatinized Maca.</v>
      </c>
    </row>
    <row r="4691">
      <c r="A4691" s="1">
        <v>5.0</v>
      </c>
      <c r="B4691" s="1" t="s">
        <v>4673</v>
      </c>
      <c r="C4691" t="str">
        <f>IFERROR(__xludf.DUMMYFUNCTION("GOOGLETRANSLATE(B4691, ""zh"", ""en"")"),"Underwear 174cm, 69kg, put on the shoulders a bit small, the other can")</f>
        <v>Underwear 174cm, 69kg, put on the shoulders a bit small, the other can</v>
      </c>
    </row>
    <row r="4692">
      <c r="A4692" s="1">
        <v>5.0</v>
      </c>
      <c r="B4692" s="1" t="s">
        <v>4674</v>
      </c>
      <c r="C4692" t="str">
        <f>IFERROR(__xludf.DUMMYFUNCTION("GOOGLETRANSLATE(B4692, ""zh"", ""en"")"),"This is particularly good really recommend to buy pants, skin-friendly and comfortable. Great!")</f>
        <v>This is particularly good really recommend to buy pants, skin-friendly and comfortable. Great!</v>
      </c>
    </row>
    <row r="4693">
      <c r="A4693" s="1">
        <v>5.0</v>
      </c>
      <c r="B4693" s="1" t="s">
        <v>4675</v>
      </c>
      <c r="C4693" t="str">
        <f>IFERROR(__xludf.DUMMYFUNCTION("GOOGLETRANSLATE(B4693, ""zh"", ""en"")"),"A little bit biased a little bit biased long length, texture, very good!")</f>
        <v>A little bit biased a little bit biased long length, texture, very good!</v>
      </c>
    </row>
    <row r="4694">
      <c r="A4694" s="1">
        <v>5.0</v>
      </c>
      <c r="B4694" s="1" t="s">
        <v>4676</v>
      </c>
      <c r="C4694" t="str">
        <f>IFERROR(__xludf.DUMMYFUNCTION("GOOGLETRANSLATE(B4694, ""zh"", ""en"")"),"Cotton looked pretty good, not bad, height 185 weight 185 pounds to wear XL appropriate.")</f>
        <v>Cotton looked pretty good, not bad, height 185 weight 185 pounds to wear XL appropriate.</v>
      </c>
    </row>
    <row r="4695">
      <c r="A4695" s="1">
        <v>5.0</v>
      </c>
      <c r="B4695" s="1" t="s">
        <v>4677</v>
      </c>
      <c r="C4695" t="str">
        <f>IFERROR(__xludf.DUMMYFUNCTION("GOOGLETRANSLATE(B4695, ""zh"", ""en"")"),"OK slightly harder cortical bit")</f>
        <v>OK slightly harder cortical bit</v>
      </c>
    </row>
    <row r="4696">
      <c r="A4696" s="1">
        <v>5.0</v>
      </c>
      <c r="B4696" s="1" t="s">
        <v>4678</v>
      </c>
      <c r="C4696" t="str">
        <f>IFERROR(__xludf.DUMMYFUNCTION("GOOGLETRANSLATE(B4696, ""zh"", ""en"")"),"Good price advantage")</f>
        <v>Good price advantage</v>
      </c>
    </row>
    <row r="4697">
      <c r="A4697" s="1">
        <v>5.0</v>
      </c>
      <c r="B4697" s="1" t="s">
        <v>4679</v>
      </c>
      <c r="C4697" t="str">
        <f>IFERROR(__xludf.DUMMYFUNCTION("GOOGLETRANSLATE(B4697, ""zh"", ""en"")"),"Suitable. 175 / 67.5, S code suitable.")</f>
        <v>Suitable. 175 / 67.5, S code suitable.</v>
      </c>
    </row>
    <row r="4698">
      <c r="A4698" s="1">
        <v>5.0</v>
      </c>
      <c r="B4698" s="1" t="s">
        <v>4680</v>
      </c>
      <c r="C4698" t="str">
        <f>IFERROR(__xludf.DUMMYFUNCTION("GOOGLETRANSLATE(B4698, ""zh"", ""en"")"),"Very warm my bed is 1.8 * 2M's, with a bedspread 2.2 * 2.4, the size of still appropriate. If the pursuit of sagging effect, I am afraid that a larger size. Living in the north, not to the heating, so it is warm, do not know the future will not be hot. We"&amp;" did not find problems drill hair. Unlike domestic duvet with a fixed aperture, but such a large quilt, it should also not be displaced.")</f>
        <v>Very warm my bed is 1.8 * 2M's, with a bedspread 2.2 * 2.4, the size of still appropriate. If the pursuit of sagging effect, I am afraid that a larger size. Living in the north, not to the heating, so it is warm, do not know the future will not be hot. We did not find problems drill hair. Unlike domestic duvet with a fixed aperture, but such a large quilt, it should also not be displaced.</v>
      </c>
    </row>
    <row r="4699">
      <c r="A4699" s="1">
        <v>5.0</v>
      </c>
      <c r="B4699" s="1" t="s">
        <v>4681</v>
      </c>
      <c r="C4699" t="str">
        <f>IFERROR(__xludf.DUMMYFUNCTION("GOOGLETRANSLATE(B4699, ""zh"", ""en"")"),"Very good yardage normal cortex very good light to walk very stable feel big feet high heels gospel")</f>
        <v>Very good yardage normal cortex very good light to walk very stable feel big feet high heels gospel</v>
      </c>
    </row>
    <row r="4700">
      <c r="A4700" s="1">
        <v>5.0</v>
      </c>
      <c r="B4700" s="1" t="s">
        <v>4682</v>
      </c>
      <c r="C4700" t="str">
        <f>IFERROR(__xludf.DUMMYFUNCTION("GOOGLETRANSLATE(B4700, ""zh"", ""en"")"),"Yes good package, large capacity, for about two days on business use, usually have no problem kicking a ball")</f>
        <v>Yes good package, large capacity, for about two days on business use, usually have no problem kicking a ball</v>
      </c>
    </row>
    <row r="4701">
      <c r="A4701" s="1">
        <v>5.0</v>
      </c>
      <c r="B4701" s="1" t="s">
        <v>4683</v>
      </c>
      <c r="C4701" t="str">
        <f>IFERROR(__xludf.DUMMYFUNCTION("GOOGLETRANSLATE(B4701, ""zh"", ""en"")"),"Very comfortable, very comfortable worth buying, worth buying")</f>
        <v>Very comfortable, very comfortable worth buying, worth buying</v>
      </c>
    </row>
    <row r="4702">
      <c r="A4702" s="1">
        <v>5.0</v>
      </c>
      <c r="B4702" s="1" t="s">
        <v>4684</v>
      </c>
      <c r="C4702" t="str">
        <f>IFERROR(__xludf.DUMMYFUNCTION("GOOGLETRANSLATE(B4702, ""zh"", ""en"")"),"satisfaction! The volume of the right size, white fungus soup stew before going to bed, drink lunch to take to work the next day, Bang Bang da!")</f>
        <v>satisfaction! The volume of the right size, white fungus soup stew before going to bed, drink lunch to take to work the next day, Bang Bang da!</v>
      </c>
    </row>
    <row r="4703">
      <c r="A4703" s="1">
        <v>5.0</v>
      </c>
      <c r="B4703" s="1" t="s">
        <v>4685</v>
      </c>
      <c r="C4703" t="str">
        <f>IFERROR(__xludf.DUMMYFUNCTION("GOOGLETRANSLATE(B4703, ""zh"", ""en"")"),"173cm, 65kg, s code is appropriate, a sufficient length. 173cm, 65kg, s code is appropriate, a sufficient length.")</f>
        <v>173cm, 65kg, s code is appropriate, a sufficient length. 173cm, 65kg, s code is appropriate, a sufficient length.</v>
      </c>
    </row>
    <row r="4704">
      <c r="A4704" s="1">
        <v>2.0</v>
      </c>
      <c r="B4704" s="1" t="s">
        <v>4686</v>
      </c>
      <c r="C4704" t="str">
        <f>IFERROR(__xludf.DUMMYFUNCTION("GOOGLETRANSLATE(B4704, ""zh"", ""en"")"),"Not recommended for previously bought the goodwill of the county is a no rims bra, bought this, but far less good before that section. First strap can not be adjusted, I am tall appear mostly short shoulder strap always run up; secondly the outside of the"&amp;" fabric wear a few times later will play ball; final breast shape and almost no, because regardless of the cup, almost flat :(")</f>
        <v>Not recommended for previously bought the goodwill of the county is a no rims bra, bought this, but far less good before that section. First strap can not be adjusted, I am tall appear mostly short shoulder strap always run up; secondly the outside of the fabric wear a few times later will play ball; final breast shape and almost no, because regardless of the cup, almost flat :(</v>
      </c>
    </row>
    <row r="4705">
      <c r="A4705" s="1">
        <v>3.0</v>
      </c>
      <c r="B4705" s="1" t="s">
        <v>4687</v>
      </c>
      <c r="C4705" t="str">
        <f>IFERROR(__xludf.DUMMYFUNCTION("GOOGLETRANSLATE(B4705, ""zh"", ""en"")"),"Wear leather wear side")</f>
        <v>Wear leather wear side</v>
      </c>
    </row>
    <row r="4706">
      <c r="A4706" s="1">
        <v>3.0</v>
      </c>
      <c r="B4706" s="1" t="s">
        <v>4688</v>
      </c>
      <c r="C4706" t="str">
        <f>IFERROR(__xludf.DUMMYFUNCTION("GOOGLETRANSLATE(B4706, ""zh"", ""en"")"),"Yen value is high, but the quality control needs to be improved. Work well, but eventually dropped out, because the metal pail is actually the pen grip loose, to be found on the pen's ink unscrewed. The feeling is not the front of the jaw ring is not on t"&amp;"ight sake, but they no tools to adjust it.")</f>
        <v>Yen value is high, but the quality control needs to be improved. Work well, but eventually dropped out, because the metal pail is actually the pen grip loose, to be found on the pen's ink unscrewed. The feeling is not the front of the jaw ring is not on tight sake, but they no tools to adjust it.</v>
      </c>
    </row>
    <row r="4707">
      <c r="A4707" s="1">
        <v>3.0</v>
      </c>
      <c r="B4707" s="1" t="s">
        <v>4689</v>
      </c>
      <c r="C4707" t="str">
        <f>IFERROR(__xludf.DUMMYFUNCTION("GOOGLETRANSLATE(B4707, ""zh"", ""en"")"),"Too much beautiful, but too large, the Asian equivalent code where m xl code, only when wearing oversize")</f>
        <v>Too much beautiful, but too large, the Asian equivalent code where m xl code, only when wearing oversize</v>
      </c>
    </row>
    <row r="4708">
      <c r="A4708" s="1">
        <v>1.0</v>
      </c>
      <c r="B4708" s="1" t="s">
        <v>4690</v>
      </c>
      <c r="C4708" t="str">
        <f>IFERROR(__xludf.DUMMYFUNCTION("GOOGLETRANSLATE(B4708, ""zh"", ""en"")"),"The quality is not good to his mother to buy, the coating has come off.")</f>
        <v>The quality is not good to his mother to buy, the coating has come off.</v>
      </c>
    </row>
    <row r="4709">
      <c r="A4709" s="1">
        <v>1.0</v>
      </c>
      <c r="B4709" s="1" t="s">
        <v>4691</v>
      </c>
      <c r="C4709" t="str">
        <f>IFERROR(__xludf.DUMMYFUNCTION("GOOGLETRANSLATE(B4709, ""zh"", ""en"")"),"Not worth taking home only in the evening after the test length, feeling just right to put the label pulled next morning to wear when it found a vamp is, like old shoes, very sorry, but the impact secondary sales, just have to accept it! Others may want t"&amp;"o pay attention to the job.")</f>
        <v>Not worth taking home only in the evening after the test length, feeling just right to put the label pulled next morning to wear when it found a vamp is, like old shoes, very sorry, but the impact secondary sales, just have to accept it! Others may want to pay attention to the job.</v>
      </c>
    </row>
    <row r="4710">
      <c r="A4710" s="1">
        <v>4.0</v>
      </c>
      <c r="B4710" s="1" t="s">
        <v>4692</v>
      </c>
      <c r="C4710" t="str">
        <f>IFERROR(__xludf.DUMMYFUNCTION("GOOGLETRANSLATE(B4710, ""zh"", ""en"")"),"Relatively hard relatively hard")</f>
        <v>Relatively hard relatively hard</v>
      </c>
    </row>
    <row r="4711">
      <c r="A4711" s="1">
        <v>4.0</v>
      </c>
      <c r="B4711" s="1" t="s">
        <v>4693</v>
      </c>
      <c r="C4711" t="str">
        <f>IFERROR(__xludf.DUMMYFUNCTION("GOOGLETRANSLATE(B4711, ""zh"", ""en"")"),"Goods received very good value for money. Continue to support Amazon")</f>
        <v>Goods received very good value for money. Continue to support Amazon</v>
      </c>
    </row>
    <row r="4712">
      <c r="A4712" s="1">
        <v>4.0</v>
      </c>
      <c r="B4712" s="1" t="s">
        <v>4694</v>
      </c>
      <c r="C4712" t="str">
        <f>IFERROR(__xludf.DUMMYFUNCTION("GOOGLETRANSLATE(B4712, ""zh"", ""en"")"),"Domestic two yards than big, you can pay attention to the big two yards Barbara, materials, workmanship, color, can, LOGO is not on the sleeves to wear off a few times, and seems to be added to the list after weak overseas purchase it is impossible to cha"&amp;"nge clothes big freight scared to death you deal with wearing it, and remember do not think like a treasure just returned home, and that you can not afford one!")</f>
        <v>Domestic two yards than big, you can pay attention to the big two yards Barbara, materials, workmanship, color, can, LOGO is not on the sleeves to wear off a few times, and seems to be added to the list after weak overseas purchase it is impossible to change clothes big freight scared to death you deal with wearing it, and remember do not think like a treasure just returned home, and that you can not afford one!</v>
      </c>
    </row>
    <row r="4713">
      <c r="A4713" s="1">
        <v>4.0</v>
      </c>
      <c r="B4713" s="1" t="s">
        <v>4695</v>
      </c>
      <c r="C4713" t="str">
        <f>IFERROR(__xludf.DUMMYFUNCTION("GOOGLETRANSLATE(B4713, ""zh"", ""en"")"),"Not seriously look thin, very thin style, I only see good cheap price, Oh")</f>
        <v>Not seriously look thin, very thin style, I only see good cheap price, Oh</v>
      </c>
    </row>
    <row r="4714">
      <c r="A4714" s="1">
        <v>5.0</v>
      </c>
      <c r="B4714" s="1" t="s">
        <v>4696</v>
      </c>
      <c r="C4714" t="str">
        <f>IFERROR(__xludf.DUMMYFUNCTION("GOOGLETRANSLATE(B4714, ""zh"", ""en"")"),"International big-name quality, reliability, speed three days to reach satisfactory quality and reliable international big-name, write copy speed average 100M-130M / s, the speed of delivery 5 days arrive, very satisfied tariff is paid 87rmb")</f>
        <v>International big-name quality, reliability, speed three days to reach satisfactory quality and reliable international big-name, write copy speed average 100M-130M / s, the speed of delivery 5 days arrive, very satisfied tariff is paid 87rmb</v>
      </c>
    </row>
    <row r="4715">
      <c r="A4715" s="1">
        <v>5.0</v>
      </c>
      <c r="B4715" s="1" t="s">
        <v>4697</v>
      </c>
      <c r="C4715" t="str">
        <f>IFERROR(__xludf.DUMMYFUNCTION("GOOGLETRANSLATE(B4715, ""zh"", ""en"")"),"I especially like the right number of counters Shanghai began in July have not tried the No. 39 black or other colors you want to come here a little bit of pressure instep mall is Jiang Zi")</f>
        <v>I especially like the right number of counters Shanghai began in July have not tried the No. 39 black or other colors you want to come here a little bit of pressure instep mall is Jiang Zi</v>
      </c>
    </row>
    <row r="4716">
      <c r="A4716" s="1">
        <v>5.0</v>
      </c>
      <c r="B4716" s="1" t="s">
        <v>4698</v>
      </c>
      <c r="C4716" t="str">
        <f>IFERROR(__xludf.DUMMYFUNCTION("GOOGLETRANSLATE(B4716, ""zh"", ""en"")"),"Earphone headset how should I say okay, not bad, but now a lot of the price of the headphones are metallic, and this looks a bit cheap. Headset more than a day to burn it. Feeling a little boiled water, you can feel more transparent. But I used to compare"&amp;" Denon and did not feel so bright, listening to Faye Wong shadow separation was not enough, the high-frequency apparent bias, the female although forward, but also does not shine, listening electric guitar version of Hotel California is obviously not as g"&amp;"ood as Denon . Low and my k450 contrast may not be as strong as he was, did not felt. Of course, now obviously feeling a lot better than the low-frequency start. I was a fungus, casual Xia Xie wrote. Of course, my two headphone listening more than five ye"&amp;"ars, and I hope this will be a good pair of headphones open burning. But plug in the ear that is not uncomfortable to praise.")</f>
        <v>Earphone headset how should I say okay, not bad, but now a lot of the price of the headphones are metallic, and this looks a bit cheap. Headset more than a day to burn it. Feeling a little boiled water, you can feel more transparent. But I used to compare Denon and did not feel so bright, listening to Faye Wong shadow separation was not enough, the high-frequency apparent bias, the female although forward, but also does not shine, listening electric guitar version of Hotel California is obviously not as good as Denon . Low and my k450 contrast may not be as strong as he was, did not felt. Of course, now obviously feeling a lot better than the low-frequency start. I was a fungus, casual Xia Xie wrote. Of course, my two headphone listening more than five years, and I hope this will be a good pair of headphones open burning. But plug in the ear that is not uncomfortable to praise.</v>
      </c>
    </row>
    <row r="4717">
      <c r="A4717" s="1">
        <v>5.0</v>
      </c>
      <c r="B4717" s="1" t="s">
        <v>4699</v>
      </c>
      <c r="C4717" t="str">
        <f>IFERROR(__xludf.DUMMYFUNCTION("GOOGLETRANSLATE(B4717, ""zh"", ""en"")"),"Feel good stuff worth buying packaging simple, but something good, affordable.")</f>
        <v>Feel good stuff worth buying packaging simple, but something good, affordable.</v>
      </c>
    </row>
    <row r="4718">
      <c r="A4718" s="1">
        <v>5.0</v>
      </c>
      <c r="B4718" s="1" t="s">
        <v>4700</v>
      </c>
      <c r="C4718" t="str">
        <f>IFERROR(__xludf.DUMMYFUNCTION("GOOGLETRANSLATE(B4718, ""zh"", ""en"")"),"Not bad buy almost double the 360 ​​second yellow hand is simply surprised, but did six years ago I bought a snake good, thick tongue caused by pinch points! Other better. I always do not understand, the Roman Empire are so narrow instep of the foot so lo"&amp;"w fight it. . . Color is not very good, positive handling of the case depends on a rainy day")</f>
        <v>Not bad buy almost double the 360 ​​second yellow hand is simply surprised, but did six years ago I bought a snake good, thick tongue caused by pinch points! Other better. I always do not understand, the Roman Empire are so narrow instep of the foot so low fight it. . . Color is not very good, positive handling of the case depends on a rainy day</v>
      </c>
    </row>
    <row r="4719">
      <c r="A4719" s="1">
        <v>5.0</v>
      </c>
      <c r="B4719" s="1" t="s">
        <v>4701</v>
      </c>
      <c r="C4719" t="str">
        <f>IFERROR(__xludf.DUMMYFUNCTION("GOOGLETRANSLATE(B4719, ""zh"", ""en"")"),"Insulation effect can be completely disassembled cleaned smolder smoldering cup this cup of strong, filled with rice morning, noon and just feeling almost cooked. The smoldering cup can be completely disassembled cleaned, I had always solved very tangled "&amp;"pain points, so even installed some of the more greasy food, do not worry about cleaning problem.")</f>
        <v>Insulation effect can be completely disassembled cleaned smolder smoldering cup this cup of strong, filled with rice morning, noon and just feeling almost cooked. The smoldering cup can be completely disassembled cleaned, I had always solved very tangled pain points, so even installed some of the more greasy food, do not worry about cleaning problem.</v>
      </c>
    </row>
    <row r="4720">
      <c r="A4720" s="1">
        <v>5.0</v>
      </c>
      <c r="B4720" s="1" t="s">
        <v>4702</v>
      </c>
      <c r="C4720" t="str">
        <f>IFERROR(__xludf.DUMMYFUNCTION("GOOGLETRANSLATE(B4720, ""zh"", ""en"")"),"Very comfortable, very worthwhile to start beautiful shoes, size is also standard, has been wearing the shoes 36, starting later found to be very suitable to wear. The price is much cheaper than in some of the domestic discount stores, delivery time is fa"&amp;"irly fast.")</f>
        <v>Very comfortable, very worthwhile to start beautiful shoes, size is also standard, has been wearing the shoes 36, starting later found to be very suitable to wear. The price is much cheaper than in some of the domestic discount stores, delivery time is fairly fast.</v>
      </c>
    </row>
    <row r="4721">
      <c r="A4721" s="1">
        <v>5.0</v>
      </c>
      <c r="B4721" s="1" t="s">
        <v>4703</v>
      </c>
      <c r="C4721" t="str">
        <f>IFERROR(__xludf.DUMMYFUNCTION("GOOGLETRANSLATE(B4721, ""zh"", ""en"")"),"satisfaction! Non-ear wearing comfort, no stethoscope effect, can be heard outside a small portion of the sound, more secure. The sound quality is good, the price can not be picky. Delivery Soon, about a single week, Saturday to.")</f>
        <v>satisfaction! Non-ear wearing comfort, no stethoscope effect, can be heard outside a small portion of the sound, more secure. The sound quality is good, the price can not be picky. Delivery Soon, about a single week, Saturday to.</v>
      </c>
    </row>
    <row r="4722">
      <c r="A4722" s="1">
        <v>5.0</v>
      </c>
      <c r="B4722" s="1" t="s">
        <v>4704</v>
      </c>
      <c r="C4722" t="str">
        <f>IFERROR(__xludf.DUMMYFUNCTION("GOOGLETRANSLATE(B4722, ""zh"", ""en"")"),"The real pen are all stainless steel. F is very smooth, slightly thick. EF's used to love, and now feel no need to, draw paper.")</f>
        <v>The real pen are all stainless steel. F is very smooth, slightly thick. EF's used to love, and now feel no need to, draw paper.</v>
      </c>
    </row>
    <row r="4723">
      <c r="A4723" s="1">
        <v>5.0</v>
      </c>
      <c r="B4723" s="1" t="s">
        <v>4705</v>
      </c>
      <c r="C4723" t="str">
        <f>IFERROR(__xludf.DUMMYFUNCTION("GOOGLETRANSLATE(B4723, ""zh"", ""en"")"),"Very comfortable very comfortable, the right size")</f>
        <v>Very comfortable very comfortable, the right size</v>
      </c>
    </row>
    <row r="4724">
      <c r="A4724" s="1">
        <v>5.0</v>
      </c>
      <c r="B4724" s="1" t="s">
        <v>4706</v>
      </c>
      <c r="C4724" t="str">
        <f>IFERROR(__xludf.DUMMYFUNCTION("GOOGLETRANSLATE(B4724, ""zh"", ""en"")"),"Inside warm wool shoes code test is appropriate, the domestic counter usually wear 37 yards, and there is very warm wool, and other winter!")</f>
        <v>Inside warm wool shoes code test is appropriate, the domestic counter usually wear 37 yards, and there is very warm wool, and other winter!</v>
      </c>
    </row>
    <row r="4725">
      <c r="A4725" s="1">
        <v>5.0</v>
      </c>
      <c r="B4725" s="1" t="s">
        <v>4707</v>
      </c>
      <c r="C4725" t="str">
        <f>IFERROR(__xludf.DUMMYFUNCTION("GOOGLETRANSLATE(B4725, ""zh"", ""en"")"),"100 Anniversary limited edition models plus thick velvet really worthy of the audience, this plus thick velvet quality. Gradient blue, but her husband does not belong to the white color of the super-lift. US version is still large size 1-2 size than Asia.")</f>
        <v>100 Anniversary limited edition models plus thick velvet really worthy of the audience, this plus thick velvet quality. Gradient blue, but her husband does not belong to the white color of the super-lift. US version is still large size 1-2 size than Asia.</v>
      </c>
    </row>
    <row r="4726">
      <c r="A4726" s="1">
        <v>5.0</v>
      </c>
      <c r="B4726" s="1" t="s">
        <v>4708</v>
      </c>
      <c r="C4726" t="str">
        <f>IFERROR(__xludf.DUMMYFUNCTION("GOOGLETRANSLATE(B4726, ""zh"", ""en"")"),"For lean legs workmanship, style are good. Shoes for lean legs, size is very accurate. The first figure is of me a pair of shoes Colombia number 41.5, the shoes I want 41's just right. Express fast two or three days to Beijing from the United Kingdom.")</f>
        <v>For lean legs workmanship, style are good. Shoes for lean legs, size is very accurate. The first figure is of me a pair of shoes Colombia number 41.5, the shoes I want 41's just right. Express fast two or three days to Beijing from the United Kingdom.</v>
      </c>
    </row>
    <row r="4727">
      <c r="A4727" s="1">
        <v>5.0</v>
      </c>
      <c r="B4727" s="1" t="s">
        <v>4709</v>
      </c>
      <c r="C4727" t="str">
        <f>IFERROR(__xludf.DUMMYFUNCTION("GOOGLETRANSLATE(B4727, ""zh"", ""en"")"),"very suitable. Great price cheaper than the counter for more than half. Product phase is also very good, super-fast delivery. No results have been also buy a pair of friends. 38 yards usually, 37.5clarks wear. But 38 is more comfortable.")</f>
        <v>very suitable. Great price cheaper than the counter for more than half. Product phase is also very good, super-fast delivery. No results have been also buy a pair of friends. 38 yards usually, 37.5clarks wear. But 38 is more comfortable.</v>
      </c>
    </row>
    <row r="4728">
      <c r="A4728" s="1">
        <v>5.0</v>
      </c>
      <c r="B4728" s="1" t="s">
        <v>4710</v>
      </c>
      <c r="C4728" t="str">
        <f>IFERROR(__xludf.DUMMYFUNCTION("GOOGLETRANSLATE(B4728, ""zh"", ""en"")"),"L quality is very good, comfortable")</f>
        <v>L quality is very good, comfortable</v>
      </c>
    </row>
    <row r="4729">
      <c r="A4729" s="1">
        <v>5.0</v>
      </c>
      <c r="B4729" s="1" t="s">
        <v>4711</v>
      </c>
      <c r="C4729" t="str">
        <f>IFERROR(__xludf.DUMMYFUNCTION("GOOGLETRANSLATE(B4729, ""zh"", ""en"")"),"Like this standard clothing sizes, comfortable upper body.")</f>
        <v>Like this standard clothing sizes, comfortable upper body.</v>
      </c>
    </row>
    <row r="4730">
      <c r="A4730" s="1">
        <v>5.0</v>
      </c>
      <c r="B4730" s="1" t="s">
        <v>4712</v>
      </c>
      <c r="C4730" t="str">
        <f>IFERROR(__xludf.DUMMYFUNCTION("GOOGLETRANSLATE(B4730, ""zh"", ""en"")"),"This material is good really good I felt that I could")</f>
        <v>This material is good really good I felt that I could</v>
      </c>
    </row>
    <row r="4731">
      <c r="A4731" s="1">
        <v>5.0</v>
      </c>
      <c r="B4731" s="1" t="s">
        <v>4713</v>
      </c>
      <c r="C4731" t="str">
        <f>IFERROR(__xludf.DUMMYFUNCTION("GOOGLETRANSLATE(B4731, ""zh"", ""en"")"),"The right size, looks pretty good-looking appearance")</f>
        <v>The right size, looks pretty good-looking appearance</v>
      </c>
    </row>
    <row r="4732">
      <c r="A4732" s="1">
        <v>5.0</v>
      </c>
      <c r="B4732" s="1" t="s">
        <v>4714</v>
      </c>
      <c r="C4732" t="str">
        <f>IFERROR(__xludf.DUMMYFUNCTION("GOOGLETRANSLATE(B4732, ""zh"", ""en"")"),"A little hard a little hard, cloth tents with canvas material. Overall good, personally, prefer. 172cm, 74kg, 33w / 29l exactly.")</f>
        <v>A little hard a little hard, cloth tents with canvas material. Overall good, personally, prefer. 172cm, 74kg, 33w / 29l exactly.</v>
      </c>
    </row>
    <row r="4733">
      <c r="A4733" s="1">
        <v>5.0</v>
      </c>
      <c r="B4733" s="1" t="s">
        <v>4715</v>
      </c>
      <c r="C4733" t="str">
        <f>IFERROR(__xludf.DUMMYFUNCTION("GOOGLETRANSLATE(B4733, ""zh"", ""en"")"),"It will repurchase comfortable than other stockings and more. As long as the color is good, unlimited buyback")</f>
        <v>It will repurchase comfortable than other stockings and more. As long as the color is good, unlimited buyback</v>
      </c>
    </row>
    <row r="4734">
      <c r="A4734" s="1">
        <v>5.0</v>
      </c>
      <c r="B4734" s="1" t="s">
        <v>4716</v>
      </c>
      <c r="C4734" t="str">
        <f>IFERROR(__xludf.DUMMYFUNCTION("GOOGLETRANSLATE(B4734, ""zh"", ""en"")"),"👌 👍👍👍")</f>
        <v>👌 👍👍👍</v>
      </c>
    </row>
    <row r="4735">
      <c r="A4735" s="1">
        <v>5.0</v>
      </c>
      <c r="B4735" s="1" t="s">
        <v>4717</v>
      </c>
      <c r="C4735" t="str">
        <f>IFERROR(__xludf.DUMMYFUNCTION("GOOGLETRANSLATE(B4735, ""zh"", ""en"")"),"Terrific particularly good, very suitable for their own")</f>
        <v>Terrific particularly good, very suitable for their own</v>
      </c>
    </row>
    <row r="4736">
      <c r="A4736" s="1">
        <v>2.0</v>
      </c>
      <c r="B4736" s="1" t="s">
        <v>4718</v>
      </c>
      <c r="C4736" t="str">
        <f>IFERROR(__xludf.DUMMYFUNCTION("GOOGLETRANSLATE(B4736, ""zh"", ""en"")"),"Abdomen would curling, is not very good, oh")</f>
        <v>Abdomen would curling, is not very good, oh</v>
      </c>
    </row>
    <row r="4737">
      <c r="A4737" s="1">
        <v>3.0</v>
      </c>
      <c r="B4737" s="1" t="s">
        <v>4719</v>
      </c>
      <c r="C4737" t="str">
        <f>IFERROR(__xludf.DUMMYFUNCTION("GOOGLETRANSLATE(B4737, ""zh"", ""en"")"),"There is a quality problem to wear comfortable clothes, stylish, only regret is three in one (gray) there are quality problems, it only luck overseas purchase, returns trouble")</f>
        <v>There is a quality problem to wear comfortable clothes, stylish, only regret is three in one (gray) there are quality problems, it only luck overseas purchase, returns trouble</v>
      </c>
    </row>
    <row r="4738">
      <c r="A4738" s="1">
        <v>3.0</v>
      </c>
      <c r="B4738" s="1" t="s">
        <v>4720</v>
      </c>
      <c r="C4738" t="str">
        <f>IFERROR(__xludf.DUMMYFUNCTION("GOOGLETRANSLATE(B4738, ""zh"", ""en"")"),"Not warm regarded overseas purchase in a relatively satisfactory, but not warm, but also worthy of the price")</f>
        <v>Not warm regarded overseas purchase in a relatively satisfactory, but not warm, but also worthy of the price</v>
      </c>
    </row>
    <row r="4739">
      <c r="A4739" s="1">
        <v>1.0</v>
      </c>
      <c r="B4739" s="1" t="s">
        <v>4721</v>
      </c>
      <c r="C4739" t="str">
        <f>IFERROR(__xludf.DUMMYFUNCTION("GOOGLETRANSLATE(B4739, ""zh"", ""en"")"),"Do not fly, buy with caution given 38 yards, sent me 41 yards. German is not shy. Returns a month, money has not returned to. Telephone reminders a few times no effect.")</f>
        <v>Do not fly, buy with caution given 38 yards, sent me 41 yards. German is not shy. Returns a month, money has not returned to. Telephone reminders a few times no effect.</v>
      </c>
    </row>
    <row r="4740">
      <c r="A4740" s="1">
        <v>1.0</v>
      </c>
      <c r="B4740" s="1" t="s">
        <v>4722</v>
      </c>
      <c r="C4740" t="str">
        <f>IFERROR(__xludf.DUMMYFUNCTION("GOOGLETRANSLATE(B4740, ""zh"", ""en"")"),"For the first time on shopping in the Amazon was very disappointed about the free delivery of goods but rather two boxes of violence without any protection measures after receiving damaged deformed all the boxes")</f>
        <v>For the first time on shopping in the Amazon was very disappointed about the free delivery of goods but rather two boxes of violence without any protection measures after receiving damaged deformed all the boxes</v>
      </c>
    </row>
    <row r="4741">
      <c r="A4741" s="1">
        <v>4.0</v>
      </c>
      <c r="B4741" s="1" t="s">
        <v>4723</v>
      </c>
      <c r="C4741" t="str">
        <f>IFERROR(__xludf.DUMMYFUNCTION("GOOGLETRANSLATE(B4741, ""zh"", ""en"")"),"I think the quality can also be non-adult section size is too large. We note that this is not the adult section. My foot size is too large net long 230mm winter wear thick socks so buy big I did not expect really big with a lot of really big bare feet at "&amp;"least two finger pad insole thick socks or a little bit big but comfortable. Warm or can buy a little more than 500 different sizes at different prices.")</f>
        <v>I think the quality can also be non-adult section size is too large. We note that this is not the adult section. My foot size is too large net long 230mm winter wear thick socks so buy big I did not expect really big with a lot of really big bare feet at least two finger pad insole thick socks or a little bit big but comfortable. Warm or can buy a little more than 500 different sizes at different prices.</v>
      </c>
    </row>
    <row r="4742">
      <c r="A4742" s="1">
        <v>4.0</v>
      </c>
      <c r="B4742" s="1" t="s">
        <v>4724</v>
      </c>
      <c r="C4742" t="str">
        <f>IFERROR(__xludf.DUMMYFUNCTION("GOOGLETRANSLATE(B4742, ""zh"", ""en"")"),"Good texture, good texture, but some thin, summer can wear or play wear spring and autumn.")</f>
        <v>Good texture, good texture, but some thin, summer can wear or play wear spring and autumn.</v>
      </c>
    </row>
    <row r="4743">
      <c r="A4743" s="1">
        <v>4.0</v>
      </c>
      <c r="B4743" s="1" t="s">
        <v>4725</v>
      </c>
      <c r="C4743" t="str">
        <f>IFERROR(__xludf.DUMMYFUNCTION("GOOGLETRANSLATE(B4743, ""zh"", ""en"")"),"Large fabric Fortunately, work is also available. One big, easy to fold.")</f>
        <v>Large fabric Fortunately, work is also available. One big, easy to fold.</v>
      </c>
    </row>
    <row r="4744">
      <c r="A4744" s="1">
        <v>4.0</v>
      </c>
      <c r="B4744" s="1" t="s">
        <v>4726</v>
      </c>
      <c r="C4744" t="str">
        <f>IFERROR(__xludf.DUMMYFUNCTION("GOOGLETRANSLATE(B4744, ""zh"", ""en"")"),"Ultra Slim models s code is really small, self-cultivation models for 170 / 50-60kg")</f>
        <v>Ultra Slim models s code is really small, self-cultivation models for 170 / 50-60kg</v>
      </c>
    </row>
    <row r="4745">
      <c r="A4745" s="1">
        <v>4.0</v>
      </c>
      <c r="B4745" s="1" t="s">
        <v>4727</v>
      </c>
      <c r="C4745" t="str">
        <f>IFERROR(__xludf.DUMMYFUNCTION("GOOGLETRANSLATE(B4745, ""zh"", ""en"")"),"This can be a worthwhile purchase or")</f>
        <v>This can be a worthwhile purchase or</v>
      </c>
    </row>
    <row r="4746">
      <c r="A4746" s="1">
        <v>5.0</v>
      </c>
      <c r="B4746" s="1" t="s">
        <v>4728</v>
      </c>
      <c r="C4746" t="str">
        <f>IFERROR(__xludf.DUMMYFUNCTION("GOOGLETRANSLATE(B4746, ""zh"", ""en"")"),"Dea ~ very satisfied with the other usual spring and autumn wear Clarks buy most of the code, suitable for winter thick socks. Tax free postage 550 seconds to shoot. Earned a one hundred million ...... feeling than last time Deya to packaging has improved"&amp;", with a brown paper instead of plastic bags, very environmentally friendly ♻️, praise 👍🏻")</f>
        <v>Dea ~ very satisfied with the other usual spring and autumn wear Clarks buy most of the code, suitable for winter thick socks. Tax free postage 550 seconds to shoot. Earned a one hundred million ...... feeling than last time Deya to packaging has improved, with a brown paper instead of plastic bags, very environmentally friendly ♻️, praise 👍🏻</v>
      </c>
    </row>
    <row r="4747">
      <c r="A4747" s="1">
        <v>5.0</v>
      </c>
      <c r="B4747" s="1" t="s">
        <v>4729</v>
      </c>
      <c r="C4747" t="str">
        <f>IFERROR(__xludf.DUMMYFUNCTION("GOOGLETRANSLATE(B4747, ""zh"", ""en"")"),"Pick the right stature short paragraph Sleeve Length is shorter with the same model looked at the effect of family laugh")</f>
        <v>Pick the right stature short paragraph Sleeve Length is shorter with the same model looked at the effect of family laugh</v>
      </c>
    </row>
    <row r="4748">
      <c r="A4748" s="1">
        <v>5.0</v>
      </c>
      <c r="B4748" s="1" t="s">
        <v>4730</v>
      </c>
      <c r="C4748" t="str">
        <f>IFERROR(__xludf.DUMMYFUNCTION("GOOGLETRANSLATE(B4748, ""zh"", ""en"")"),"At least freshman code size than domestic material in general, more than 80 starts, behind a champion embroidered logo, overall and long of it")</f>
        <v>At least freshman code size than domestic material in general, more than 80 starts, behind a champion embroidered logo, overall and long of it</v>
      </c>
    </row>
    <row r="4749">
      <c r="A4749" s="1">
        <v>5.0</v>
      </c>
      <c r="B4749" s="1" t="s">
        <v>4731</v>
      </c>
      <c r="C4749" t="str">
        <f>IFERROR(__xludf.DUMMYFUNCTION("GOOGLETRANSLATE(B4749, ""zh"", ""en"")"),"puma real materials, 7us 37.5 yards, just to wear thin socks more relaxed.")</f>
        <v>puma real materials, 7us 37.5 yards, just to wear thin socks more relaxed.</v>
      </c>
    </row>
    <row r="4750">
      <c r="A4750" s="1">
        <v>5.0</v>
      </c>
      <c r="B4750" s="1" t="s">
        <v>4732</v>
      </c>
      <c r="C4750" t="str">
        <f>IFERROR(__xludf.DUMMYFUNCTION("GOOGLETRANSLATE(B4750, ""zh"", ""en"")"),"Suitable great value 36.5 or 37 yards usually wear shoes, children under five yards the appropriate value for money, some low foot, foot fat carefully choose,")</f>
        <v>Suitable great value 36.5 or 37 yards usually wear shoes, children under five yards the appropriate value for money, some low foot, foot fat carefully choose,</v>
      </c>
    </row>
    <row r="4751">
      <c r="A4751" s="1">
        <v>5.0</v>
      </c>
      <c r="B4751" s="1" t="s">
        <v>4733</v>
      </c>
      <c r="C4751" t="str">
        <f>IFERROR(__xludf.DUMMYFUNCTION("GOOGLETRANSLATE(B4751, ""zh"", ""en"")"),". Tight-fitting, breathable, warmer than QiuKu more.")</f>
        <v>. Tight-fitting, breathable, warmer than QiuKu more.</v>
      </c>
    </row>
    <row r="4752">
      <c r="A4752" s="1">
        <v>5.0</v>
      </c>
      <c r="B4752" s="1" t="s">
        <v>4734</v>
      </c>
      <c r="C4752" t="str">
        <f>IFERROR(__xludf.DUMMYFUNCTION("GOOGLETRANSLATE(B4752, ""zh"", ""en"")"),"No problem &lt;div id = ""video-block-R3S982FFJP2IPL"" class = ""a-section a-spacing-small a-spacing-top-mini video-block""&gt; &lt;/ div&gt; &lt;input type = ""hidden"" name = "" ""value ="" https://images-cn.ssl-images-amazon.com/images/I/A1RwU7zVbiS.mp4 ""class ="" v"&amp;"ideo-url ""&gt; &lt;input type ="" hidden ""name ="" ""value ="" https://images-cn.ssl-images-amazon.com/images/I/71MclyHk5tS.png ""class ="" video-slate-img-url ""&gt; &amp; nbsp; also, 9M 42 yards, my feet fat little. Just wear a little squeeze feet, wear-resistant "&amp;"Kee Di 43 and 43 feet is recommended to buy 9EE, wear thick cotton socks should be better! Good-looking than the pictures in kind. Delivery is too slow, the order number 12, 29 only to the.")</f>
        <v>No problem &lt;div id = "video-block-R3S982FFJP2IPL" class = "a-section a-spacing-small a-spacing-top-mini video-block"&gt; &lt;/ div&gt; &lt;input type = "hidden" name = " "value =" https://images-cn.ssl-images-amazon.com/images/I/A1RwU7zVbiS.mp4 "class =" video-url "&gt; &lt;input type =" hidden "name =" "value =" https://images-cn.ssl-images-amazon.com/images/I/71MclyHk5tS.png "class =" video-slate-img-url "&gt; &amp; nbsp; also, 9M 42 yards, my feet fat little. Just wear a little squeeze feet, wear-resistant Kee Di 43 and 43 feet is recommended to buy 9EE, wear thick cotton socks should be better! Good-looking than the pictures in kind. Delivery is too slow, the order number 12, 29 only to the.</v>
      </c>
    </row>
    <row r="4753">
      <c r="A4753" s="1">
        <v>5.0</v>
      </c>
      <c r="B4753" s="1" t="s">
        <v>4735</v>
      </c>
      <c r="C4753" t="str">
        <f>IFERROR(__xludf.DUMMYFUNCTION("GOOGLETRANSLATE(B4753, ""zh"", ""en"")"),"Suitable fairly w34l32, waist 34 and internally consistent, the same length 32 and 34 of the country because Weila, upper embarrassing, so it is slightly longer")</f>
        <v>Suitable fairly w34l32, waist 34 and internally consistent, the same length 32 and 34 of the country because Weila, upper embarrassing, so it is slightly longer</v>
      </c>
    </row>
    <row r="4754">
      <c r="A4754" s="1">
        <v>5.0</v>
      </c>
      <c r="B4754" s="1" t="s">
        <v>4736</v>
      </c>
      <c r="C4754" t="str">
        <f>IFERROR(__xludf.DUMMYFUNCTION("GOOGLETRANSLATE(B4754, ""zh"", ""en"")"),"Good ki desu man and I bought tickets a couple of cups. Made in China, but I do not mind the wire after understanding. Very light, very insulation! Fear of burning! Nichia packaging is very reassuring. satisfaction!")</f>
        <v>Good ki desu man and I bought tickets a couple of cups. Made in China, but I do not mind the wire after understanding. Very light, very insulation! Fear of burning! Nichia packaging is very reassuring. satisfaction!</v>
      </c>
    </row>
    <row r="4755">
      <c r="A4755" s="1">
        <v>5.0</v>
      </c>
      <c r="B4755" s="1" t="s">
        <v>4737</v>
      </c>
      <c r="C4755" t="str">
        <f>IFERROR(__xludf.DUMMYFUNCTION("GOOGLETRANSLATE(B4755, ""zh"", ""en"")"),"Great! Very, very good, new authentic. The headset is very convenient. Bluetooth constantly good, low-frequency sound bad points of attainment, tri-band equalization, overall good. Without head comfortable. Touch screen is very sensitive earphone no probl"&amp;"em. Well worth enough to buy")</f>
        <v>Great! Very, very good, new authentic. The headset is very convenient. Bluetooth constantly good, low-frequency sound bad points of attainment, tri-band equalization, overall good. Without head comfortable. Touch screen is very sensitive earphone no problem. Well worth enough to buy</v>
      </c>
    </row>
    <row r="4756">
      <c r="A4756" s="1">
        <v>5.0</v>
      </c>
      <c r="B4756" s="1" t="s">
        <v>4738</v>
      </c>
      <c r="C4756" t="str">
        <f>IFERROR(__xludf.DUMMYFUNCTION("GOOGLETRANSLATE(B4756, ""zh"", ""en"")"),"Good external hard drive small, the sound is very small, very fast download speeds")</f>
        <v>Good external hard drive small, the sound is very small, very fast download speeds</v>
      </c>
    </row>
    <row r="4757">
      <c r="A4757" s="1">
        <v>5.0</v>
      </c>
      <c r="B4757" s="1" t="s">
        <v>4739</v>
      </c>
      <c r="C4757" t="str">
        <f>IFERROR(__xludf.DUMMYFUNCTION("GOOGLETRANSLATE(B4757, ""zh"", ""en"")"),"Color genuine type of pants are basically good husband Lee's! Typical thigh leg are kind of rough boys! The pants are very comfortable! Thick thighs boys can also ride! The high cost")</f>
        <v>Color genuine type of pants are basically good husband Lee's! Typical thigh leg are kind of rough boys! The pants are very comfortable! Thick thighs boys can also ride! The high cost</v>
      </c>
    </row>
    <row r="4758">
      <c r="A4758" s="1">
        <v>5.0</v>
      </c>
      <c r="B4758" s="1" t="s">
        <v>4740</v>
      </c>
      <c r="C4758" t="str">
        <f>IFERROR(__xludf.DUMMYFUNCTION("GOOGLETRANSLATE(B4758, ""zh"", ""en"")"),"For the first time to buy, very good, good point of praise, for the first time to buy, the next will continue")</f>
        <v>For the first time to buy, very good, good point of praise, for the first time to buy, the next will continue</v>
      </c>
    </row>
    <row r="4759">
      <c r="A4759" s="1">
        <v>5.0</v>
      </c>
      <c r="B4759" s="1" t="s">
        <v>4741</v>
      </c>
      <c r="C4759" t="str">
        <f>IFERROR(__xludf.DUMMYFUNCTION("GOOGLETRANSLATE(B4759, ""zh"", ""en"")"),"Very Good Good Good attempt")</f>
        <v>Very Good Good Good attempt</v>
      </c>
    </row>
    <row r="4760">
      <c r="A4760" s="1">
        <v>5.0</v>
      </c>
      <c r="B4760" s="1" t="s">
        <v>4742</v>
      </c>
      <c r="C4760" t="str">
        <f>IFERROR(__xludf.DUMMYFUNCTION("GOOGLETRANSLATE(B4760, ""zh"", ""en"")"),"Yan high quality and very good value and practical good, not from the previous evaluation, I do not know how many wasted points, points can change money now know, they should look carefully evaluated, then I put these words to copy to go, both to earn poi"&amp;"nts also save, copy where they go, the most important thing is that Amazon's something really good, recommend it to everyone. buy for the second time.")</f>
        <v>Yan high quality and very good value and practical good, not from the previous evaluation, I do not know how many wasted points, points can change money now know, they should look carefully evaluated, then I put these words to copy to go, both to earn points also save, copy where they go, the most important thing is that Amazon's something really good, recommend it to everyone. buy for the second time.</v>
      </c>
    </row>
    <row r="4761">
      <c r="A4761" s="1">
        <v>5.0</v>
      </c>
      <c r="B4761" s="1" t="s">
        <v>4743</v>
      </c>
      <c r="C4761" t="str">
        <f>IFERROR(__xludf.DUMMYFUNCTION("GOOGLETRANSLATE(B4761, ""zh"", ""en"")"),"Can be fairly sophisticated, waist 84 to buy 85 just right. This belt can not be cut")</f>
        <v>Can be fairly sophisticated, waist 84 to buy 85 just right. This belt can not be cut</v>
      </c>
    </row>
    <row r="4762">
      <c r="A4762" s="1">
        <v>5.0</v>
      </c>
      <c r="B4762" s="1" t="s">
        <v>4744</v>
      </c>
      <c r="C4762" t="str">
        <f>IFERROR(__xludf.DUMMYFUNCTION("GOOGLETRANSLATE(B4762, ""zh"", ""en"")"),"Very appropriate height 170, weight 150, buy M, very relaxed, a slightly shorter length Diudiu. Ref 580, absolute value, but also how the domestic Taobao Ba Jiubai one. it's a bargain. Warm is also very good. Next year there is again an activity.")</f>
        <v>Very appropriate height 170, weight 150, buy M, very relaxed, a slightly shorter length Diudiu. Ref 580, absolute value, but also how the domestic Taobao Ba Jiubai one. it's a bargain. Warm is also very good. Next year there is again an activity.</v>
      </c>
    </row>
    <row r="4763">
      <c r="A4763" s="1">
        <v>5.0</v>
      </c>
      <c r="B4763" s="1" t="s">
        <v>4745</v>
      </c>
      <c r="C4763" t="str">
        <f>IFERROR(__xludf.DUMMYFUNCTION("GOOGLETRANSLATE(B4763, ""zh"", ""en"")"),"CK Authentic CK is genuine, good quality. Slim models are not bloated, did not run down the phenomenon. Down with the domestic section of code is similar to the election code usually wear it to.")</f>
        <v>CK Authentic CK is genuine, good quality. Slim models are not bloated, did not run down the phenomenon. Down with the domestic section of code is similar to the election code usually wear it to.</v>
      </c>
    </row>
    <row r="4764">
      <c r="A4764" s="1">
        <v>5.0</v>
      </c>
      <c r="B4764" s="1" t="s">
        <v>4746</v>
      </c>
      <c r="C4764" t="str">
        <f>IFERROR(__xludf.DUMMYFUNCTION("GOOGLETRANSLATE(B4764, ""zh"", ""en"")"),"Comfortable more comfortable")</f>
        <v>Comfortable more comfortable</v>
      </c>
    </row>
    <row r="4765">
      <c r="A4765" s="1">
        <v>5.0</v>
      </c>
      <c r="B4765" s="1" t="s">
        <v>4747</v>
      </c>
      <c r="C4765" t="str">
        <f>IFERROR(__xludf.DUMMYFUNCTION("GOOGLETRANSLATE(B4765, ""zh"", ""en"")"),"Very very comfortable, no trace, 163-115 pounds, m appropriate.")</f>
        <v>Very very comfortable, no trace, 163-115 pounds, m appropriate.</v>
      </c>
    </row>
    <row r="4766">
      <c r="A4766" s="1">
        <v>5.0</v>
      </c>
      <c r="B4766" s="1" t="s">
        <v>4748</v>
      </c>
      <c r="C4766" t="str">
        <f>IFERROR(__xludf.DUMMYFUNCTION("GOOGLETRANSLATE(B4766, ""zh"", ""en"")"),"Good price on this is very good")</f>
        <v>Good price on this is very good</v>
      </c>
    </row>
    <row r="4767">
      <c r="A4767" s="1">
        <v>5.0</v>
      </c>
      <c r="B4767" s="1" t="s">
        <v>4749</v>
      </c>
      <c r="C4767" t="str">
        <f>IFERROR(__xludf.DUMMYFUNCTION("GOOGLETRANSLATE(B4767, ""zh"", ""en"")"),"Lexar 64GB camera to buy, good, capacity can be")</f>
        <v>Lexar 64GB camera to buy, good, capacity can be</v>
      </c>
    </row>
    <row r="4768">
      <c r="A4768" s="1">
        <v>2.0</v>
      </c>
      <c r="B4768" s="1" t="s">
        <v>4750</v>
      </c>
      <c r="C4768" t="str">
        <f>IFERROR(__xludf.DUMMYFUNCTION("GOOGLETRANSLATE(B4768, ""zh"", ""en"")"),"Goods without protective packaging, the appearance of damage. Open membership under 2 single, bought three items, hand protection is no packaging, trade dress badly damaged two, known as the Iraq war damage level, applied for a refund, but also to send ph"&amp;"otos to the mailbox and telephone communication, trouble, simply cancel your membership, after X East buy well, at least there did commodity packaging protection, get a hand is intact. . .")</f>
        <v>Goods without protective packaging, the appearance of damage. Open membership under 2 single, bought three items, hand protection is no packaging, trade dress badly damaged two, known as the Iraq war damage level, applied for a refund, but also to send photos to the mailbox and telephone communication, trouble, simply cancel your membership, after X East buy well, at least there did commodity packaging protection, get a hand is intact. . .</v>
      </c>
    </row>
    <row r="4769">
      <c r="A4769" s="1">
        <v>3.0</v>
      </c>
      <c r="B4769" s="1" t="s">
        <v>2813</v>
      </c>
      <c r="C4769" t="str">
        <f>IFERROR(__xludf.DUMMYFUNCTION("GOOGLETRANSLATE(B4769, ""zh"", ""en"")"),"Old style, great code! Shall not apply to the general population of our country, better customer service suggested I buy a small 12S to 10S as a whole is still the number one inch big. Old style, to wear like Aunt. But the fabric is very comfortable, and "&amp;"there is no smell. Get back more than 50 overseas freight, worth, or give as gifts good.")</f>
        <v>Old style, great code! Shall not apply to the general population of our country, better customer service suggested I buy a small 12S to 10S as a whole is still the number one inch big. Old style, to wear like Aunt. But the fabric is very comfortable, and there is no smell. Get back more than 50 overseas freight, worth, or give as gifts good.</v>
      </c>
    </row>
    <row r="4770">
      <c r="A4770" s="1">
        <v>3.0</v>
      </c>
      <c r="B4770" s="1" t="s">
        <v>4751</v>
      </c>
      <c r="C4770" t="str">
        <f>IFERROR(__xludf.DUMMYFUNCTION("GOOGLETRANSLATE(B4770, ""zh"", ""en"")"),"Small bowl that could not absorb the smallest bowl simply could not absorb other feeling like a general")</f>
        <v>Small bowl that could not absorb the smallest bowl simply could not absorb other feeling like a general</v>
      </c>
    </row>
    <row r="4771">
      <c r="A4771" s="1">
        <v>1.0</v>
      </c>
      <c r="B4771" s="1" t="s">
        <v>4752</v>
      </c>
      <c r="C4771" t="str">
        <f>IFERROR(__xludf.DUMMYFUNCTION("GOOGLETRANSLATE(B4771, ""zh"", ""en"")"),"Table are not allowed to start okay, spent two months allowed to the table, a few hours a day and sometimes slow, so I Zhashui it!")</f>
        <v>Table are not allowed to start okay, spent two months allowed to the table, a few hours a day and sometimes slow, so I Zhashui it!</v>
      </c>
    </row>
    <row r="4772">
      <c r="A4772" s="1">
        <v>1.0</v>
      </c>
      <c r="B4772" s="1" t="s">
        <v>4753</v>
      </c>
      <c r="C4772" t="str">
        <f>IFERROR(__xludf.DUMMYFUNCTION("GOOGLETRANSLATE(B4772, ""zh"", ""en"")"),"Not recommended to buy do not recommend to buy, too fake. Take the lead in the original, low-quality leather strap complete system. Supporting incomplete.")</f>
        <v>Not recommended to buy do not recommend to buy, too fake. Take the lead in the original, low-quality leather strap complete system. Supporting incomplete.</v>
      </c>
    </row>
    <row r="4773">
      <c r="A4773" s="1">
        <v>1.0</v>
      </c>
      <c r="B4773" s="1" t="s">
        <v>4754</v>
      </c>
      <c r="C4773" t="str">
        <f>IFERROR(__xludf.DUMMYFUNCTION("GOOGLETRANSLATE(B4773, ""zh"", ""en"")"),"This cottage is also not as good as the standard of overseas purchase, not as domestic cottage, to a star is more")</f>
        <v>This cottage is also not as good as the standard of overseas purchase, not as domestic cottage, to a star is more</v>
      </c>
    </row>
    <row r="4774">
      <c r="A4774" s="1">
        <v>4.0</v>
      </c>
      <c r="B4774" s="1" t="s">
        <v>4755</v>
      </c>
      <c r="C4774" t="str">
        <f>IFERROR(__xludf.DUMMYFUNCTION("GOOGLETRANSLATE(B4774, ""zh"", ""en"")"),"There are flaws, look heavy integrity! Sea Amoy speed class, order No. 21, No. 27 sent home, but the goods are defective, and see it is not caused by transportation, it seems that foreigners are not good faith! It does not affect the use of the returned!")</f>
        <v>There are flaws, look heavy integrity! Sea Amoy speed class, order No. 21, No. 27 sent home, but the goods are defective, and see it is not caused by transportation, it seems that foreigners are not good faith! It does not affect the use of the returned!</v>
      </c>
    </row>
    <row r="4775">
      <c r="A4775" s="1">
        <v>4.0</v>
      </c>
      <c r="B4775" s="1" t="s">
        <v>4756</v>
      </c>
      <c r="C4775" t="str">
        <f>IFERROR(__xludf.DUMMYFUNCTION("GOOGLETRANSLATE(B4775, ""zh"", ""en"")"),"Hard hard point, the baby still prefer the kind of small soft beautiful month")</f>
        <v>Hard hard point, the baby still prefer the kind of small soft beautiful month</v>
      </c>
    </row>
    <row r="4776">
      <c r="A4776" s="1">
        <v>4.0</v>
      </c>
      <c r="B4776" s="1" t="s">
        <v>4757</v>
      </c>
      <c r="C4776" t="str">
        <f>IFERROR(__xludf.DUMMYFUNCTION("GOOGLETRANSLATE(B4776, ""zh"", ""en"")"),"Version fatter fabric good, but the version is relatively fat")</f>
        <v>Version fatter fabric good, but the version is relatively fat</v>
      </c>
    </row>
    <row r="4777">
      <c r="A4777" s="1">
        <v>4.0</v>
      </c>
      <c r="B4777" s="1" t="s">
        <v>4758</v>
      </c>
      <c r="C4777" t="str">
        <f>IFERROR(__xludf.DUMMYFUNCTION("GOOGLETRANSLATE(B4777, ""zh"", ""en"")"),"Good quality and great quality! Logistics speed is also a week earlier than expected. But there really tight ankle. Size a bit small, a little tight winter wear thick socks.")</f>
        <v>Good quality and great quality! Logistics speed is also a week earlier than expected. But there really tight ankle. Size a bit small, a little tight winter wear thick socks.</v>
      </c>
    </row>
    <row r="4778">
      <c r="A4778" s="1">
        <v>4.0</v>
      </c>
      <c r="B4778" s="1" t="s">
        <v>4759</v>
      </c>
      <c r="C4778" t="str">
        <f>IFERROR(__xludf.DUMMYFUNCTION("GOOGLETRANSLATE(B4778, ""zh"", ""en"")"),"not bad. A little big.")</f>
        <v>not bad. A little big.</v>
      </c>
    </row>
    <row r="4779">
      <c r="A4779" s="1">
        <v>5.0</v>
      </c>
      <c r="B4779" s="1" t="s">
        <v>4760</v>
      </c>
      <c r="C4779" t="str">
        <f>IFERROR(__xludf.DUMMYFUNCTION("GOOGLETRANSLATE(B4779, ""zh"", ""en"")"),"Close-fitting, comfortable like")</f>
        <v>Close-fitting, comfortable like</v>
      </c>
    </row>
    <row r="4780">
      <c r="A4780" s="1">
        <v>5.0</v>
      </c>
      <c r="B4780" s="1" t="s">
        <v>4761</v>
      </c>
      <c r="C4780" t="str">
        <f>IFERROR(__xludf.DUMMYFUNCTION("GOOGLETRANSLATE(B4780, ""zh"", ""en"")"),"Good to wear good-looking than the picture kind of pretty much half a yard too large indeed very comfortable to wear")</f>
        <v>Good to wear good-looking than the picture kind of pretty much half a yard too large indeed very comfortable to wear</v>
      </c>
    </row>
    <row r="4781">
      <c r="A4781" s="1">
        <v>5.0</v>
      </c>
      <c r="B4781" s="1" t="s">
        <v>4762</v>
      </c>
      <c r="C4781" t="str">
        <f>IFERROR(__xludf.DUMMYFUNCTION("GOOGLETRANSLATE(B4781, ""zh"", ""en"")"),"Work one-time buy two, good good")</f>
        <v>Work one-time buy two, good good</v>
      </c>
    </row>
    <row r="4782">
      <c r="A4782" s="1">
        <v>5.0</v>
      </c>
      <c r="B4782" s="1" t="s">
        <v>4763</v>
      </c>
      <c r="C4782" t="str">
        <f>IFERROR(__xludf.DUMMYFUNCTION("GOOGLETRANSLATE(B4782, ""zh"", ""en"")"),"it is good! Than at home and that the baby started crying too strong a broken machine, good clean sound and light, less than half the price.")</f>
        <v>it is good! Than at home and that the baby started crying too strong a broken machine, good clean sound and light, less than half the price.</v>
      </c>
    </row>
    <row r="4783">
      <c r="A4783" s="1">
        <v>5.0</v>
      </c>
      <c r="B4783" s="1" t="s">
        <v>4764</v>
      </c>
      <c r="C4783" t="str">
        <f>IFERROR(__xludf.DUMMYFUNCTION("GOOGLETRANSLATE(B4783, ""zh"", ""en"")"),"Bang Bang is great. well. Cons: Heavy.")</f>
        <v>Bang Bang is great. well. Cons: Heavy.</v>
      </c>
    </row>
    <row r="4784">
      <c r="A4784" s="1">
        <v>5.0</v>
      </c>
      <c r="B4784" s="1" t="s">
        <v>4765</v>
      </c>
      <c r="C4784" t="str">
        <f>IFERROR(__xludf.DUMMYFUNCTION("GOOGLETRANSLATE(B4784, ""zh"", ""en"")"),"Recommended to buy great! Both comfort and appearance quality are very consistent with my expectations. Now after months ready to wear it to see if there are no other problems.")</f>
        <v>Recommended to buy great! Both comfort and appearance quality are very consistent with my expectations. Now after months ready to wear it to see if there are no other problems.</v>
      </c>
    </row>
    <row r="4785">
      <c r="A4785" s="1">
        <v>5.0</v>
      </c>
      <c r="B4785" s="1" t="s">
        <v>4766</v>
      </c>
      <c r="C4785" t="str">
        <f>IFERROR(__xludf.DUMMYFUNCTION("GOOGLETRANSLATE(B4785, ""zh"", ""en"")"),"Very good, one week after a single thickness of just the right size is also received, very comfortable to wear, praise")</f>
        <v>Very good, one week after a single thickness of just the right size is also received, very comfortable to wear, praise</v>
      </c>
    </row>
    <row r="4786">
      <c r="A4786" s="1">
        <v>5.0</v>
      </c>
      <c r="B4786" s="1" t="s">
        <v>4767</v>
      </c>
      <c r="C4786" t="str">
        <f>IFERROR(__xludf.DUMMYFUNCTION("GOOGLETRANSLATE(B4786, ""zh"", ""en"")"),"Can work hand bag you received. This is suitable for children or girls, adult male, then the size is too small.")</f>
        <v>Can work hand bag you received. This is suitable for children or girls, adult male, then the size is too small.</v>
      </c>
    </row>
    <row r="4787">
      <c r="A4787" s="1">
        <v>5.0</v>
      </c>
      <c r="B4787" s="1" t="s">
        <v>4768</v>
      </c>
      <c r="C4787" t="str">
        <f>IFERROR(__xludf.DUMMYFUNCTION("GOOGLETRANSLATE(B4787, ""zh"", ""en"")"),"Like good-looking and comfortable, and imagine exactly the same")</f>
        <v>Like good-looking and comfortable, and imagine exactly the same</v>
      </c>
    </row>
    <row r="4788">
      <c r="A4788" s="1">
        <v>5.0</v>
      </c>
      <c r="B4788" s="1" t="s">
        <v>4769</v>
      </c>
      <c r="C4788" t="str">
        <f>IFERROR(__xludf.DUMMYFUNCTION("GOOGLETRANSLATE(B4788, ""zh"", ""en"")"),"Very good also be right! Not very slim, long legs Obama wants to feel more difficult, but for Uncle is nothing bad.")</f>
        <v>Very good also be right! Not very slim, long legs Obama wants to feel more difficult, but for Uncle is nothing bad.</v>
      </c>
    </row>
    <row r="4789">
      <c r="A4789" s="1">
        <v>5.0</v>
      </c>
      <c r="B4789" s="1" t="s">
        <v>4770</v>
      </c>
      <c r="C4789" t="str">
        <f>IFERROR(__xludf.DUMMYFUNCTION("GOOGLETRANSLATE(B4789, ""zh"", ""en"")"),"Praise loose money, there is also a plus velvet, bought the L number a bit large, but feel that a replacement too much trouble, so wear it")</f>
        <v>Praise loose money, there is also a plus velvet, bought the L number a bit large, but feel that a replacement too much trouble, so wear it</v>
      </c>
    </row>
    <row r="4790">
      <c r="A4790" s="1">
        <v>5.0</v>
      </c>
      <c r="B4790" s="1" t="s">
        <v>4771</v>
      </c>
      <c r="C4790" t="str">
        <f>IFERROR(__xludf.DUMMYFUNCTION("GOOGLETRANSLATE(B4790, ""zh"", ""en"")"),"Special purchase of Chinese-made, good quality.")</f>
        <v>Special purchase of Chinese-made, good quality.</v>
      </c>
    </row>
    <row r="4791">
      <c r="A4791" s="1">
        <v>5.0</v>
      </c>
      <c r="B4791" s="1" t="s">
        <v>4772</v>
      </c>
      <c r="C4791" t="str">
        <f>IFERROR(__xludf.DUMMYFUNCTION("GOOGLETRANSLATE(B4791, ""zh"", ""en"")"),"Sound quality is very good, the price is good. Sound quality is very good, the price is good, if you like Goethe, that the work of Gauss also nothing critical.")</f>
        <v>Sound quality is very good, the price is good. Sound quality is very good, the price is good, if you like Goethe, that the work of Gauss also nothing critical.</v>
      </c>
    </row>
    <row r="4792">
      <c r="A4792" s="1">
        <v>5.0</v>
      </c>
      <c r="B4792" s="1" t="s">
        <v>4773</v>
      </c>
      <c r="C4792" t="str">
        <f>IFERROR(__xludf.DUMMYFUNCTION("GOOGLETRANSLATE(B4792, ""zh"", ""en"")"),"Absorption is quite good, just do not know the production date and shelf life of calcium easily absorbed! ! The second time to buy, wife during pregnancy has been eating, after the child was born to be a lot better bone development than other children bor"&amp;"n in the same period. Then the future will buy, I hope better and better.")</f>
        <v>Absorption is quite good, just do not know the production date and shelf life of calcium easily absorbed! ! The second time to buy, wife during pregnancy has been eating, after the child was born to be a lot better bone development than other children born in the same period. Then the future will buy, I hope better and better.</v>
      </c>
    </row>
    <row r="4793">
      <c r="A4793" s="1">
        <v>5.0</v>
      </c>
      <c r="B4793" s="1" t="s">
        <v>4774</v>
      </c>
      <c r="C4793" t="str">
        <f>IFERROR(__xludf.DUMMYFUNCTION("GOOGLETRANSLATE(B4793, ""zh"", ""en"")"),"Comfort focus is very comfortable to wear.")</f>
        <v>Comfort focus is very comfortable to wear.</v>
      </c>
    </row>
    <row r="4794">
      <c r="A4794" s="1">
        <v>5.0</v>
      </c>
      <c r="B4794" s="1" t="s">
        <v>4775</v>
      </c>
      <c r="C4794" t="str">
        <f>IFERROR(__xludf.DUMMYFUNCTION("GOOGLETRANSLATE(B4794, ""zh"", ""en"")"),"ok pretty good speed of delivery logistics speed faster than I thought, very satisfied with the shoes and significantly increased wear to go hiking legs very comfortable shoes, but it is more suitable for winter wear a little hot summer")</f>
        <v>ok pretty good speed of delivery logistics speed faster than I thought, very satisfied with the shoes and significantly increased wear to go hiking legs very comfortable shoes, but it is more suitable for winter wear a little hot summer</v>
      </c>
    </row>
    <row r="4795">
      <c r="A4795" s="1">
        <v>5.0</v>
      </c>
      <c r="B4795" s="1" t="s">
        <v>4776</v>
      </c>
      <c r="C4795" t="str">
        <f>IFERROR(__xludf.DUMMYFUNCTION("GOOGLETRANSLATE(B4795, ""zh"", ""en"")"),"US OXO show Austrian frozen food storage box is very good, oh, very easy to do food supplement")</f>
        <v>US OXO show Austrian frozen food storage box is very good, oh, very easy to do food supplement</v>
      </c>
    </row>
    <row r="4796">
      <c r="A4796" s="1">
        <v>5.0</v>
      </c>
      <c r="B4796" s="1" t="s">
        <v>4777</v>
      </c>
      <c r="C4796" t="str">
        <f>IFERROR(__xludf.DUMMYFUNCTION("GOOGLETRANSLATE(B4796, ""zh"", ""en"")"),"Very texture before buying read a lot of reviews, good and bad, so a little uneasy. After the hand wiped concerns, shoes great texture, great style, great workmanship. Style and color with the advertising picture is completely different, I shoot color pho"&amp;"tos, basically no color. 42 usually wear Adidas, Nike 42.5, this pair bought a 8.5, just, Ref 710, very satisfied and love.")</f>
        <v>Very texture before buying read a lot of reviews, good and bad, so a little uneasy. After the hand wiped concerns, shoes great texture, great style, great workmanship. Style and color with the advertising picture is completely different, I shoot color photos, basically no color. 42 usually wear Adidas, Nike 42.5, this pair bought a 8.5, just, Ref 710, very satisfied and love.</v>
      </c>
    </row>
    <row r="4797">
      <c r="A4797" s="1">
        <v>5.0</v>
      </c>
      <c r="B4797" s="1" t="s">
        <v>4778</v>
      </c>
      <c r="C4797" t="str">
        <f>IFERROR(__xludf.DUMMYFUNCTION("GOOGLETRANSLATE(B4797, ""zh"", ""en"")"),"Waterproof thermal effect is very good domestic shoes to wear 35 or 36, bought the yard wearing thick socks or some large. But it's really great water effects, thermal effects are very good.")</f>
        <v>Waterproof thermal effect is very good domestic shoes to wear 35 or 36, bought the yard wearing thick socks or some large. But it's really great water effects, thermal effects are very good.</v>
      </c>
    </row>
    <row r="4798">
      <c r="A4798" s="1">
        <v>5.0</v>
      </c>
      <c r="B4798" s="1" t="s">
        <v>4779</v>
      </c>
      <c r="C4798" t="str">
        <f>IFERROR(__xludf.DUMMYFUNCTION("GOOGLETRANSLATE(B4798, ""zh"", ""en"")"),"Comfort super comfortable underwear, close portion is made of cotton, 75B just through the S code.")</f>
        <v>Comfort super comfortable underwear, close portion is made of cotton, 75B just through the S code.</v>
      </c>
    </row>
    <row r="4799">
      <c r="A4799" s="1">
        <v>5.0</v>
      </c>
      <c r="B4799" s="1" t="s">
        <v>4780</v>
      </c>
      <c r="C4799" t="str">
        <f>IFERROR(__xludf.DUMMYFUNCTION("GOOGLETRANSLATE(B4799, ""zh"", ""en"")"),"Now you do not cover it? Not yet started, but now a lid are gone.")</f>
        <v>Now you do not cover it? Not yet started, but now a lid are gone.</v>
      </c>
    </row>
    <row r="4800">
      <c r="A4800" s="1">
        <v>5.0</v>
      </c>
      <c r="B4800" s="1" t="s">
        <v>4781</v>
      </c>
      <c r="C4800" t="str">
        <f>IFERROR(__xludf.DUMMYFUNCTION("GOOGLETRANSLATE(B4800, ""zh"", ""en"")"),"Like very much like a 30-second reminder has five modes can be selected Terrific")</f>
        <v>Like very much like a 30-second reminder has five modes can be selected Terrific</v>
      </c>
    </row>
    <row r="4801">
      <c r="A4801" s="1">
        <v>2.0</v>
      </c>
      <c r="B4801" s="1" t="s">
        <v>4782</v>
      </c>
      <c r="C4801" t="str">
        <f>IFERROR(__xludf.DUMMYFUNCTION("GOOGLETRANSLATE(B4801, ""zh"", ""en"")"),"Article drops greatly flawed bought a second, and No. 33 30 lee home compared to waist a little small, long pants a half inch to an inch longer, the version for Tuicu but this time it was very disappointing, pants zipper has a hole the size of soybean, on"&amp;" this defective products dared to send out? Sea Amoy return too much trouble, these pants also more than a hundred dollars, so be it")</f>
        <v>Article drops greatly flawed bought a second, and No. 33 30 lee home compared to waist a little small, long pants a half inch to an inch longer, the version for Tuicu but this time it was very disappointing, pants zipper has a hole the size of soybean, on this defective products dared to send out? Sea Amoy return too much trouble, these pants also more than a hundred dollars, so be it</v>
      </c>
    </row>
    <row r="4802">
      <c r="A4802" s="1">
        <v>3.0</v>
      </c>
      <c r="B4802" s="1" t="s">
        <v>4783</v>
      </c>
      <c r="C4802" t="str">
        <f>IFERROR(__xludf.DUMMYFUNCTION("GOOGLETRANSLATE(B4802, ""zh"", ""en"")"),"There is no really bad load bearing capacity without shaping, not only for breast man, b the appropriate cup")</f>
        <v>There is no really bad load bearing capacity without shaping, not only for breast man, b the appropriate cup</v>
      </c>
    </row>
    <row r="4803">
      <c r="A4803" s="1">
        <v>3.0</v>
      </c>
      <c r="B4803" s="1" t="s">
        <v>4784</v>
      </c>
      <c r="C4803" t="str">
        <f>IFERROR(__xludf.DUMMYFUNCTION("GOOGLETRANSLATE(B4803, ""zh"", ""en"")"),"Like a general feeling in general it may be significantly more long-term use, a little there, only a half stars empty capsules, may miscalculate when canned.")</f>
        <v>Like a general feeling in general it may be significantly more long-term use, a little there, only a half stars empty capsules, may miscalculate when canned.</v>
      </c>
    </row>
    <row r="4804">
      <c r="A4804" s="1">
        <v>3.0</v>
      </c>
      <c r="B4804" s="1" t="s">
        <v>4785</v>
      </c>
      <c r="C4804" t="str">
        <f>IFERROR(__xludf.DUMMYFUNCTION("GOOGLETRANSLATE(B4804, ""zh"", ""en"")"),"It sent the wrong model seems to me the wrong model, but also can be used")</f>
        <v>It sent the wrong model seems to me the wrong model, but also can be used</v>
      </c>
    </row>
    <row r="4805">
      <c r="A4805" s="1">
        <v>1.0</v>
      </c>
      <c r="B4805" s="1" t="s">
        <v>4786</v>
      </c>
      <c r="C4805" t="str">
        <f>IFERROR(__xludf.DUMMYFUNCTION("GOOGLETRANSLATE(B4805, ""zh"", ""en"")"),"1 issued by the US version, the price is so expensive, the nerve? ,?")</f>
        <v>1 issued by the US version, the price is so expensive, the nerve? ,?</v>
      </c>
    </row>
    <row r="4806">
      <c r="A4806" s="1">
        <v>1.0</v>
      </c>
      <c r="B4806" s="1" t="s">
        <v>4787</v>
      </c>
      <c r="C4806" t="str">
        <f>IFERROR(__xludf.DUMMYFUNCTION("GOOGLETRANSLATE(B4806, ""zh"", ""en"")"),"Shoe size and foot longer than the actual description does not match the 1.5cm")</f>
        <v>Shoe size and foot longer than the actual description does not match the 1.5cm</v>
      </c>
    </row>
    <row r="4807">
      <c r="A4807" s="1">
        <v>1.0</v>
      </c>
      <c r="B4807" s="1" t="s">
        <v>4788</v>
      </c>
      <c r="C4807" t="str">
        <f>IFERROR(__xludf.DUMMYFUNCTION("GOOGLETRANSLATE(B4807, ""zh"", ""en"")"),"Size bias large, the same as the US version, and other M code to buy compared with many small, no tag, secondary packaging, remove and found clothes are anti-fold, a large deviation size is very bad, the same as the United States version, and other M code"&amp;" to buy compared with many small, no tag, secondary packaging, remove and found clothes are anti-stack, very bad")</f>
        <v>Size bias large, the same as the US version, and other M code to buy compared with many small, no tag, secondary packaging, remove and found clothes are anti-fold, a large deviation size is very bad, the same as the United States version, and other M code to buy compared with many small, no tag, secondary packaging, remove and found clothes are anti-stack, very bad</v>
      </c>
    </row>
    <row r="4808">
      <c r="A4808" s="1">
        <v>4.0</v>
      </c>
      <c r="B4808" s="1" t="s">
        <v>4789</v>
      </c>
      <c r="C4808" t="str">
        <f>IFERROR(__xludf.DUMMYFUNCTION("GOOGLETRANSLATE(B4808, ""zh"", ""en"")"),"Skin feel good effect is not obvious Ref 248 good match with other skin feel clean and obvious effect on good morning")</f>
        <v>Skin feel good effect is not obvious Ref 248 good match with other skin feel clean and obvious effect on good morning</v>
      </c>
    </row>
    <row r="4809">
      <c r="A4809" s="1">
        <v>4.0</v>
      </c>
      <c r="B4809" s="1" t="s">
        <v>4790</v>
      </c>
      <c r="C4809" t="str">
        <f>IFERROR(__xludf.DUMMYFUNCTION("GOOGLETRANSLATE(B4809, ""zh"", ""en"")"),"The packaging is damaged severely damaged packaging seriously, I do not know the parts have not lost.")</f>
        <v>The packaging is damaged severely damaged packaging seriously, I do not know the parts have not lost.</v>
      </c>
    </row>
    <row r="4810">
      <c r="A4810" s="1">
        <v>4.0</v>
      </c>
      <c r="B4810" s="1" t="s">
        <v>4791</v>
      </c>
      <c r="C4810" t="str">
        <f>IFERROR(__xludf.DUMMYFUNCTION("GOOGLETRANSLATE(B4810, ""zh"", ""en"")"),"Feel good, not as good as advertised! No prior use of comfortable, scratch is not very clean. The only advantage that can be washed.")</f>
        <v>Feel good, not as good as advertised! No prior use of comfortable, scratch is not very clean. The only advantage that can be washed.</v>
      </c>
    </row>
    <row r="4811">
      <c r="A4811" s="1">
        <v>4.0</v>
      </c>
      <c r="B4811" s="1" t="s">
        <v>4792</v>
      </c>
      <c r="C4811" t="str">
        <f>IFERROR(__xludf.DUMMYFUNCTION("GOOGLETRANSLATE(B4811, ""zh"", ""en"")"),"Just fine ah very cute, the baby not yet born stockpile.")</f>
        <v>Just fine ah very cute, the baby not yet born stockpile.</v>
      </c>
    </row>
    <row r="4812">
      <c r="A4812" s="1">
        <v>4.0</v>
      </c>
      <c r="B4812" s="1" t="s">
        <v>4793</v>
      </c>
      <c r="C4812" t="str">
        <f>IFERROR(__xludf.DUMMYFUNCTION("GOOGLETRANSLATE(B4812, ""zh"", ""en"")"),"Is not cold cup pour hot water is poured only cold cup of ice water can not be estimated with hot water and cold water are foreign children have hope warm relations moms attention")</f>
        <v>Is not cold cup pour hot water is poured only cold cup of ice water can not be estimated with hot water and cold water are foreign children have hope warm relations moms attention</v>
      </c>
    </row>
    <row r="4813">
      <c r="A4813" s="1">
        <v>5.0</v>
      </c>
      <c r="B4813" s="1" t="s">
        <v>4794</v>
      </c>
      <c r="C4813" t="str">
        <f>IFERROR(__xludf.DUMMYFUNCTION("GOOGLETRANSLATE(B4813, ""zh"", ""en"")"),"Soft and very comfortable, very comfortable, good as always")</f>
        <v>Soft and very comfortable, very comfortable, good as always</v>
      </c>
    </row>
    <row r="4814">
      <c r="A4814" s="1">
        <v>5.0</v>
      </c>
      <c r="B4814" s="1" t="s">
        <v>4795</v>
      </c>
      <c r="C4814" t="str">
        <f>IFERROR(__xludf.DUMMYFUNCTION("GOOGLETRANSLATE(B4814, ""zh"", ""en"")"),"💯 out shoes very fit, and is really a sub-price for a half.")</f>
        <v>💯 out shoes very fit, and is really a sub-price for a half.</v>
      </c>
    </row>
    <row r="4815">
      <c r="A4815" s="1">
        <v>5.0</v>
      </c>
      <c r="B4815" s="1" t="s">
        <v>4796</v>
      </c>
      <c r="C4815" t="str">
        <f>IFERROR(__xludf.DUMMYFUNCTION("GOOGLETRANSLATE(B4815, ""zh"", ""en"")"),"Well, time to buy discount, postage, plus taxes and fees more than about 500 well, time to buy discount, postage, plus taxes and fees more than about five hundred walking time is very accurate, is too heavy, the decisive change strip to belt up")</f>
        <v>Well, time to buy discount, postage, plus taxes and fees more than about 500 well, time to buy discount, postage, plus taxes and fees more than about five hundred walking time is very accurate, is too heavy, the decisive change strip to belt up</v>
      </c>
    </row>
    <row r="4816">
      <c r="A4816" s="1">
        <v>5.0</v>
      </c>
      <c r="B4816" s="1" t="s">
        <v>4797</v>
      </c>
      <c r="C4816" t="str">
        <f>IFERROR(__xludf.DUMMYFUNCTION("GOOGLETRANSLATE(B4816, ""zh"", ""en"")"),"Five-star praise! ! ! The price is really cost-effective, is a cat flagship store half the price! Super-fast delivery can not imagine! Packaging intact! it is good!")</f>
        <v>Five-star praise! ! ! The price is really cost-effective, is a cat flagship store half the price! Super-fast delivery can not imagine! Packaging intact! it is good!</v>
      </c>
    </row>
    <row r="4817">
      <c r="A4817" s="1">
        <v>5.0</v>
      </c>
      <c r="B4817" s="1" t="s">
        <v>4798</v>
      </c>
      <c r="C4817" t="str">
        <f>IFERROR(__xludf.DUMMYFUNCTION("GOOGLETRANSLATE(B4817, ""zh"", ""en"")"),"The main cheaper receipt plug did not even react, only to find the window system does not display, to me this is really white computer problem, the good news of your mother help add to touch wild guesses Hu finally successful format, it can be used to buy"&amp;" the main cheaper, very good, a total of two weeks of receipt, the speed is acceptable, overall very satisfied")</f>
        <v>The main cheaper receipt plug did not even react, only to find the window system does not display, to me this is really white computer problem, the good news of your mother help add to touch wild guesses Hu finally successful format, it can be used to buy the main cheaper, very good, a total of two weeks of receipt, the speed is acceptable, overall very satisfied</v>
      </c>
    </row>
    <row r="4818">
      <c r="A4818" s="1">
        <v>5.0</v>
      </c>
      <c r="B4818" s="1" t="s">
        <v>4799</v>
      </c>
      <c r="C4818" t="str">
        <f>IFERROR(__xludf.DUMMYFUNCTION("GOOGLETRANSLATE(B4818, ""zh"", ""en"")"),"What are the appropriate age people eat? To add protein family")</f>
        <v>What are the appropriate age people eat? To add protein family</v>
      </c>
    </row>
    <row r="4819">
      <c r="A4819" s="1">
        <v>5.0</v>
      </c>
      <c r="B4819" s="1" t="s">
        <v>4800</v>
      </c>
      <c r="C4819" t="str">
        <f>IFERROR(__xludf.DUMMYFUNCTION("GOOGLETRANSLATE(B4819, ""zh"", ""en"")"),"The most satisfying to buy a jacket sort of a small, just the right size, very comfortable to wear, but also very nice.")</f>
        <v>The most satisfying to buy a jacket sort of a small, just the right size, very comfortable to wear, but also very nice.</v>
      </c>
    </row>
    <row r="4820">
      <c r="A4820" s="1">
        <v>5.0</v>
      </c>
      <c r="B4820" s="1" t="s">
        <v>4801</v>
      </c>
      <c r="C4820" t="str">
        <f>IFERROR(__xludf.DUMMYFUNCTION("GOOGLETRANSLATE(B4820, ""zh"", ""en"")"),"Good to wear very comfortable to wear, sleep wear can also, cost-effective!")</f>
        <v>Good to wear very comfortable to wear, sleep wear can also, cost-effective!</v>
      </c>
    </row>
    <row r="4821">
      <c r="A4821" s="1">
        <v>5.0</v>
      </c>
      <c r="B4821" s="1" t="s">
        <v>4802</v>
      </c>
      <c r="C4821" t="str">
        <f>IFERROR(__xludf.DUMMYFUNCTION("GOOGLETRANSLATE(B4821, ""zh"", ""en"")"),"Mexico produced Buco thick genuine wear comfortable pants are just the right size and in the future will buy.")</f>
        <v>Mexico produced Buco thick genuine wear comfortable pants are just the right size and in the future will buy.</v>
      </c>
    </row>
    <row r="4822">
      <c r="A4822" s="1">
        <v>5.0</v>
      </c>
      <c r="B4822" s="1" t="s">
        <v>4803</v>
      </c>
      <c r="C4822" t="str">
        <f>IFERROR(__xludf.DUMMYFUNCTION("GOOGLETRANSLATE(B4822, ""zh"", ""en"")"),"Clothes very comfortable quality did not have to say, cotton comfortable, the European version are too large it may be, is not it wants to influence rendering.")</f>
        <v>Clothes very comfortable quality did not have to say, cotton comfortable, the European version are too large it may be, is not it wants to influence rendering.</v>
      </c>
    </row>
    <row r="4823">
      <c r="A4823" s="1">
        <v>5.0</v>
      </c>
      <c r="B4823" s="1" t="s">
        <v>4804</v>
      </c>
      <c r="C4823" t="str">
        <f>IFERROR(__xludf.DUMMYFUNCTION("GOOGLETRANSLATE(B4823, ""zh"", ""en"")"),"High cost, sound equalizer, like the soil is too high cost, balanced sound, like earth too, so worth it, seriously recommend")</f>
        <v>High cost, sound equalizer, like the soil is too high cost, balanced sound, like earth too, so worth it, seriously recommend</v>
      </c>
    </row>
    <row r="4824">
      <c r="A4824" s="1">
        <v>5.0</v>
      </c>
      <c r="B4824" s="1" t="s">
        <v>4805</v>
      </c>
      <c r="C4824" t="str">
        <f>IFERROR(__xludf.DUMMYFUNCTION("GOOGLETRANSLATE(B4824, ""zh"", ""en"")"),"Can and almost expected, the quality can also")</f>
        <v>Can and almost expected, the quality can also</v>
      </c>
    </row>
    <row r="4825">
      <c r="A4825" s="1">
        <v>5.0</v>
      </c>
      <c r="B4825" s="1" t="s">
        <v>4806</v>
      </c>
      <c r="C4825" t="str">
        <f>IFERROR(__xludf.DUMMYFUNCTION("GOOGLETRANSLATE(B4825, ""zh"", ""en"")"),"Boil water fast boil water very quickly the value of using online color values ​​for eight months also caught the plastic parts of the internal cracking was worried when the day suddenly burst open kettle has begun leaking")</f>
        <v>Boil water fast boil water very quickly the value of using online color values ​​for eight months also caught the plastic parts of the internal cracking was worried when the day suddenly burst open kettle has begun leaking</v>
      </c>
    </row>
    <row r="4826">
      <c r="A4826" s="1">
        <v>5.0</v>
      </c>
      <c r="B4826" s="1" t="s">
        <v>4807</v>
      </c>
      <c r="C4826" t="str">
        <f>IFERROR(__xludf.DUMMYFUNCTION("GOOGLETRANSLATE(B4826, ""zh"", ""en"")"),"Satisfied with the evaluation, color fast, good color.")</f>
        <v>Satisfied with the evaluation, color fast, good color.</v>
      </c>
    </row>
    <row r="4827">
      <c r="A4827" s="1">
        <v>5.0</v>
      </c>
      <c r="B4827" s="1" t="s">
        <v>4808</v>
      </c>
      <c r="C4827" t="str">
        <f>IFERROR(__xludf.DUMMYFUNCTION("GOOGLETRANSLATE(B4827, ""zh"", ""en"")"),"Headphones good quality sound good, bass please people, wear comfortable, reasonably priced.")</f>
        <v>Headphones good quality sound good, bass please people, wear comfortable, reasonably priced.</v>
      </c>
    </row>
    <row r="4828">
      <c r="A4828" s="1">
        <v>5.0</v>
      </c>
      <c r="B4828" s="1" t="s">
        <v>4809</v>
      </c>
      <c r="C4828" t="str">
        <f>IFERROR(__xludf.DUMMYFUNCTION("GOOGLETRANSLATE(B4828, ""zh"", ""en"")"),"Toothbrush second time to buy. Very easy to use toothbrush, just beginning to feel good with large, the more you use the more comfortable! Japan's something really easy to use.")</f>
        <v>Toothbrush second time to buy. Very easy to use toothbrush, just beginning to feel good with large, the more you use the more comfortable! Japan's something really easy to use.</v>
      </c>
    </row>
    <row r="4829">
      <c r="A4829" s="1">
        <v>5.0</v>
      </c>
      <c r="B4829" s="1" t="s">
        <v>4810</v>
      </c>
      <c r="C4829" t="str">
        <f>IFERROR(__xludf.DUMMYFUNCTION("GOOGLETRANSLATE(B4829, ""zh"", ""en"")"),"Fit comfortably on the whole quite satisfactory, choose the size is the amount of the child's bare feet long plus 1cm, as the final size. Comfortable to wear.")</f>
        <v>Fit comfortably on the whole quite satisfactory, choose the size is the amount of the child's bare feet long plus 1cm, as the final size. Comfortable to wear.</v>
      </c>
    </row>
    <row r="4830">
      <c r="A4830" s="1">
        <v>5.0</v>
      </c>
      <c r="B4830" s="1" t="s">
        <v>4811</v>
      </c>
      <c r="C4830" t="str">
        <f>IFERROR(__xludf.DUMMYFUNCTION("GOOGLETRANSLATE(B4830, ""zh"", ""en"")"),"Very well worth buying")</f>
        <v>Very well worth buying</v>
      </c>
    </row>
    <row r="4831">
      <c r="A4831" s="1">
        <v>5.0</v>
      </c>
      <c r="B4831" s="1" t="s">
        <v>4812</v>
      </c>
      <c r="C4831" t="str">
        <f>IFERROR(__xludf.DUMMYFUNCTION("GOOGLETRANSLATE(B4831, ""zh"", ""en"")"),"Packaging is really light and comfortable powerless Tucao, but fortunately not too many flaws underwear. Wearing fit")</f>
        <v>Packaging is really light and comfortable powerless Tucao, but fortunately not too many flaws underwear. Wearing fit</v>
      </c>
    </row>
    <row r="4832">
      <c r="A4832" s="1">
        <v>5.0</v>
      </c>
      <c r="B4832" s="1" t="s">
        <v>4813</v>
      </c>
      <c r="C4832" t="str">
        <f>IFERROR(__xludf.DUMMYFUNCTION("GOOGLETRANSLATE(B4832, ""zh"", ""en"")"),"Genuine, authentic suitable, appropriate")</f>
        <v>Genuine, authentic suitable, appropriate</v>
      </c>
    </row>
    <row r="4833">
      <c r="A4833" s="1">
        <v>5.0</v>
      </c>
      <c r="B4833" s="1" t="s">
        <v>4814</v>
      </c>
      <c r="C4833" t="str">
        <f>IFERROR(__xludf.DUMMYFUNCTION("GOOGLETRANSLATE(B4833, ""zh"", ""en"")"),"Lightweight, easy to use good use, relatively thin 3.5-inch hard drive. Good time to buy a good exchange rate, membership Amazon free shipping outside the territory, cost-effective way")</f>
        <v>Lightweight, easy to use good use, relatively thin 3.5-inch hard drive. Good time to buy a good exchange rate, membership Amazon free shipping outside the territory, cost-effective way</v>
      </c>
    </row>
    <row r="4834">
      <c r="A4834" s="1">
        <v>5.0</v>
      </c>
      <c r="B4834" s="1" t="s">
        <v>4815</v>
      </c>
      <c r="C4834" t="str">
        <f>IFERROR(__xludf.DUMMYFUNCTION("GOOGLETRANSLATE(B4834, ""zh"", ""en"")"),"Better insulation and light weight, good insulation effect, ease of use, price is also cheaper than the Lynx store.")</f>
        <v>Better insulation and light weight, good insulation effect, ease of use, price is also cheaper than the Lynx store.</v>
      </c>
    </row>
    <row r="4835">
      <c r="A4835" s="1">
        <v>2.0</v>
      </c>
      <c r="B4835" s="1" t="s">
        <v>4816</v>
      </c>
      <c r="C4835" t="str">
        <f>IFERROR(__xludf.DUMMYFUNCTION("GOOGLETRANSLATE(B4835, ""zh"", ""en"")"),"This pan is nonstick, for how long? Non-stick pan with the beginning of good, a little longer to die. Post-use have to be careful. I hope that long-term use can buy.")</f>
        <v>This pan is nonstick, for how long? Non-stick pan with the beginning of good, a little longer to die. Post-use have to be careful. I hope that long-term use can buy.</v>
      </c>
    </row>
    <row r="4836">
      <c r="A4836" s="1">
        <v>3.0</v>
      </c>
      <c r="B4836" s="1" t="s">
        <v>4817</v>
      </c>
      <c r="C4836" t="str">
        <f>IFERROR(__xludf.DUMMYFUNCTION("GOOGLETRANSLATE(B4836, ""zh"", ""en"")"),"Does not apply to the cooker or electric ceramic heaters stainless steel, very good. However, if the temperature of the uneven heating of the pot will explode the situation, that is, the kind of fried fried suddenly heard a loud bump, scary")</f>
        <v>Does not apply to the cooker or electric ceramic heaters stainless steel, very good. However, if the temperature of the uneven heating of the pot will explode the situation, that is, the kind of fried fried suddenly heard a loud bump, scary</v>
      </c>
    </row>
    <row r="4837">
      <c r="A4837" s="1">
        <v>3.0</v>
      </c>
      <c r="B4837" s="1" t="s">
        <v>4818</v>
      </c>
      <c r="C4837" t="str">
        <f>IFERROR(__xludf.DUMMYFUNCTION("GOOGLETRANSLATE(B4837, ""zh"", ""en"")"),"Gabe where innocent crotch pants are suitable material, color Ye Hao, Ye Hao comfort, they added that the crotch piece of cloth, it may foreigner ass Alice, then Asians are wearing wrinkled, we Figure can also be found, I thought he was just wearing good,"&amp;" in fact, is to add a piece of cloth, I will return the")</f>
        <v>Gabe where innocent crotch pants are suitable material, color Ye Hao, Ye Hao comfort, they added that the crotch piece of cloth, it may foreigner ass Alice, then Asians are wearing wrinkled, we Figure can also be found, I thought he was just wearing good, in fact, is to add a piece of cloth, I will return the</v>
      </c>
    </row>
    <row r="4838">
      <c r="A4838" s="1">
        <v>3.0</v>
      </c>
      <c r="B4838" s="1" t="s">
        <v>4819</v>
      </c>
      <c r="C4838" t="str">
        <f>IFERROR(__xludf.DUMMYFUNCTION("GOOGLETRANSLATE(B4838, ""zh"", ""en"")"),"No ink absorber little light pen")</f>
        <v>No ink absorber little light pen</v>
      </c>
    </row>
    <row r="4839">
      <c r="A4839" s="1">
        <v>1.0</v>
      </c>
      <c r="B4839" s="1" t="s">
        <v>4820</v>
      </c>
      <c r="C4839" t="str">
        <f>IFERROR(__xludf.DUMMYFUNCTION("GOOGLETRANSLATE(B4839, ""zh"", ""en"")"),"Poor degumming terminal, and only the decorative wire, leather and connectionless, extreme Poor")</f>
        <v>Poor degumming terminal, and only the decorative wire, leather and connectionless, extreme Poor</v>
      </c>
    </row>
    <row r="4840">
      <c r="A4840" s="1">
        <v>1.0</v>
      </c>
      <c r="B4840" s="1" t="s">
        <v>4821</v>
      </c>
      <c r="C4840" t="str">
        <f>IFERROR(__xludf.DUMMYFUNCTION("GOOGLETRANSLATE(B4840, ""zh"", ""en"")"),"The quality of a poor quality clothes too bad, after the midfielder appeared to wear for a week found a hole, too strange. Inside are wearing, how could this be? I never encountered such a bad clothes.")</f>
        <v>The quality of a poor quality clothes too bad, after the midfielder appeared to wear for a week found a hole, too strange. Inside are wearing, how could this be? I never encountered such a bad clothes.</v>
      </c>
    </row>
    <row r="4841">
      <c r="A4841" s="1">
        <v>4.0</v>
      </c>
      <c r="B4841" s="1" t="s">
        <v>4822</v>
      </c>
      <c r="C4841" t="str">
        <f>IFERROR(__xludf.DUMMYFUNCTION("GOOGLETRANSLATE(B4841, ""zh"", ""en"")"),"Slightly larger point 178 / 70kg, slightly larger file appears wearing a large, possibly just a small one yards, fabric is very thick, which add thin velvet, winter wear very comfortable.")</f>
        <v>Slightly larger point 178 / 70kg, slightly larger file appears wearing a large, possibly just a small one yards, fabric is very thick, which add thin velvet, winter wear very comfortable.</v>
      </c>
    </row>
    <row r="4842">
      <c r="A4842" s="1">
        <v>4.0</v>
      </c>
      <c r="B4842" s="1" t="s">
        <v>4823</v>
      </c>
      <c r="C4842" t="str">
        <f>IFERROR(__xludf.DUMMYFUNCTION("GOOGLETRANSLATE(B4842, ""zh"", ""en"")"),"Fabric elastic good, comfortable to wear 168/64 to buy the 31W30L still a little too large, 30W29L or 30W30L may be more appropriate. The advantage is good flexibility, speed that is not crowded, very comfortable.")</f>
        <v>Fabric elastic good, comfortable to wear 168/64 to buy the 31W30L still a little too large, 30W29L or 30W30L may be more appropriate. The advantage is good flexibility, speed that is not crowded, very comfortable.</v>
      </c>
    </row>
    <row r="4843">
      <c r="A4843" s="1">
        <v>4.0</v>
      </c>
      <c r="B4843" s="1" t="s">
        <v>4824</v>
      </c>
      <c r="C4843" t="str">
        <f>IFERROR(__xludf.DUMMYFUNCTION("GOOGLETRANSLATE(B4843, ""zh"", ""en"")"),"Like good quality shoes, the color is also")</f>
        <v>Like good quality shoes, the color is also</v>
      </c>
    </row>
    <row r="4844">
      <c r="A4844" s="1">
        <v>4.0</v>
      </c>
      <c r="B4844" s="1" t="s">
        <v>4825</v>
      </c>
      <c r="C4844" t="str">
        <f>IFERROR(__xludf.DUMMYFUNCTION("GOOGLETRANSLATE(B4844, ""zh"", ""en"")"),"Quite satisfied MD, 170 / 74Kg, just fit, very good.")</f>
        <v>Quite satisfied MD, 170 / 74Kg, just fit, very good.</v>
      </c>
    </row>
    <row r="4845">
      <c r="A4845" s="1">
        <v>4.0</v>
      </c>
      <c r="B4845" s="1" t="s">
        <v>4826</v>
      </c>
      <c r="C4845" t="str">
        <f>IFERROR(__xludf.DUMMYFUNCTION("GOOGLETRANSLATE(B4845, ""zh"", ""en"")"),"Very good, made in China feel a bit redundant shipping pretty good quality, but overseas over the sea is actually made in China? ! I wonder if there is no counter domestic")</f>
        <v>Very good, made in China feel a bit redundant shipping pretty good quality, but overseas over the sea is actually made in China? ! I wonder if there is no counter domestic</v>
      </c>
    </row>
    <row r="4846">
      <c r="A4846" s="1">
        <v>5.0</v>
      </c>
      <c r="B4846" s="1" t="s">
        <v>4827</v>
      </c>
      <c r="C4846" t="str">
        <f>IFERROR(__xludf.DUMMYFUNCTION("GOOGLETRANSLATE(B4846, ""zh"", ""en"")"),"Deserve to wear very comfortable")</f>
        <v>Deserve to wear very comfortable</v>
      </c>
    </row>
    <row r="4847">
      <c r="A4847" s="1">
        <v>5.0</v>
      </c>
      <c r="B4847" s="1" t="s">
        <v>4828</v>
      </c>
      <c r="C4847" t="str">
        <f>IFERROR(__xludf.DUMMYFUNCTION("GOOGLETRANSLATE(B4847, ""zh"", ""en"")"),"Take some time well, adhere to the")</f>
        <v>Take some time well, adhere to the</v>
      </c>
    </row>
    <row r="4848">
      <c r="A4848" s="1">
        <v>5.0</v>
      </c>
      <c r="B4848" s="1" t="s">
        <v>4829</v>
      </c>
      <c r="C4848" t="str">
        <f>IFERROR(__xludf.DUMMYFUNCTION("GOOGLETRANSLATE(B4848, ""zh"", ""en"")"),"Size is too large, less than half the normal need to choose their own appearance looked really ugly code, in addition insole is also very slippery, replaced the original insole embroidery insole, foot more comfortable. Besides support, because these in ad"&amp;"dition to the soles, the rest are leather-wrapped, so put on the foot after the beginning would be very unstable, if the original pair of insoles comes more unstable, then the feet, so it is necessary to change . Shoe size, I foot length 267mm, usually we"&amp;"aring Adidas or NB 10D, seven baby wear Red Wings and the 9.5D, but it would just double UK8.5, another pair of Clarks shoes are just too large a lot UK9 .")</f>
        <v>Size is too large, less than half the normal need to choose their own appearance looked really ugly code, in addition insole is also very slippery, replaced the original insole embroidery insole, foot more comfortable. Besides support, because these in addition to the soles, the rest are leather-wrapped, so put on the foot after the beginning would be very unstable, if the original pair of insoles comes more unstable, then the feet, so it is necessary to change . Shoe size, I foot length 267mm, usually wearing Adidas or NB 10D, seven baby wear Red Wings and the 9.5D, but it would just double UK8.5, another pair of Clarks shoes are just too large a lot UK9 .</v>
      </c>
    </row>
    <row r="4849">
      <c r="A4849" s="1">
        <v>5.0</v>
      </c>
      <c r="B4849" s="1" t="s">
        <v>4830</v>
      </c>
      <c r="C4849" t="str">
        <f>IFERROR(__xludf.DUMMYFUNCTION("GOOGLETRANSLATE(B4849, ""zh"", ""en"")"),"Quality is very good, 178cm, 95kg buy 36w34L waist just right, pants too long, the quality is very good, 178cm, 95kg buy 36w34L waist just right, pants too long")</f>
        <v>Quality is very good, 178cm, 95kg buy 36w34L waist just right, pants too long, the quality is very good, 178cm, 95kg buy 36w34L waist just right, pants too long</v>
      </c>
    </row>
    <row r="4850">
      <c r="A4850" s="1">
        <v>5.0</v>
      </c>
      <c r="B4850" s="1" t="s">
        <v>4831</v>
      </c>
      <c r="C4850" t="str">
        <f>IFERROR(__xludf.DUMMYFUNCTION("GOOGLETRANSLATE(B4850, ""zh"", ""en"")"),"Very comfortable cotton comfortable, thickness moderate")</f>
        <v>Very comfortable cotton comfortable, thickness moderate</v>
      </c>
    </row>
    <row r="4851">
      <c r="A4851" s="1">
        <v>5.0</v>
      </c>
      <c r="B4851" s="1" t="s">
        <v>4832</v>
      </c>
      <c r="C4851" t="str">
        <f>IFERROR(__xludf.DUMMYFUNCTION("GOOGLETRANSLATE(B4851, ""zh"", ""en"")"),"Relatively tight picture display is not very accurate, for reference purposes only.")</f>
        <v>Relatively tight picture display is not very accurate, for reference purposes only.</v>
      </c>
    </row>
    <row r="4852">
      <c r="A4852" s="1">
        <v>5.0</v>
      </c>
      <c r="B4852" s="1" t="s">
        <v>4833</v>
      </c>
      <c r="C4852" t="str">
        <f>IFERROR(__xludf.DUMMYFUNCTION("GOOGLETRANSLATE(B4852, ""zh"", ""en"")"),"Suitable for home is very light and comfortable home is very light and comfortable fit")</f>
        <v>Suitable for home is very light and comfortable home is very light and comfortable fit</v>
      </c>
    </row>
    <row r="4853">
      <c r="A4853" s="1">
        <v>5.0</v>
      </c>
      <c r="B4853" s="1" t="s">
        <v>4834</v>
      </c>
      <c r="C4853" t="str">
        <f>IFERROR(__xludf.DUMMYFUNCTION("GOOGLETRANSLATE(B4853, ""zh"", ""en"")"),"Decoration store goods! Domestic work is not comparable, very good!")</f>
        <v>Decoration store goods! Domestic work is not comparable, very good!</v>
      </c>
    </row>
    <row r="4854">
      <c r="A4854" s="1">
        <v>5.0</v>
      </c>
      <c r="B4854" s="1" t="s">
        <v>4835</v>
      </c>
      <c r="C4854" t="str">
        <f>IFERROR(__xludf.DUMMYFUNCTION("GOOGLETRANSLATE(B4854, ""zh"", ""en"")"),"This is good, this is good, a friend sent me, with very comfortable.")</f>
        <v>This is good, this is good, a friend sent me, with very comfortable.</v>
      </c>
    </row>
    <row r="4855">
      <c r="A4855" s="1">
        <v>5.0</v>
      </c>
      <c r="B4855" s="1" t="s">
        <v>4836</v>
      </c>
      <c r="C4855" t="str">
        <f>IFERROR(__xludf.DUMMYFUNCTION("GOOGLETRANSLATE(B4855, ""zh"", ""en"")"),"Very very big kid appropriate size and feel normal shoe size is not bad, normal wear us 7m of rhubarb boots, buy a big kid this same code as appropriate, from the Philippines, it feels pretty good")</f>
        <v>Very very big kid appropriate size and feel normal shoe size is not bad, normal wear us 7m of rhubarb boots, buy a big kid this same code as appropriate, from the Philippines, it feels pretty good</v>
      </c>
    </row>
    <row r="4856">
      <c r="A4856" s="1">
        <v>5.0</v>
      </c>
      <c r="B4856" s="1" t="s">
        <v>4837</v>
      </c>
      <c r="C4856" t="str">
        <f>IFERROR(__xludf.DUMMYFUNCTION("GOOGLETRANSLATE(B4856, ""zh"", ""en"")"),"Very worth it! Shoes look great! very suitable! Logistics faster than imagined!")</f>
        <v>Very worth it! Shoes look great! very suitable! Logistics faster than imagined!</v>
      </c>
    </row>
    <row r="4857">
      <c r="A4857" s="1">
        <v>5.0</v>
      </c>
      <c r="B4857" s="1" t="s">
        <v>4838</v>
      </c>
      <c r="C4857" t="str">
        <f>IFERROR(__xludf.DUMMYFUNCTION("GOOGLETRANSLATE(B4857, ""zh"", ""en"")"),"Yan kettle kettle with a high value of time bought several operators prefer this insulation effect can be, although not as a Tiger but still about the same afternoon")</f>
        <v>Yan kettle kettle with a high value of time bought several operators prefer this insulation effect can be, although not as a Tiger but still about the same afternoon</v>
      </c>
    </row>
    <row r="4858">
      <c r="A4858" s="1">
        <v>5.0</v>
      </c>
      <c r="B4858" s="1" t="s">
        <v>4839</v>
      </c>
      <c r="C4858" t="str">
        <f>IFERROR(__xludf.DUMMYFUNCTION("GOOGLETRANSLATE(B4858, ""zh"", ""en"")"),"Suitable for family outings Nichia has been very carefully packaged stuff, the cup high-quality workmanship, no smell, no long delivery period, saw in this party cup lids can use")</f>
        <v>Suitable for family outings Nichia has been very carefully packaged stuff, the cup high-quality workmanship, no smell, no long delivery period, saw in this party cup lids can use</v>
      </c>
    </row>
    <row r="4859">
      <c r="A4859" s="1">
        <v>5.0</v>
      </c>
      <c r="B4859" s="1" t="s">
        <v>4840</v>
      </c>
      <c r="C4859" t="str">
        <f>IFERROR(__xludf.DUMMYFUNCTION("GOOGLETRANSLATE(B4859, ""zh"", ""en"")"),"Buy buy buy buy buy buy")</f>
        <v>Buy buy buy buy buy buy</v>
      </c>
    </row>
    <row r="4860">
      <c r="A4860" s="1">
        <v>5.0</v>
      </c>
      <c r="B4860" s="1" t="s">
        <v>4841</v>
      </c>
      <c r="C4860" t="str">
        <f>IFERROR(__xludf.DUMMYFUNCTION("GOOGLETRANSLATE(B4860, ""zh"", ""en"")"),"Worth buying better quality, wear cool. Songkuai buy some freshman yards.")</f>
        <v>Worth buying better quality, wear cool. Songkuai buy some freshman yards.</v>
      </c>
    </row>
    <row r="4861">
      <c r="A4861" s="1">
        <v>5.0</v>
      </c>
      <c r="B4861" s="1" t="s">
        <v>4842</v>
      </c>
      <c r="C4861" t="str">
        <f>IFERROR(__xludf.DUMMYFUNCTION("GOOGLETRANSLATE(B4861, ""zh"", ""en"")"),"Looks pretty good directed at this brand to go, it looks pretty good, eat some time to see results.")</f>
        <v>Looks pretty good directed at this brand to go, it looks pretty good, eat some time to see results.</v>
      </c>
    </row>
    <row r="4862">
      <c r="A4862" s="1">
        <v>5.0</v>
      </c>
      <c r="B4862" s="1" t="s">
        <v>4843</v>
      </c>
      <c r="C4862" t="str">
        <f>IFERROR(__xludf.DUMMYFUNCTION("GOOGLETRANSLATE(B4862, ""zh"", ""en"")"),"Good, good brand. Lightweight, practical, though do not use,")</f>
        <v>Good, good brand. Lightweight, practical, though do not use,</v>
      </c>
    </row>
    <row r="4863">
      <c r="A4863" s="1">
        <v>5.0</v>
      </c>
      <c r="B4863" s="1" t="s">
        <v>4844</v>
      </c>
      <c r="C4863" t="str">
        <f>IFERROR(__xludf.DUMMYFUNCTION("GOOGLETRANSLATE(B4863, ""zh"", ""en"")"),"Multiple purchases, low prices for the third time to buy Lee's pants in the Amazon, would have been wearing this brand, and store the same quality, it is to remember the size oh")</f>
        <v>Multiple purchases, low prices for the third time to buy Lee's pants in the Amazon, would have been wearing this brand, and store the same quality, it is to remember the size oh</v>
      </c>
    </row>
    <row r="4864">
      <c r="A4864" s="1">
        <v>5.0</v>
      </c>
      <c r="B4864" s="1" t="s">
        <v>4845</v>
      </c>
      <c r="C4864" t="str">
        <f>IFERROR(__xludf.DUMMYFUNCTION("GOOGLETRANSLATE(B4864, ""zh"", ""en"")"),"Mei Yan play value")</f>
        <v>Mei Yan play value</v>
      </c>
    </row>
    <row r="4865">
      <c r="A4865" s="1">
        <v>5.0</v>
      </c>
      <c r="B4865" s="1" t="s">
        <v>4846</v>
      </c>
      <c r="C4865" t="str">
        <f>IFERROR(__xludf.DUMMYFUNCTION("GOOGLETRANSLATE(B4865, ""zh"", ""en"")"),"Good things for the first time in the Amazon scouring the sea, courier okay, really cheap, Ref 550 +, high cost, beyerdynamic headphones awesome as much as Sennheiser.")</f>
        <v>Good things for the first time in the Amazon scouring the sea, courier okay, really cheap, Ref 550 +, high cost, beyerdynamic headphones awesome as much as Sennheiser.</v>
      </c>
    </row>
    <row r="4866">
      <c r="A4866" s="1">
        <v>5.0</v>
      </c>
      <c r="B4866" s="1" t="s">
        <v>4847</v>
      </c>
      <c r="C4866" t="str">
        <f>IFERROR(__xludf.DUMMYFUNCTION("GOOGLETRANSLATE(B4866, ""zh"", ""en"")"),"Looks great 173cm, 67kg, trumpet very appropriate, shoulder a bit tight. Clothes look good, wearing spirit.")</f>
        <v>Looks great 173cm, 67kg, trumpet very appropriate, shoulder a bit tight. Clothes look good, wearing spirit.</v>
      </c>
    </row>
    <row r="4867">
      <c r="A4867" s="1">
        <v>2.0</v>
      </c>
      <c r="B4867" s="1" t="s">
        <v>4848</v>
      </c>
      <c r="C4867" t="str">
        <f>IFERROR(__xludf.DUMMYFUNCTION("GOOGLETRANSLATE(B4867, ""zh"", ""en"")"),"Crooked line pants 1 side, the right size")</f>
        <v>Crooked line pants 1 side, the right size</v>
      </c>
    </row>
    <row r="4868">
      <c r="A4868" s="1">
        <v>3.0</v>
      </c>
      <c r="B4868" s="1" t="s">
        <v>4849</v>
      </c>
      <c r="C4868" t="str">
        <f>IFERROR(__xludf.DUMMYFUNCTION("GOOGLETRANSLATE(B4868, ""zh"", ""en"")"),"Lovely lovely but not practical in addition to no other, hard, easy poking too many corners baby")</f>
        <v>Lovely lovely but not practical in addition to no other, hard, easy poking too many corners baby</v>
      </c>
    </row>
    <row r="4869">
      <c r="A4869" s="1">
        <v>3.0</v>
      </c>
      <c r="B4869" s="1" t="s">
        <v>4850</v>
      </c>
      <c r="C4869" t="str">
        <f>IFERROR(__xludf.DUMMYFUNCTION("GOOGLETRANSLATE(B4869, ""zh"", ""en"")"),"Or it may boil quickly; because otherwise the description is in German, not read.")</f>
        <v>Or it may boil quickly; because otherwise the description is in German, not read.</v>
      </c>
    </row>
    <row r="4870">
      <c r="A4870" s="1">
        <v>1.0</v>
      </c>
      <c r="B4870" s="1" t="s">
        <v>4851</v>
      </c>
      <c r="C4870" t="str">
        <f>IFERROR(__xludf.DUMMYFUNCTION("GOOGLETRANSLATE(B4870, ""zh"", ""en"")"),"Quality problems. Hair loss hair loss. Super quality poor, never seen underwear lint. Wearing a pink day, the next three days who have been hairy, do not know how to wash wash. Also fade")</f>
        <v>Quality problems. Hair loss hair loss. Super quality poor, never seen underwear lint. Wearing a pink day, the next three days who have been hairy, do not know how to wash wash. Also fade</v>
      </c>
    </row>
    <row r="4871">
      <c r="A4871" s="1">
        <v>1.0</v>
      </c>
      <c r="B4871" s="1" t="s">
        <v>4852</v>
      </c>
      <c r="C4871" t="str">
        <f>IFERROR(__xludf.DUMMYFUNCTION("GOOGLETRANSLATE(B4871, ""zh"", ""en"")"),"Too fat! ! ! Under the waist, long pants appropriate, legs too fat, it is simply the kind of plumber wear, there is no beauty.")</f>
        <v>Too fat! ! ! Under the waist, long pants appropriate, legs too fat, it is simply the kind of plumber wear, there is no beauty.</v>
      </c>
    </row>
    <row r="4872">
      <c r="A4872" s="1">
        <v>1.0</v>
      </c>
      <c r="B4872" s="1" t="s">
        <v>4853</v>
      </c>
      <c r="C4872" t="str">
        <f>IFERROR(__xludf.DUMMYFUNCTION("GOOGLETRANSLATE(B4872, ""zh"", ""en"")"),"Ring true! The first is the feeling is not genuine ...... not ring true, ring true, ring true! Tags are pry edge, indescribable feeling inferior!")</f>
        <v>Ring true! The first is the feeling is not genuine ...... not ring true, ring true, ring true! Tags are pry edge, indescribable feeling inferior!</v>
      </c>
    </row>
    <row r="4873">
      <c r="A4873" s="1">
        <v>4.0</v>
      </c>
      <c r="B4873" s="1" t="s">
        <v>4854</v>
      </c>
      <c r="C4873" t="str">
        <f>IFERROR(__xludf.DUMMYFUNCTION("GOOGLETRANSLATE(B4873, ""zh"", ""en"")"),"177,105 pounds code length L is too long, the length to the bottom hook to give girls ... when the skirts")</f>
        <v>177,105 pounds code length L is too long, the length to the bottom hook to give girls ... when the skirts</v>
      </c>
    </row>
    <row r="4874">
      <c r="A4874" s="1">
        <v>4.0</v>
      </c>
      <c r="B4874" s="1" t="s">
        <v>4855</v>
      </c>
      <c r="C4874" t="str">
        <f>IFERROR(__xludf.DUMMYFUNCTION("GOOGLETRANSLATE(B4874, ""zh"", ""en"")"),"Okay, the price a little high a little fat, not cotton, after all, cheap, good quality")</f>
        <v>Okay, the price a little high a little fat, not cotton, after all, cheap, good quality</v>
      </c>
    </row>
    <row r="4875">
      <c r="A4875" s="1">
        <v>4.0</v>
      </c>
      <c r="B4875" s="1" t="s">
        <v>4856</v>
      </c>
      <c r="C4875" t="str">
        <f>IFERROR(__xludf.DUMMYFUNCTION("GOOGLETRANSLATE(B4875, ""zh"", ""en"")"),"Overall not a big problem there is a small flaw is too expensive freight should be genuine feeling just a little left toe defects and no watering like free shipping sale alas")</f>
        <v>Overall not a big problem there is a small flaw is too expensive freight should be genuine feeling just a little left toe defects and no watering like free shipping sale alas</v>
      </c>
    </row>
    <row r="4876">
      <c r="A4876" s="1">
        <v>4.0</v>
      </c>
      <c r="B4876" s="1" t="s">
        <v>4857</v>
      </c>
      <c r="C4876" t="str">
        <f>IFERROR(__xludf.DUMMYFUNCTION("GOOGLETRANSLATE(B4876, ""zh"", ""en"")"),"UPS so fast watch nice, strap made in China, the core and assembled in the Philippines, ha ha ha ha, harmony")</f>
        <v>UPS so fast watch nice, strap made in China, the core and assembled in the Philippines, ha ha ha ha, harmony</v>
      </c>
    </row>
    <row r="4877">
      <c r="A4877" s="1">
        <v>5.0</v>
      </c>
      <c r="B4877" s="1" t="s">
        <v>4858</v>
      </c>
      <c r="C4877" t="str">
        <f>IFERROR(__xludf.DUMMYFUNCTION("GOOGLETRANSLATE(B4877, ""zh"", ""en"")"),"Practical very soft very close, cheap prices, although waited quite a long time.")</f>
        <v>Practical very soft very close, cheap prices, although waited quite a long time.</v>
      </c>
    </row>
    <row r="4878">
      <c r="A4878" s="1">
        <v>5.0</v>
      </c>
      <c r="B4878" s="1" t="s">
        <v>4859</v>
      </c>
      <c r="C4878" t="str">
        <f>IFERROR(__xludf.DUMMYFUNCTION("GOOGLETRANSLATE(B4878, ""zh"", ""en"")"),"This is true this is very good, very good quality, the United States imports, it is suitable for baby")</f>
        <v>This is true this is very good, very good quality, the United States imports, it is suitable for baby</v>
      </c>
    </row>
    <row r="4879">
      <c r="A4879" s="1">
        <v>5.0</v>
      </c>
      <c r="B4879" s="1" t="s">
        <v>4860</v>
      </c>
      <c r="C4879" t="str">
        <f>IFERROR(__xludf.DUMMYFUNCTION("GOOGLETRANSLATE(B4879, ""zh"", ""en"")"),"Wife satisfactory workmanship and color are very good! Inside is velvet")</f>
        <v>Wife satisfactory workmanship and color are very good! Inside is velvet</v>
      </c>
    </row>
    <row r="4880">
      <c r="A4880" s="1">
        <v>5.0</v>
      </c>
      <c r="B4880" s="1" t="s">
        <v>4861</v>
      </c>
      <c r="C4880" t="str">
        <f>IFERROR(__xludf.DUMMYFUNCTION("GOOGLETRANSLATE(B4880, ""zh"", ""en"")"),"US Skip Hop Zoo cute cutlery fork and spoon - very cute like a good shark is a strong point short")</f>
        <v>US Skip Hop Zoo cute cutlery fork and spoon - very cute like a good shark is a strong point short</v>
      </c>
    </row>
    <row r="4881">
      <c r="A4881" s="1">
        <v>5.0</v>
      </c>
      <c r="B4881" s="1" t="s">
        <v>4862</v>
      </c>
      <c r="C4881" t="str">
        <f>IFERROR(__xludf.DUMMYFUNCTION("GOOGLETRANSLATE(B4881, ""zh"", ""en"")"),"Inexpensive, affordable, helium disk, although slow down, but speed is not slow")</f>
        <v>Inexpensive, affordable, helium disk, although slow down, but speed is not slow</v>
      </c>
    </row>
    <row r="4882">
      <c r="A4882" s="1">
        <v>5.0</v>
      </c>
      <c r="B4882" s="1" t="s">
        <v>4863</v>
      </c>
      <c r="C4882" t="str">
        <f>IFERROR(__xludf.DUMMYFUNCTION("GOOGLETRANSLATE(B4882, ""zh"", ""en"")"),"Japan Indoor shoes to the children at home to wear indoor shoes children very much and not stuffy feet")</f>
        <v>Japan Indoor shoes to the children at home to wear indoor shoes children very much and not stuffy feet</v>
      </c>
    </row>
    <row r="4883">
      <c r="A4883" s="1">
        <v>5.0</v>
      </c>
      <c r="B4883" s="1" t="s">
        <v>4864</v>
      </c>
      <c r="C4883" t="str">
        <f>IFERROR(__xludf.DUMMYFUNCTION("GOOGLETRANSLATE(B4883, ""zh"", ""en"")"),"For me, the price is not high, I do not know whether I use them special fee, or something, anyway, less than a month on the deformation")</f>
        <v>For me, the price is not high, I do not know whether I use them special fee, or something, anyway, less than a month on the deformation</v>
      </c>
    </row>
    <row r="4884">
      <c r="A4884" s="1">
        <v>5.0</v>
      </c>
      <c r="B4884" s="1" t="s">
        <v>4865</v>
      </c>
      <c r="C4884" t="str">
        <f>IFERROR(__xludf.DUMMYFUNCTION("GOOGLETRANSLATE(B4884, ""zh"", ""en"")"),"Philips had this really bad start with cheap electric toothbrush, or smaller than, the use of feeling is very good, ten less than a wash my dental calculus, I think it sounds better than the small European music at home, in addition to the other did not s"&amp;"end glass are very good, for the first time to find a charger for a long time to find, after finding found that technology is really black. I fell in love with brushing")</f>
        <v>Philips had this really bad start with cheap electric toothbrush, or smaller than, the use of feeling is very good, ten less than a wash my dental calculus, I think it sounds better than the small European music at home, in addition to the other did not send glass are very good, for the first time to find a charger for a long time to find, after finding found that technology is really black. I fell in love with brushing</v>
      </c>
    </row>
    <row r="4885">
      <c r="A4885" s="1">
        <v>5.0</v>
      </c>
      <c r="B4885" s="1" t="s">
        <v>4866</v>
      </c>
      <c r="C4885" t="str">
        <f>IFERROR(__xludf.DUMMYFUNCTION("GOOGLETRANSLATE(B4885, ""zh"", ""en"")"),"Good-looking appearance control will enter, but my mom how like a dog bowl ~ ~ ~ ~ ha ha ha!")</f>
        <v>Good-looking appearance control will enter, but my mom how like a dog bowl ~ ~ ~ ~ ha ha ha!</v>
      </c>
    </row>
    <row r="4886">
      <c r="A4886" s="1">
        <v>5.0</v>
      </c>
      <c r="B4886" s="1" t="s">
        <v>4867</v>
      </c>
      <c r="C4886" t="str">
        <f>IFERROR(__xludf.DUMMYFUNCTION("GOOGLETRANSLATE(B4886, ""zh"", ""en"")"),"Quality comfortable")</f>
        <v>Quality comfortable</v>
      </c>
    </row>
    <row r="4887">
      <c r="A4887" s="1">
        <v>5.0</v>
      </c>
      <c r="B4887" s="1" t="s">
        <v>4868</v>
      </c>
      <c r="C4887" t="str">
        <f>IFERROR(__xludf.DUMMYFUNCTION("GOOGLETRANSLATE(B4887, ""zh"", ""en"")"),"Domestic large price difference a good deal clothes of good quality, is genuine, Champion.us sea Amoy a lot of trouble, too lazy to wash themselves, and it is convenient to use overseas purchase")</f>
        <v>Domestic large price difference a good deal clothes of good quality, is genuine, Champion.us sea Amoy a lot of trouble, too lazy to wash themselves, and it is convenient to use overseas purchase</v>
      </c>
    </row>
    <row r="4888">
      <c r="A4888" s="1">
        <v>5.0</v>
      </c>
      <c r="B4888" s="1" t="s">
        <v>4869</v>
      </c>
      <c r="C4888" t="str">
        <f>IFERROR(__xludf.DUMMYFUNCTION("GOOGLETRANSLATE(B4888, ""zh"", ""en"")"),"Value for money received value for money, 173,146 kg body number L")</f>
        <v>Value for money received value for money, 173,146 kg body number L</v>
      </c>
    </row>
    <row r="4889">
      <c r="A4889" s="1">
        <v>5.0</v>
      </c>
      <c r="B4889" s="1" t="s">
        <v>4870</v>
      </c>
      <c r="C4889" t="str">
        <f>IFERROR(__xludf.DUMMYFUNCTION("GOOGLETRANSLATE(B4889, ""zh"", ""en"")"),"Good use, comfortable texture, awesome, reasonable length")</f>
        <v>Good use, comfortable texture, awesome, reasonable length</v>
      </c>
    </row>
    <row r="4890">
      <c r="A4890" s="1">
        <v>5.0</v>
      </c>
      <c r="B4890" s="1" t="s">
        <v>4871</v>
      </c>
      <c r="C4890" t="str">
        <f>IFERROR(__xludf.DUMMYFUNCTION("GOOGLETRANSLATE(B4890, ""zh"", ""en"")"),"Pelikan M215 satisfied with reasonable price would be better to send a pencil cases")</f>
        <v>Pelikan M215 satisfied with reasonable price would be better to send a pencil cases</v>
      </c>
    </row>
    <row r="4891">
      <c r="A4891" s="1">
        <v>5.0</v>
      </c>
      <c r="B4891" s="1" t="s">
        <v>4872</v>
      </c>
      <c r="C4891" t="str">
        <f>IFERROR(__xludf.DUMMYFUNCTION("GOOGLETRANSLATE(B4891, ""zh"", ""en"")"),"Very comfortable I usually wear m, m is the number I bought, but it feels xs on the line, this number is too large clothes")</f>
        <v>Very comfortable I usually wear m, m is the number I bought, but it feels xs on the line, this number is too large clothes</v>
      </c>
    </row>
    <row r="4892">
      <c r="A4892" s="1">
        <v>5.0</v>
      </c>
      <c r="B4892" s="1" t="s">
        <v>4873</v>
      </c>
      <c r="C4892" t="str">
        <f>IFERROR(__xludf.DUMMYFUNCTION("GOOGLETRANSLATE(B4892, ""zh"", ""en"")"),"Attractive value is the color sense, the light is very moist.")</f>
        <v>Attractive value is the color sense, the light is very moist.</v>
      </c>
    </row>
    <row r="4893">
      <c r="A4893" s="1">
        <v>5.0</v>
      </c>
      <c r="B4893" s="1" t="s">
        <v>4874</v>
      </c>
      <c r="C4893" t="str">
        <f>IFERROR(__xludf.DUMMYFUNCTION("GOOGLETRANSLATE(B4893, ""zh"", ""en"")"),"Oh well 184/88 kg, just wear L, the upper body good")</f>
        <v>Oh well 184/88 kg, just wear L, the upper body good</v>
      </c>
    </row>
    <row r="4894">
      <c r="A4894" s="1">
        <v>5.0</v>
      </c>
      <c r="B4894" s="1" t="s">
        <v>4875</v>
      </c>
      <c r="C4894" t="str">
        <f>IFERROR(__xludf.DUMMYFUNCTION("GOOGLETRANSLATE(B4894, ""zh"", ""en"")"),"Slim actually not very pretty fit, but still slightly as some loose Slim models W31, W32 I usually wear standard models ah. Quality Fortunately, that is color color, no pictures look good.")</f>
        <v>Slim actually not very pretty fit, but still slightly as some loose Slim models W31, W32 I usually wear standard models ah. Quality Fortunately, that is color color, no pictures look good.</v>
      </c>
    </row>
    <row r="4895">
      <c r="A4895" s="1">
        <v>5.0</v>
      </c>
      <c r="B4895" s="1" t="s">
        <v>4876</v>
      </c>
      <c r="C4895" t="str">
        <f>IFERROR(__xludf.DUMMYFUNCTION("GOOGLETRANSLATE(B4895, ""zh"", ""en"")"),"Burning out of the water there is very easy to install the scale, but burn out of the water, floating above a layer of white, look carefully, there are also floating white water, personal feeling, water quality problems, the filter of the filter is not en"&amp;"ough")</f>
        <v>Burning out of the water there is very easy to install the scale, but burn out of the water, floating above a layer of white, look carefully, there are also floating white water, personal feeling, water quality problems, the filter of the filter is not enough</v>
      </c>
    </row>
    <row r="4896">
      <c r="A4896" s="1">
        <v>5.0</v>
      </c>
      <c r="B4896" s="1" t="s">
        <v>4877</v>
      </c>
      <c r="C4896" t="str">
        <f>IFERROR(__xludf.DUMMYFUNCTION("GOOGLETRANSLATE(B4896, ""zh"", ""en"")"),"Ha ha has been to buy this brand of liked")</f>
        <v>Ha ha has been to buy this brand of liked</v>
      </c>
    </row>
    <row r="4897">
      <c r="A4897" s="1">
        <v>5.0</v>
      </c>
      <c r="B4897" s="1" t="s">
        <v>4878</v>
      </c>
      <c r="C4897" t="str">
        <f>IFERROR(__xludf.DUMMYFUNCTION("GOOGLETRANSLATE(B4897, ""zh"", ""en"")"),"Good fast logistics, the products are very good, hope and durable.")</f>
        <v>Good fast logistics, the products are very good, hope and durable.</v>
      </c>
    </row>
    <row r="4898">
      <c r="A4898" s="1">
        <v>5.0</v>
      </c>
      <c r="B4898" s="1" t="s">
        <v>4879</v>
      </c>
      <c r="C4898" t="str">
        <f>IFERROR(__xludf.DUMMYFUNCTION("GOOGLETRANSLATE(B4898, ""zh"", ""en"")"),"Good things to share once bought two, little is made in China, Vietnam is a big production, which in fact do not have too tangled production, domestic quality is also very strong, the previous 480 school children drink endless also do not throw heat , thi"&amp;"s time just to take advantage of the discount another 360 series dream gravity and light and easy to use, Amazon even counter a discount off the shelf, why the country to sell it so expensive")</f>
        <v>Good things to share once bought two, little is made in China, Vietnam is a big production, which in fact do not have too tangled production, domestic quality is also very strong, the previous 480 school children drink endless also do not throw heat , this time just to take advantage of the discount another 360 series dream gravity and light and easy to use, Amazon even counter a discount off the shelf, why the country to sell it so expensive</v>
      </c>
    </row>
    <row r="4899">
      <c r="A4899" s="1">
        <v>2.0</v>
      </c>
      <c r="B4899" s="1" t="s">
        <v>4880</v>
      </c>
      <c r="C4899" t="str">
        <f>IFERROR(__xludf.DUMMYFUNCTION("GOOGLETRANSLATE(B4899, ""zh"", ""en"")"),"Smell bought a 34, the arrival time is spread out, do not know why there are shares of smell. No. 36 to buy, the arrival is rolled up, open to no taste.")</f>
        <v>Smell bought a 34, the arrival time is spread out, do not know why there are shares of smell. No. 36 to buy, the arrival is rolled up, open to no taste.</v>
      </c>
    </row>
    <row r="4900">
      <c r="A4900" s="1">
        <v>3.0</v>
      </c>
      <c r="B4900" s="1" t="s">
        <v>4881</v>
      </c>
      <c r="C4900" t="str">
        <f>IFERROR(__xludf.DUMMYFUNCTION("GOOGLETRANSLATE(B4900, ""zh"", ""en"")"),"Although the voltage is too heavy a hairdryer in the country only to 1700W, but has been good enough, but it is too heavy, the home is really very reluctantly. Useless with head, plus the more impossible their blowing head.")</f>
        <v>Although the voltage is too heavy a hairdryer in the country only to 1700W, but has been good enough, but it is too heavy, the home is really very reluctantly. Useless with head, plus the more impossible their blowing head.</v>
      </c>
    </row>
    <row r="4901">
      <c r="A4901" s="1">
        <v>3.0</v>
      </c>
      <c r="B4901" s="1" t="s">
        <v>4882</v>
      </c>
      <c r="C4901" t="str">
        <f>IFERROR(__xludf.DUMMYFUNCTION("GOOGLETRANSLATE(B4901, ""zh"", ""en"")"),"Very easy to use after-feel, measuring the number of times 2 is slightly different than a single phone interface.")</f>
        <v>Very easy to use after-feel, measuring the number of times 2 is slightly different than a single phone interface.</v>
      </c>
    </row>
    <row r="4902">
      <c r="A4902" s="1">
        <v>1.0</v>
      </c>
      <c r="B4902" s="1" t="s">
        <v>4883</v>
      </c>
      <c r="C4902" t="str">
        <f>IFERROR(__xludf.DUMMYFUNCTION("GOOGLETRANSLATE(B4902, ""zh"", ""en"")"),"Quickly refund watch has retired, because, as the gap with the introduction of pictures, No. 28 November to retire do not give me a refund now returned to hit a few times in customer service and so on always said, I ask to wait until Shashi Hou?")</f>
        <v>Quickly refund watch has retired, because, as the gap with the introduction of pictures, No. 28 November to retire do not give me a refund now returned to hit a few times in customer service and so on always said, I ask to wait until Shashi Hou?</v>
      </c>
    </row>
    <row r="4903">
      <c r="A4903" s="1">
        <v>1.0</v>
      </c>
      <c r="B4903" s="1" t="s">
        <v>4884</v>
      </c>
      <c r="C4903" t="str">
        <f>IFERROR(__xludf.DUMMYFUNCTION("GOOGLETRANSLATE(B4903, ""zh"", ""en"")"),"I've used it quite good before I used to have the same one. He was later stolen. But the table sad ah well, the Japanese original movement quite accurate price is not very good with better maintenance of high")</f>
        <v>I've used it quite good before I used to have the same one. He was later stolen. But the table sad ah well, the Japanese original movement quite accurate price is not very good with better maintenance of high</v>
      </c>
    </row>
    <row r="4904">
      <c r="A4904" s="1">
        <v>4.0</v>
      </c>
      <c r="B4904" s="1" t="s">
        <v>4885</v>
      </c>
      <c r="C4904" t="str">
        <f>IFERROR(__xludf.DUMMYFUNCTION("GOOGLETRANSLATE(B4904, ""zh"", ""en"")"),"Yes style style is good, but the material and thin.")</f>
        <v>Yes style style is good, but the material and thin.</v>
      </c>
    </row>
    <row r="4905">
      <c r="A4905" s="1">
        <v>4.0</v>
      </c>
      <c r="B4905" s="1" t="s">
        <v>4886</v>
      </c>
      <c r="C4905" t="str">
        <f>IFERROR(__xludf.DUMMYFUNCTION("GOOGLETRANSLATE(B4905, ""zh"", ""en"")"),"Received a large crack just received, full of joy to use, we found a large coin crack! Outside carton packaging is a bag over, no wonder to be crushed, so sad, Amazon's sale is good, full tax returns gave up!")</f>
        <v>Received a large crack just received, full of joy to use, we found a large coin crack! Outside carton packaging is a bag over, no wonder to be crushed, so sad, Amazon's sale is good, full tax returns gave up!</v>
      </c>
    </row>
    <row r="4906">
      <c r="A4906" s="1">
        <v>4.0</v>
      </c>
      <c r="B4906" s="1" t="s">
        <v>4887</v>
      </c>
      <c r="C4906" t="str">
        <f>IFERROR(__xludf.DUMMYFUNCTION("GOOGLETRANSLATE(B4906, ""zh"", ""en"")"),"Fair cup good deal, more than 60, although the cap and bottle are not the same color, can accept, use can be, after all, is the glass, in addition to the removal of the bottom adhesive paper Compare products do not meet the style (laborious and time-consu"&amp;"ming to remove sticker )")</f>
        <v>Fair cup good deal, more than 60, although the cap and bottle are not the same color, can accept, use can be, after all, is the glass, in addition to the removal of the bottom adhesive paper Compare products do not meet the style (laborious and time-consuming to remove sticker )</v>
      </c>
    </row>
    <row r="4907">
      <c r="A4907" s="1">
        <v>4.0</v>
      </c>
      <c r="B4907" s="1" t="s">
        <v>4888</v>
      </c>
      <c r="C4907" t="str">
        <f>IFERROR(__xludf.DUMMYFUNCTION("GOOGLETRANSLATE(B4907, ""zh"", ""en"")"),"Fortunately, just received, made in China, do not know the design or material reasons, feel a little uncomfortable wearing a bracelet")</f>
        <v>Fortunately, just received, made in China, do not know the design or material reasons, feel a little uncomfortable wearing a bracelet</v>
      </c>
    </row>
    <row r="4908">
      <c r="A4908" s="1">
        <v>4.0</v>
      </c>
      <c r="B4908" s="1" t="s">
        <v>4889</v>
      </c>
      <c r="C4908" t="str">
        <f>IFERROR(__xludf.DUMMYFUNCTION("GOOGLETRANSLATE(B4908, ""zh"", ""en"")"),"Price adjustment too fast good shoes, usually wear 44, the 44 little too big, that is, the morning shoot in the afternoon to drop the price more than 50, there is no price protection, can only make another rejection, Amazon hopes to improve.")</f>
        <v>Price adjustment too fast good shoes, usually wear 44, the 44 little too big, that is, the morning shoot in the afternoon to drop the price more than 50, there is no price protection, can only make another rejection, Amazon hopes to improve.</v>
      </c>
    </row>
    <row r="4909">
      <c r="A4909" s="1">
        <v>5.0</v>
      </c>
      <c r="B4909" s="1" t="s">
        <v>4890</v>
      </c>
      <c r="C4909" t="str">
        <f>IFERROR(__xludf.DUMMYFUNCTION("GOOGLETRANSLATE(B4909, ""zh"", ""en"")"),"Good wear shoes usually between 36 to 37 feet wide. The right size. Wear to Hokkaido. Do not step on a little water in the snow. Warm and not particularly strong. But do not stay long-term fixed no problem")</f>
        <v>Good wear shoes usually between 36 to 37 feet wide. The right size. Wear to Hokkaido. Do not step on a little water in the snow. Warm and not particularly strong. But do not stay long-term fixed no problem</v>
      </c>
    </row>
    <row r="4910">
      <c r="A4910" s="1">
        <v>5.0</v>
      </c>
      <c r="B4910" s="1" t="s">
        <v>4891</v>
      </c>
      <c r="C4910" t="str">
        <f>IFERROR(__xludf.DUMMYFUNCTION("GOOGLETRANSLATE(B4910, ""zh"", ""en"")"),"Good goods either as a shirt, but also can be used as coat")</f>
        <v>Good goods either as a shirt, but also can be used as coat</v>
      </c>
    </row>
    <row r="4911">
      <c r="A4911" s="1">
        <v>5.0</v>
      </c>
      <c r="B4911" s="1" t="s">
        <v>4892</v>
      </c>
      <c r="C4911" t="str">
        <f>IFERROR(__xludf.DUMMYFUNCTION("GOOGLETRANSLATE(B4911, ""zh"", ""en"")"),"Very comfortable to wear very comfortable to wear, just buy a big point")</f>
        <v>Very comfortable to wear very comfortable to wear, just buy a big point</v>
      </c>
    </row>
    <row r="4912">
      <c r="A4912" s="1">
        <v>5.0</v>
      </c>
      <c r="B4912" s="1" t="s">
        <v>4893</v>
      </c>
      <c r="C4912" t="str">
        <f>IFERROR(__xludf.DUMMYFUNCTION("GOOGLETRANSLATE(B4912, ""zh"", ""en"")"),"Good stocking, the nipple is always good")</f>
        <v>Good stocking, the nipple is always good</v>
      </c>
    </row>
    <row r="4913">
      <c r="A4913" s="1">
        <v>5.0</v>
      </c>
      <c r="B4913" s="1" t="s">
        <v>4894</v>
      </c>
      <c r="C4913" t="str">
        <f>IFERROR(__xludf.DUMMYFUNCTION("GOOGLETRANSLATE(B4913, ""zh"", ""en"")"),"Good very satisfied with online shopping.")</f>
        <v>Good very satisfied with online shopping.</v>
      </c>
    </row>
    <row r="4914">
      <c r="A4914" s="1">
        <v>5.0</v>
      </c>
      <c r="B4914" s="1" t="s">
        <v>4895</v>
      </c>
      <c r="C4914" t="str">
        <f>IFERROR(__xludf.DUMMYFUNCTION("GOOGLETRANSLATE(B4914, ""zh"", ""en"")"),"Comfortable to wear, but the color will fade long time will fade, wear good shoes")</f>
        <v>Comfortable to wear, but the color will fade long time will fade, wear good shoes</v>
      </c>
    </row>
    <row r="4915">
      <c r="A4915" s="1">
        <v>5.0</v>
      </c>
      <c r="B4915" s="1" t="s">
        <v>4896</v>
      </c>
      <c r="C4915" t="str">
        <f>IFERROR(__xludf.DUMMYFUNCTION("GOOGLETRANSLATE(B4915, ""zh"", ""en"")"),"Trial report good! Good belt width, wider than the average, close, good elasticity is not easy to curl.")</f>
        <v>Trial report good! Good belt width, wider than the average, close, good elasticity is not easy to curl.</v>
      </c>
    </row>
    <row r="4916">
      <c r="A4916" s="1">
        <v>5.0</v>
      </c>
      <c r="B4916" s="1" t="s">
        <v>4897</v>
      </c>
      <c r="C4916" t="str">
        <f>IFERROR(__xludf.DUMMYFUNCTION("GOOGLETRANSLATE(B4916, ""zh"", ""en"")"),"Very comfortable pullover've always liked this brand, very comfortable, but also to buy")</f>
        <v>Very comfortable pullover've always liked this brand, very comfortable, but also to buy</v>
      </c>
    </row>
    <row r="4917">
      <c r="A4917" s="1">
        <v>5.0</v>
      </c>
      <c r="B4917" s="1" t="s">
        <v>4898</v>
      </c>
      <c r="C4917" t="str">
        <f>IFERROR(__xludf.DUMMYFUNCTION("GOOGLETRANSLATE(B4917, ""zh"", ""en"")"),"Really small but beautiful country rha abuses rot abuse (broken sound) accidentally found a niche brand online evaluation evaluation but few are surprisingly consistent: small but very pleasant surprise after the United States and indeed the hand workmans"&amp;"hip perfect low-key appearance bass is simply scared to Heaven there are excellent analytical sound field makes one wonder how such a small cavity is done really good noise reduction effect has basically reached the level of a sponge wearing comfort is no"&amp;"t easy for me to fall out just perfect")</f>
        <v>Really small but beautiful country rha abuses rot abuse (broken sound) accidentally found a niche brand online evaluation evaluation but few are surprisingly consistent: small but very pleasant surprise after the United States and indeed the hand workmanship perfect low-key appearance bass is simply scared to Heaven there are excellent analytical sound field makes one wonder how such a small cavity is done really good noise reduction effect has basically reached the level of a sponge wearing comfort is not easy for me to fall out just perfect</v>
      </c>
    </row>
    <row r="4918">
      <c r="A4918" s="1">
        <v>5.0</v>
      </c>
      <c r="B4918" s="1" t="s">
        <v>4899</v>
      </c>
      <c r="C4918" t="str">
        <f>IFERROR(__xludf.DUMMYFUNCTION("GOOGLETRANSLATE(B4918, ""zh"", ""en"")"),"Men wearing women deliberately buy men want to wear loose some of the courier quickly next single was soon received a recommendation bone big tall girl directly elected men it")</f>
        <v>Men wearing women deliberately buy men want to wear loose some of the courier quickly next single was soon received a recommendation bone big tall girl directly elected men it</v>
      </c>
    </row>
    <row r="4919">
      <c r="A4919" s="1">
        <v>5.0</v>
      </c>
      <c r="B4919" s="1" t="s">
        <v>4900</v>
      </c>
      <c r="C4919" t="str">
        <f>IFERROR(__xludf.DUMMYFUNCTION("GOOGLETRANSLATE(B4919, ""zh"", ""en"")"),"Lightweight and cost-effective, convenient and fast")</f>
        <v>Lightweight and cost-effective, convenient and fast</v>
      </c>
    </row>
    <row r="4920">
      <c r="A4920" s="1">
        <v>5.0</v>
      </c>
      <c r="B4920" s="1" t="s">
        <v>4901</v>
      </c>
      <c r="C4920" t="str">
        <f>IFERROR(__xludf.DUMMYFUNCTION("GOOGLETRANSLATE(B4920, ""zh"", ""en"")"),"Good to say prices are very favorable, of German origin, Mayer direct mail, very good. Listen to some time to say. Praise.")</f>
        <v>Good to say prices are very favorable, of German origin, Mayer direct mail, very good. Listen to some time to say. Praise.</v>
      </c>
    </row>
    <row r="4921">
      <c r="A4921" s="1">
        <v>5.0</v>
      </c>
      <c r="B4921" s="1" t="s">
        <v>4902</v>
      </c>
      <c r="C4921" t="str">
        <f>IFERROR(__xludf.DUMMYFUNCTION("GOOGLETRANSLATE(B4921, ""zh"", ""en"")"),"Thermal equipment is necessarily good quality stuff. 170,60kg, the trumpet just. I thought cold weather wear, turned out to be hot equipment.")</f>
        <v>Thermal equipment is necessarily good quality stuff. 170,60kg, the trumpet just. I thought cold weather wear, turned out to be hot equipment.</v>
      </c>
    </row>
    <row r="4922">
      <c r="A4922" s="1">
        <v>5.0</v>
      </c>
      <c r="B4922" s="1" t="s">
        <v>4903</v>
      </c>
      <c r="C4922" t="str">
        <f>IFERROR(__xludf.DUMMYFUNCTION("GOOGLETRANSLATE(B4922, ""zh"", ""en"")"),"Good results enhanced resistance")</f>
        <v>Good results enhanced resistance</v>
      </c>
    </row>
    <row r="4923">
      <c r="A4923" s="1">
        <v>5.0</v>
      </c>
      <c r="B4923" s="1" t="s">
        <v>4904</v>
      </c>
      <c r="C4923" t="str">
        <f>IFERROR(__xludf.DUMMYFUNCTION("GOOGLETRANSLATE(B4923, ""zh"", ""en"")"),"Buy cheaper than the domestic half shipped quickly, before the buy overseas saw, plus tariff price is almost, but this discount as well as full reduction, offers more than 180, still very affordable. Receipt found work very fine, just think a big heart, o"&amp;"pen the table box watch shake on the inside, there is no surface film, but fortunately no signs of wear flowers. When her husband to buy a gift, really like.")</f>
        <v>Buy cheaper than the domestic half shipped quickly, before the buy overseas saw, plus tariff price is almost, but this discount as well as full reduction, offers more than 180, still very affordable. Receipt found work very fine, just think a big heart, open the table box watch shake on the inside, there is no surface film, but fortunately no signs of wear flowers. When her husband to buy a gift, really like.</v>
      </c>
    </row>
    <row r="4924">
      <c r="A4924" s="1">
        <v>5.0</v>
      </c>
      <c r="B4924" s="1" t="s">
        <v>4905</v>
      </c>
      <c r="C4924" t="str">
        <f>IFERROR(__xludf.DUMMYFUNCTION("GOOGLETRANSLATE(B4924, ""zh"", ""en"")"),"Very, very good, packaging very carefully, there is no possibility of shaking")</f>
        <v>Very, very good, packaging very carefully, there is no possibility of shaking</v>
      </c>
    </row>
    <row r="4925">
      <c r="A4925" s="1">
        <v>5.0</v>
      </c>
      <c r="B4925" s="1" t="s">
        <v>4906</v>
      </c>
      <c r="C4925" t="str">
        <f>IFERROR(__xludf.DUMMYFUNCTION("GOOGLETRANSLATE(B4925, ""zh"", ""en"")"),"Beautiful, cost-wife love, hand less than 700, sports shoes to wear 40, 39 shoes just for your reference, shoe last is very narrow, not suitable for fat legs, very good quality, the price, the same price spike all domestic")</f>
        <v>Beautiful, cost-wife love, hand less than 700, sports shoes to wear 40, 39 shoes just for your reference, shoe last is very narrow, not suitable for fat legs, very good quality, the price, the same price spike all domestic</v>
      </c>
    </row>
    <row r="4926">
      <c r="A4926" s="1">
        <v>5.0</v>
      </c>
      <c r="B4926" s="1" t="s">
        <v>4907</v>
      </c>
      <c r="C4926" t="str">
        <f>IFERROR(__xludf.DUMMYFUNCTION("GOOGLETRANSLATE(B4926, ""zh"", ""en"")"),"Value for money, super-fast 10.4 No. 8 orders received ,, did not expect so soon, the hard drive is no problem, the warranty is only up to 19 January, scouring the sea but it does not matter")</f>
        <v>Value for money, super-fast 10.4 No. 8 orders received ,, did not expect so soon, the hard drive is no problem, the warranty is only up to 19 January, scouring the sea but it does not matter</v>
      </c>
    </row>
    <row r="4927">
      <c r="A4927" s="1">
        <v>5.0</v>
      </c>
      <c r="B4927" s="1" t="s">
        <v>4908</v>
      </c>
      <c r="C4927" t="str">
        <f>IFERROR(__xludf.DUMMYFUNCTION("GOOGLETRANSLATE(B4927, ""zh"", ""en"")"),"Good fluoride toothpaste particularly good, has been using this brand of toothpaste, overseas purchase soon!")</f>
        <v>Good fluoride toothpaste particularly good, has been using this brand of toothpaste, overseas purchase soon!</v>
      </c>
    </row>
    <row r="4928">
      <c r="A4928" s="1">
        <v>5.0</v>
      </c>
      <c r="B4928" s="1" t="s">
        <v>4909</v>
      </c>
      <c r="C4928" t="str">
        <f>IFERROR(__xludf.DUMMYFUNCTION("GOOGLETRANSLATE(B4928, ""zh"", ""en"")"),"Not bad, made in Japan, very good quality")</f>
        <v>Not bad, made in Japan, very good quality</v>
      </c>
    </row>
    <row r="4929">
      <c r="A4929" s="1">
        <v>5.0</v>
      </c>
      <c r="B4929" s="1" t="s">
        <v>4910</v>
      </c>
      <c r="C4929" t="str">
        <f>IFERROR(__xludf.DUMMYFUNCTION("GOOGLETRANSLATE(B4929, ""zh"", ""en"")"),"Although it is not used once after work but it is a good product, rinse the tooth family is still very convenient. I hope next time do not buy a strike, take me red teeth.")</f>
        <v>Although it is not used once after work but it is a good product, rinse the tooth family is still very convenient. I hope next time do not buy a strike, take me red teeth.</v>
      </c>
    </row>
    <row r="4930">
      <c r="A4930" s="1">
        <v>5.0</v>
      </c>
      <c r="B4930" s="1" t="s">
        <v>4911</v>
      </c>
      <c r="C4930" t="str">
        <f>IFERROR(__xludf.DUMMYFUNCTION("GOOGLETRANSLATE(B4930, ""zh"", ""en"")"),"Adapt to a variety of occasions ecco shoes always loved sports, casual, dress is very fit.")</f>
        <v>Adapt to a variety of occasions ecco shoes always loved sports, casual, dress is very fit.</v>
      </c>
    </row>
    <row r="4931">
      <c r="A4931" s="1">
        <v>2.0</v>
      </c>
      <c r="B4931" s="1" t="s">
        <v>4912</v>
      </c>
      <c r="C4931" t="str">
        <f>IFERROR(__xludf.DUMMYFUNCTION("GOOGLETRANSLATE(B4931, ""zh"", ""en"")"),"Photo is being misled that the collar can be turned down or turned flat, only to be stand-up collar and can not be turned down or turned flat collar, and this dress lapel principles will be in the end of serious discrepancies. I want to return it, postage"&amp;" doing uneconomical, but to give it away")</f>
        <v>Photo is being misled that the collar can be turned down or turned flat, only to be stand-up collar and can not be turned down or turned flat collar, and this dress lapel principles will be in the end of serious discrepancies. I want to return it, postage doing uneconomical, but to give it away</v>
      </c>
    </row>
    <row r="4932">
      <c r="A4932" s="1">
        <v>3.0</v>
      </c>
      <c r="B4932" s="1" t="s">
        <v>4913</v>
      </c>
      <c r="C4932" t="str">
        <f>IFERROR(__xludf.DUMMYFUNCTION("GOOGLETRANSLATE(B4932, ""zh"", ""en"")"),"Super-stick pan, stew not fast super-stick pan, fry eggs can paste a pot! ! ! Can only be used to stew, beef stew was one hour, and a little hard, do Scallion chicken, whole chicken into them, after 1 hour chicken with the blood, not the legendary 40 minu"&amp;"tes so fast! When my ancestors for the day, oil brush brush brush oil oil! But for percussion sound is ringing, I wonder if I'm getting a fake pot! In addition a Mummy pot, also stick pan powerful, very upset! A pot only once fried vegetables, fried finis"&amp;"hed bottom of the pot because you can not use a paste, then hot pot and can not wash! Unhappy people")</f>
        <v>Super-stick pan, stew not fast super-stick pan, fry eggs can paste a pot! ! ! Can only be used to stew, beef stew was one hour, and a little hard, do Scallion chicken, whole chicken into them, after 1 hour chicken with the blood, not the legendary 40 minutes so fast! When my ancestors for the day, oil brush brush brush oil oil! But for percussion sound is ringing, I wonder if I'm getting a fake pot! In addition a Mummy pot, also stick pan powerful, very upset! A pot only once fried vegetables, fried finished bottom of the pot because you can not use a paste, then hot pot and can not wash! Unhappy people</v>
      </c>
    </row>
    <row r="4933">
      <c r="A4933" s="1">
        <v>3.0</v>
      </c>
      <c r="B4933" s="1" t="s">
        <v>4914</v>
      </c>
      <c r="C4933" t="str">
        <f>IFERROR(__xludf.DUMMYFUNCTION("GOOGLETRANSLATE(B4933, ""zh"", ""en"")"),"Quickly absorbed, but it seems no effect quickly absorbed, but it seems no effect")</f>
        <v>Quickly absorbed, but it seems no effect quickly absorbed, but it seems no effect</v>
      </c>
    </row>
    <row r="4934">
      <c r="A4934" s="1">
        <v>1.0</v>
      </c>
      <c r="B4934" s="1" t="s">
        <v>4915</v>
      </c>
      <c r="C4934" t="str">
        <f>IFERROR(__xludf.DUMMYFUNCTION("GOOGLETRANSLATE(B4934, ""zh"", ""en"")"),"Return a great big lot of trouble")</f>
        <v>Return a great big lot of trouble</v>
      </c>
    </row>
    <row r="4935">
      <c r="A4935" s="1">
        <v>1.0</v>
      </c>
      <c r="B4935" s="1" t="s">
        <v>4916</v>
      </c>
      <c r="C4935" t="str">
        <f>IFERROR(__xludf.DUMMYFUNCTION("GOOGLETRANSLATE(B4935, ""zh"", ""en"")"),"Fake fake, we do not buy")</f>
        <v>Fake fake, we do not buy</v>
      </c>
    </row>
    <row r="4936">
      <c r="A4936" s="1">
        <v>1.0</v>
      </c>
      <c r="B4936" s="1" t="s">
        <v>4917</v>
      </c>
      <c r="C4936" t="str">
        <f>IFERROR(__xludf.DUMMYFUNCTION("GOOGLETRANSLATE(B4936, ""zh"", ""en"")"),"Garbage sole is too hard should not really buy carefully")</f>
        <v>Garbage sole is too hard should not really buy carefully</v>
      </c>
    </row>
    <row r="4937">
      <c r="A4937" s="1">
        <v>4.0</v>
      </c>
      <c r="B4937" s="1" t="s">
        <v>4918</v>
      </c>
      <c r="C4937" t="str">
        <f>IFERROR(__xludf.DUMMYFUNCTION("GOOGLETRANSLATE(B4937, ""zh"", ""en"")"),"Something good, very satisfied. Something good, very satisfied.")</f>
        <v>Something good, very satisfied. Something good, very satisfied.</v>
      </c>
    </row>
    <row r="4938">
      <c r="A4938" s="1">
        <v>4.0</v>
      </c>
      <c r="B4938" s="1" t="s">
        <v>4919</v>
      </c>
      <c r="C4938" t="str">
        <f>IFERROR(__xludf.DUMMYFUNCTION("GOOGLETRANSLATE(B4938, ""zh"", ""en"")"),"There are shares of taste how plastic taste quite heavy")</f>
        <v>There are shares of taste how plastic taste quite heavy</v>
      </c>
    </row>
    <row r="4939">
      <c r="A4939" s="1">
        <v>4.0</v>
      </c>
      <c r="B4939" s="1" t="s">
        <v>4920</v>
      </c>
      <c r="C4939" t="str">
        <f>IFERROR(__xludf.DUMMYFUNCTION("GOOGLETRANSLATE(B4939, ""zh"", ""en"")"),"Feel-good hand, dial the right size, because my hand is fine, so it feels right size, unlike others ... and too little hand moves no one else to put it so exaggerated, his ear to listen to a voice, I'm on the bedside sleeping can be heard ... strap should"&amp;" say a little general, after all, something only a hundred blocks, wearing are not in a circle, feeling side is the straight side is the arc unless tighten close to the wrist, to a round ...")</f>
        <v>Feel-good hand, dial the right size, because my hand is fine, so it feels right size, unlike others ... and too little hand moves no one else to put it so exaggerated, his ear to listen to a voice, I'm on the bedside sleeping can be heard ... strap should say a little general, after all, something only a hundred blocks, wearing are not in a circle, feeling side is the straight side is the arc unless tighten close to the wrist, to a round ...</v>
      </c>
    </row>
    <row r="4940">
      <c r="A4940" s="1">
        <v>4.0</v>
      </c>
      <c r="B4940" s="1" t="s">
        <v>4921</v>
      </c>
      <c r="C4940" t="str">
        <f>IFERROR(__xludf.DUMMYFUNCTION("GOOGLETRANSLATE(B4940, ""zh"", ""en"")"),"More recommended this style to fairly fit, more recommended.")</f>
        <v>More recommended this style to fairly fit, more recommended.</v>
      </c>
    </row>
    <row r="4941">
      <c r="A4941" s="1">
        <v>4.0</v>
      </c>
      <c r="B4941" s="1" t="s">
        <v>4922</v>
      </c>
      <c r="C4941" t="str">
        <f>IFERROR(__xludf.DUMMYFUNCTION("GOOGLETRANSLATE(B4941, ""zh"", ""en"")"),"The right size shoe soles are hard, but fairly good-looking")</f>
        <v>The right size shoe soles are hard, but fairly good-looking</v>
      </c>
    </row>
    <row r="4942">
      <c r="A4942" s="1">
        <v>5.0</v>
      </c>
      <c r="B4942" s="1" t="s">
        <v>4923</v>
      </c>
      <c r="C4942" t="str">
        <f>IFERROR(__xludf.DUMMYFUNCTION("GOOGLETRANSLATE(B4942, ""zh"", ""en"")"),"This title is a need to own table and I bought together so a friend said he was satisfied like slightly, but I feel this is smaller than I am ....")</f>
        <v>This title is a need to own table and I bought together so a friend said he was satisfied like slightly, but I feel this is smaller than I am ....</v>
      </c>
    </row>
    <row r="4943">
      <c r="A4943" s="1">
        <v>5.0</v>
      </c>
      <c r="B4943" s="1" t="s">
        <v>4924</v>
      </c>
      <c r="C4943" t="str">
        <f>IFERROR(__xludf.DUMMYFUNCTION("GOOGLETRANSLATE(B4943, ""zh"", ""en"")"),"Zojirushi mug to buy a second, very insulation! very light! Color is also a sweet!")</f>
        <v>Zojirushi mug to buy a second, very insulation! very light! Color is also a sweet!</v>
      </c>
    </row>
    <row r="4944">
      <c r="A4944" s="1">
        <v>5.0</v>
      </c>
      <c r="B4944" s="1" t="s">
        <v>4925</v>
      </c>
      <c r="C4944" t="str">
        <f>IFERROR(__xludf.DUMMYFUNCTION("GOOGLETRANSLATE(B4944, ""zh"", ""en"")"),"goood cool")</f>
        <v>goood cool</v>
      </c>
    </row>
    <row r="4945">
      <c r="A4945" s="1">
        <v>5.0</v>
      </c>
      <c r="B4945" s="1" t="s">
        <v>4926</v>
      </c>
      <c r="C4945" t="str">
        <f>IFERROR(__xludf.DUMMYFUNCTION("GOOGLETRANSLATE(B4945, ""zh"", ""en"")"),"Configuration is very practical, the price is too good 150 Raindance hand shower water volume, select several models with a good sense of design Thermostat of science and technology is very fashion sense, but also when using the racks, key price is too go"&amp;"od high cost")</f>
        <v>Configuration is very practical, the price is too good 150 Raindance hand shower water volume, select several models with a good sense of design Thermostat of science and technology is very fashion sense, but also when using the racks, key price is too good high cost</v>
      </c>
    </row>
    <row r="4946">
      <c r="A4946" s="1">
        <v>5.0</v>
      </c>
      <c r="B4946" s="1" t="s">
        <v>4927</v>
      </c>
      <c r="C4946" t="str">
        <f>IFERROR(__xludf.DUMMYFUNCTION("GOOGLETRANSLATE(B4946, ""zh"", ""en"")"),"Water floss good, very light volume, with several brush, compared Lynx half the price, good")</f>
        <v>Water floss good, very light volume, with several brush, compared Lynx half the price, good</v>
      </c>
    </row>
    <row r="4947">
      <c r="A4947" s="1">
        <v>5.0</v>
      </c>
      <c r="B4947" s="1" t="s">
        <v>4928</v>
      </c>
      <c r="C4947" t="str">
        <f>IFERROR(__xludf.DUMMYFUNCTION("GOOGLETRANSLATE(B4947, ""zh"", ""en"")"),"General appearance, not the picture look good to help my sister to buy, she said very warm")</f>
        <v>General appearance, not the picture look good to help my sister to buy, she said very warm</v>
      </c>
    </row>
    <row r="4948">
      <c r="A4948" s="1">
        <v>5.0</v>
      </c>
      <c r="B4948" s="1" t="s">
        <v>4929</v>
      </c>
      <c r="C4948" t="str">
        <f>IFERROR(__xludf.DUMMYFUNCTION("GOOGLETRANSLATE(B4948, ""zh"", ""en"")"),"After the orders were satisfied six days arrived, logistics speed very satisfied. No instructions in Chinese, try to add a device with a US version of the omron connect, automatic pairing fails. Successful pairing with the Chinese version of Omron notes. "&amp;"Choose another device pairing, then select EVOLV. One thing not accustomed to the beginning of the measurement, the average blood pressure monitor is then slowly pressurized to a high pressure relief, pressure relief measure. And this model is just beginn"&amp;"ing to measure the pressure in the process, after the completion of the measurement instant relief.")</f>
        <v>After the orders were satisfied six days arrived, logistics speed very satisfied. No instructions in Chinese, try to add a device with a US version of the omron connect, automatic pairing fails. Successful pairing with the Chinese version of Omron notes. Choose another device pairing, then select EVOLV. One thing not accustomed to the beginning of the measurement, the average blood pressure monitor is then slowly pressurized to a high pressure relief, pressure relief measure. And this model is just beginning to measure the pressure in the process, after the completion of the measurement instant relief.</v>
      </c>
    </row>
    <row r="4949">
      <c r="A4949" s="1">
        <v>5.0</v>
      </c>
      <c r="B4949" s="1" t="s">
        <v>4930</v>
      </c>
      <c r="C4949" t="str">
        <f>IFERROR(__xludf.DUMMYFUNCTION("GOOGLETRANSLATE(B4949, ""zh"", ""en"")"),"Made in China Made in China show. Shipped from Germany. Sound quality is good.")</f>
        <v>Made in China Made in China show. Shipped from Germany. Sound quality is good.</v>
      </c>
    </row>
    <row r="4950">
      <c r="A4950" s="1">
        <v>5.0</v>
      </c>
      <c r="B4950" s="1" t="s">
        <v>4931</v>
      </c>
      <c r="C4950" t="str">
        <f>IFERROR(__xludf.DUMMYFUNCTION("GOOGLETRANSLATE(B4950, ""zh"", ""en"")"),"Quality shoes can be tried, well, not often wear, feel the quality can be.")</f>
        <v>Quality shoes can be tried, well, not often wear, feel the quality can be.</v>
      </c>
    </row>
    <row r="4951">
      <c r="A4951" s="1">
        <v>5.0</v>
      </c>
      <c r="B4951" s="1" t="s">
        <v>4932</v>
      </c>
      <c r="C4951" t="str">
        <f>IFERROR(__xludf.DUMMYFUNCTION("GOOGLETRANSLATE(B4951, ""zh"", ""en"")"),"Require a specialized power converters read other people say the country can be used directly to buy, and buy later has been placed today was opened for use. Only to find that simply can not be directly used! Domestic plug socket can indeed, but that simp"&amp;"ly would not have inserted the ground! ! ! No earth leakage, then you will get a shock! ! ! ! In the country to find a circle, are transferred abroad with German standard, he said Germany did not consider the subject of transit countries. Only one has a t"&amp;"reasure for fear of poor quality, did not dare to buy. Germany now only buy a converter to China to overseas! ! !")</f>
        <v>Require a specialized power converters read other people say the country can be used directly to buy, and buy later has been placed today was opened for use. Only to find that simply can not be directly used! Domestic plug socket can indeed, but that simply would not have inserted the ground! ! ! No earth leakage, then you will get a shock! ! ! ! In the country to find a circle, are transferred abroad with German standard, he said Germany did not consider the subject of transit countries. Only one has a treasure for fear of poor quality, did not dare to buy. Germany now only buy a converter to China to overseas! ! !</v>
      </c>
    </row>
    <row r="4952">
      <c r="A4952" s="1">
        <v>5.0</v>
      </c>
      <c r="B4952" s="1" t="s">
        <v>4933</v>
      </c>
      <c r="C4952" t="str">
        <f>IFERROR(__xludf.DUMMYFUNCTION("GOOGLETRANSLATE(B4952, ""zh"", ""en"")"),"Casual Pei-ling good better than the nike and so on, a bit sticky hair")</f>
        <v>Casual Pei-ling good better than the nike and so on, a bit sticky hair</v>
      </c>
    </row>
    <row r="4953">
      <c r="A4953" s="1">
        <v>5.0</v>
      </c>
      <c r="B4953" s="1" t="s">
        <v>4934</v>
      </c>
      <c r="C4953" t="str">
        <f>IFERROR(__xludf.DUMMYFUNCTION("GOOGLETRANSLATE(B4953, ""zh"", ""en"")"),"Sweater and a huge, fat man wearing my husband's 220 bigger number two, returns too much trouble also expensive, keep it casual Pei-ling, next time you know the size to be careful")</f>
        <v>Sweater and a huge, fat man wearing my husband's 220 bigger number two, returns too much trouble also expensive, keep it casual Pei-ling, next time you know the size to be careful</v>
      </c>
    </row>
    <row r="4954">
      <c r="A4954" s="1">
        <v>5.0</v>
      </c>
      <c r="B4954" s="1" t="s">
        <v>4935</v>
      </c>
      <c r="C4954" t="str">
        <f>IFERROR(__xludf.DUMMYFUNCTION("GOOGLETRANSLATE(B4954, ""zh"", ""en"")"),"Light breathable 172CM, 67.5KG, M code is appropriate. Running comfortable, it is the collar a little high points, but overall very satisfied!")</f>
        <v>Light breathable 172CM, 67.5KG, M code is appropriate. Running comfortable, it is the collar a little high points, but overall very satisfied!</v>
      </c>
    </row>
    <row r="4955">
      <c r="A4955" s="1">
        <v>5.0</v>
      </c>
      <c r="B4955" s="1" t="s">
        <v>4936</v>
      </c>
      <c r="C4955" t="str">
        <f>IFERROR(__xludf.DUMMYFUNCTION("GOOGLETRANSLATE(B4955, ""zh"", ""en"")"),"Standard size before buying consulted, the size is right, that is, legs too long - this is understandable, after all, is based on body foreigners do. Find a tailor to change under enough.")</f>
        <v>Standard size before buying consulted, the size is right, that is, legs too long - this is understandable, after all, is based on body foreigners do. Find a tailor to change under enough.</v>
      </c>
    </row>
    <row r="4956">
      <c r="A4956" s="1">
        <v>5.0</v>
      </c>
      <c r="B4956" s="1" t="s">
        <v>4937</v>
      </c>
      <c r="C4956" t="str">
        <f>IFERROR(__xludf.DUMMYFUNCTION("GOOGLETRANSLATE(B4956, ""zh"", ""en"")"),"Overall very fit, but the sleeves narrow fit, but the narrow sleeves, the shirt inside the jacket, relatively tight, I weight 76Kg, but more sturdy, body fat than the bottom, upper arm thick.")</f>
        <v>Overall very fit, but the sleeves narrow fit, but the narrow sleeves, the shirt inside the jacket, relatively tight, I weight 76Kg, but more sturdy, body fat than the bottom, upper arm thick.</v>
      </c>
    </row>
    <row r="4957">
      <c r="A4957" s="1">
        <v>5.0</v>
      </c>
      <c r="B4957" s="1" t="s">
        <v>4938</v>
      </c>
      <c r="C4957" t="str">
        <f>IFERROR(__xludf.DUMMYFUNCTION("GOOGLETRANSLATE(B4957, ""zh"", ""en"")"),"The domestic and bought the same acclaim. Favorable comment")</f>
        <v>The domestic and bought the same acclaim. Favorable comment</v>
      </c>
    </row>
    <row r="4958">
      <c r="A4958" s="1">
        <v>5.0</v>
      </c>
      <c r="B4958" s="1" t="s">
        <v>4939</v>
      </c>
      <c r="C4958" t="str">
        <f>IFERROR(__xludf.DUMMYFUNCTION("GOOGLETRANSLATE(B4958, ""zh"", ""en"")"),"Hate untimely although I did not buy this stuff ... If I do not burn earlier shelves with upgraded lines ... can buy some more classic cat biting play")</f>
        <v>Hate untimely although I did not buy this stuff ... If I do not burn earlier shelves with upgraded lines ... can buy some more classic cat biting play</v>
      </c>
    </row>
    <row r="4959">
      <c r="A4959" s="1">
        <v>5.0</v>
      </c>
      <c r="B4959" s="1" t="s">
        <v>4940</v>
      </c>
      <c r="C4959" t="str">
        <f>IFERROR(__xludf.DUMMYFUNCTION("GOOGLETRANSLATE(B4959, ""zh"", ""en"")"),"Well worth the high cost of buying good quality size is too large loose version plus velvet models feels very comfortable")</f>
        <v>Well worth the high cost of buying good quality size is too large loose version plus velvet models feels very comfortable</v>
      </c>
    </row>
    <row r="4960">
      <c r="A4960" s="1">
        <v>5.0</v>
      </c>
      <c r="B4960" s="1" t="s">
        <v>4941</v>
      </c>
      <c r="C4960" t="str">
        <f>IFERROR(__xludf.DUMMYFUNCTION("GOOGLETRANSLATE(B4960, ""zh"", ""en"")"),"Dea or a microwave oven from time to time before failure trustworthy, and later decided to buy enough mechanical microwave, and select Dea, appears to be the election of the already started, no problem, just do not know where the production, the original "&amp;"estimate origin is China, because China is a printed manual, but the manual Russian, French, German, English did not wait for a lot of Chinese, it seems that it is not sold to China, the quality should be better, I would like to spend a little longer")</f>
        <v>Dea or a microwave oven from time to time before failure trustworthy, and later decided to buy enough mechanical microwave, and select Dea, appears to be the election of the already started, no problem, just do not know where the production, the original estimate origin is China, because China is a printed manual, but the manual Russian, French, German, English did not wait for a lot of Chinese, it seems that it is not sold to China, the quality should be better, I would like to spend a little longer</v>
      </c>
    </row>
    <row r="4961">
      <c r="A4961" s="1">
        <v>5.0</v>
      </c>
      <c r="B4961" s="1" t="s">
        <v>4942</v>
      </c>
      <c r="C4961" t="str">
        <f>IFERROR(__xludf.DUMMYFUNCTION("GOOGLETRANSLATE(B4961, ""zh"", ""en"")"),"Genuine Yes, yes.")</f>
        <v>Genuine Yes, yes.</v>
      </c>
    </row>
    <row r="4962">
      <c r="A4962" s="1">
        <v>5.0</v>
      </c>
      <c r="B4962" s="1" t="s">
        <v>4943</v>
      </c>
      <c r="C4962" t="str">
        <f>IFERROR(__xludf.DUMMYFUNCTION("GOOGLETRANSLATE(B4962, ""zh"", ""en"")"),"Calvin Klein Jeans lot cheaper abroad, more than 200 start with this stuff, super value. Why so expensive country?")</f>
        <v>Calvin Klein Jeans lot cheaper abroad, more than 200 start with this stuff, super value. Why so expensive country?</v>
      </c>
    </row>
    <row r="4963">
      <c r="A4963" s="1">
        <v>5.0</v>
      </c>
      <c r="B4963" s="1" t="s">
        <v>4944</v>
      </c>
      <c r="C4963" t="str">
        <f>IFERROR(__xludf.DUMMYFUNCTION("GOOGLETRANSLATE(B4963, ""zh"", ""en"")"),"Very low body fat comfortable 180 70kg slightly larger Athletic")</f>
        <v>Very low body fat comfortable 180 70kg slightly larger Athletic</v>
      </c>
    </row>
    <row r="4964">
      <c r="A4964" s="1">
        <v>2.0</v>
      </c>
      <c r="B4964" s="1" t="s">
        <v>4945</v>
      </c>
      <c r="C4964" t="str">
        <f>IFERROR(__xludf.DUMMYFUNCTION("GOOGLETRANSLATE(B4964, ""zh"", ""en"")"),"Do not mind the quality and speed of Oh! 1. buy things for their own use, not the pursuit of speed, make it through; not the pursuit of speed into the ah; 2. no good cheap goods, you pay for, not the pursuit of speed and services into; 3. buy things to lo"&amp;"ok at before look at the reviews, not necessarily wrong; 4 is not produced in the United States, it is recommended that the seller is not the place of origin plus? 5. It does not seem to domestic cargo service providers, overseas purchase Intuit high retu"&amp;"rn costs.")</f>
        <v>Do not mind the quality and speed of Oh! 1. buy things for their own use, not the pursuit of speed, make it through; not the pursuit of speed into the ah; 2. no good cheap goods, you pay for, not the pursuit of speed and services into; 3. buy things to look at before look at the reviews, not necessarily wrong; 4 is not produced in the United States, it is recommended that the seller is not the place of origin plus? 5. It does not seem to domestic cargo service providers, overseas purchase Intuit high return costs.</v>
      </c>
    </row>
    <row r="4965">
      <c r="A4965" s="1">
        <v>3.0</v>
      </c>
      <c r="B4965" s="1" t="s">
        <v>4946</v>
      </c>
      <c r="C4965" t="str">
        <f>IFERROR(__xludf.DUMMYFUNCTION("GOOGLETRANSLATE(B4965, ""zh"", ""en"")"),"Comments goods suitable size, better quality, style general feeling")</f>
        <v>Comments goods suitable size, better quality, style general feeling</v>
      </c>
    </row>
    <row r="4966">
      <c r="A4966" s="1">
        <v>3.0</v>
      </c>
      <c r="B4966" s="1" t="s">
        <v>4947</v>
      </c>
      <c r="C4966" t="str">
        <f>IFERROR(__xludf.DUMMYFUNCTION("GOOGLETRANSLATE(B4966, ""zh"", ""en"")"),"Thin, fade to one-third because of the right size, my waist 78cm, 32 Ma Department of recent normal, slightly loose, should be more winter wear no problem, the summer may need to punch. The other is the fade, if the exercise sweating, also wear light-colo"&amp;"red pants, do not tie the belt, or will ruin pants")</f>
        <v>Thin, fade to one-third because of the right size, my waist 78cm, 32 Ma Department of recent normal, slightly loose, should be more winter wear no problem, the summer may need to punch. The other is the fade, if the exercise sweating, also wear light-colored pants, do not tie the belt, or will ruin pants</v>
      </c>
    </row>
    <row r="4967">
      <c r="A4967" s="1">
        <v>3.0</v>
      </c>
      <c r="B4967" s="1" t="s">
        <v>4948</v>
      </c>
      <c r="C4967" t="str">
        <f>IFERROR(__xludf.DUMMYFUNCTION("GOOGLETRANSLATE(B4967, ""zh"", ""en"")"),"Cover not less than a week with a strong lid on the bad.")</f>
        <v>Cover not less than a week with a strong lid on the bad.</v>
      </c>
    </row>
    <row r="4968">
      <c r="A4968" s="1">
        <v>1.0</v>
      </c>
      <c r="B4968" s="1" t="s">
        <v>4949</v>
      </c>
      <c r="C4968" t="str">
        <f>IFERROR(__xludf.DUMMYFUNCTION("GOOGLETRANSLATE(B4968, ""zh"", ""en"")"),"Particularly bad quality pants especially particularly thin. Wearing a few days beginning from the ball, especially poor quality.")</f>
        <v>Particularly bad quality pants especially particularly thin. Wearing a few days beginning from the ball, especially poor quality.</v>
      </c>
    </row>
    <row r="4969">
      <c r="A4969" s="1">
        <v>1.0</v>
      </c>
      <c r="B4969" s="1" t="s">
        <v>4950</v>
      </c>
      <c r="C4969" t="str">
        <f>IFERROR(__xludf.DUMMYFUNCTION("GOOGLETRANSLATE(B4969, ""zh"", ""en"")"),"250ml green old, I feel used, and ready to return")</f>
        <v>250ml green old, I feel used, and ready to return</v>
      </c>
    </row>
    <row r="4970">
      <c r="A4970" s="1">
        <v>1.0</v>
      </c>
      <c r="B4970" s="1" t="s">
        <v>4951</v>
      </c>
      <c r="C4970" t="str">
        <f>IFERROR(__xludf.DUMMYFUNCTION("GOOGLETRANSLATE(B4970, ""zh"", ""en"")"),"Poor quality poor quality, wear one day he broke ass hole")</f>
        <v>Poor quality poor quality, wear one day he broke ass hole</v>
      </c>
    </row>
    <row r="4971">
      <c r="A4971" s="1">
        <v>4.0</v>
      </c>
      <c r="B4971" s="1" t="s">
        <v>4952</v>
      </c>
      <c r="C4971" t="str">
        <f>IFERROR(__xludf.DUMMYFUNCTION("GOOGLETRANSLATE(B4971, ""zh"", ""en"")"),"Why, packaging is always broken! The four corners of the box are deflated, which is something like bam bam! Inside the adapter 6.5mm, plated surface damage!")</f>
        <v>Why, packaging is always broken! The four corners of the box are deflated, which is something like bam bam! Inside the adapter 6.5mm, plated surface damage!</v>
      </c>
    </row>
    <row r="4972">
      <c r="A4972" s="1">
        <v>4.0</v>
      </c>
      <c r="B4972" s="1" t="s">
        <v>4953</v>
      </c>
      <c r="C4972" t="str">
        <f>IFERROR(__xludf.DUMMYFUNCTION("GOOGLETRANSLATE(B4972, ""zh"", ""en"")"),"Okay okay currently looking at, 7 days arrive, just do not know the authenticity!")</f>
        <v>Okay okay currently looking at, 7 days arrive, just do not know the authenticity!</v>
      </c>
    </row>
    <row r="4973">
      <c r="A4973" s="1">
        <v>4.0</v>
      </c>
      <c r="B4973" s="1" t="s">
        <v>4954</v>
      </c>
      <c r="C4973" t="str">
        <f>IFERROR(__xludf.DUMMYFUNCTION("GOOGLETRANSLATE(B4973, ""zh"", ""en"")"),"A little bit sorry Height 178 cm Weight 67 kg, the election of 29/30, length and waist are very fit, fabric thick rigid, suitable for autumn and winter wear. Than the domestic version of straight type slightly fat, I want to type. Work okay, but there is "&amp;"a big flaw addiction on the legs, it is somewhat disappointing.")</f>
        <v>A little bit sorry Height 178 cm Weight 67 kg, the election of 29/30, length and waist are very fit, fabric thick rigid, suitable for autumn and winter wear. Than the domestic version of straight type slightly fat, I want to type. Work okay, but there is a big flaw addiction on the legs, it is somewhat disappointing.</v>
      </c>
    </row>
    <row r="4974">
      <c r="A4974" s="1">
        <v>4.0</v>
      </c>
      <c r="B4974" s="1" t="s">
        <v>4955</v>
      </c>
      <c r="C4974" t="str">
        <f>IFERROR(__xludf.DUMMYFUNCTION("GOOGLETRANSLATE(B4974, ""zh"", ""en"")"),"CHAMPION Originals Men's genuine long-sleeved clothes and packaging intact Henry .. good quality")</f>
        <v>CHAMPION Originals Men's genuine long-sleeved clothes and packaging intact Henry .. good quality</v>
      </c>
    </row>
    <row r="4975">
      <c r="A4975" s="1">
        <v>4.0</v>
      </c>
      <c r="B4975" s="1" t="s">
        <v>4956</v>
      </c>
      <c r="C4975" t="str">
        <f>IFERROR(__xludf.DUMMYFUNCTION("GOOGLETRANSLATE(B4975, ""zh"", ""en"")"),"I am a clothing sizes around 179 76kg, thinner body, big-boned, m code it. But I found no tag, and 5 days to come, and soon.")</f>
        <v>I am a clothing sizes around 179 76kg, thinner body, big-boned, m code it. But I found no tag, and 5 days to come, and soon.</v>
      </c>
    </row>
    <row r="4976">
      <c r="A4976" s="1">
        <v>5.0</v>
      </c>
      <c r="B4976" s="1" t="s">
        <v>4957</v>
      </c>
      <c r="C4976" t="str">
        <f>IFERROR(__xludf.DUMMYFUNCTION("GOOGLETRANSLATE(B4976, ""zh"", ""en"")"),"Fitted to provide data for your reference, height 180, weight 104 kg, XL code fit, thin, flexible ~~")</f>
        <v>Fitted to provide data for your reference, height 180, weight 104 kg, XL code fit, thin, flexible ~~</v>
      </c>
    </row>
    <row r="4977">
      <c r="A4977" s="1">
        <v>5.0</v>
      </c>
      <c r="B4977" s="1" t="s">
        <v>4958</v>
      </c>
      <c r="C4977" t="str">
        <f>IFERROR(__xludf.DUMMYFUNCTION("GOOGLETRANSLATE(B4977, ""zh"", ""en"")"),"Exquisite fine pot, before preparations have taken a dislike to replace all.")</f>
        <v>Exquisite fine pot, before preparations have taken a dislike to replace all.</v>
      </c>
    </row>
    <row r="4978">
      <c r="A4978" s="1">
        <v>5.0</v>
      </c>
      <c r="B4978" s="1" t="s">
        <v>4959</v>
      </c>
      <c r="C4978" t="str">
        <f>IFERROR(__xludf.DUMMYFUNCTION("GOOGLETRANSLATE(B4978, ""zh"", ""en"")"),"180,90kg, xl too small, xxl more appropriate 180,90kg, xl too small, xxl more appropriate")</f>
        <v>180,90kg, xl too small, xxl more appropriate 180,90kg, xl too small, xxl more appropriate</v>
      </c>
    </row>
    <row r="4979">
      <c r="A4979" s="1">
        <v>5.0</v>
      </c>
      <c r="B4979" s="1" t="s">
        <v>4960</v>
      </c>
      <c r="C4979" t="str">
        <f>IFERROR(__xludf.DUMMYFUNCTION("GOOGLETRANSLATE(B4979, ""zh"", ""en"")"),"Good material is good material.")</f>
        <v>Good material is good material.</v>
      </c>
    </row>
    <row r="4980">
      <c r="A4980" s="1">
        <v>5.0</v>
      </c>
      <c r="B4980" s="1" t="s">
        <v>4961</v>
      </c>
      <c r="C4980" t="str">
        <f>IFERROR(__xludf.DUMMYFUNCTION("GOOGLETRANSLATE(B4980, ""zh"", ""en"")"),"Old audio brand, high color value, a pretty voice. Quality feel and mid similar active noise reduction function personal feeling is not obvious. After all, it is a veteran audio brand, high color value, a pretty voice. Whether the use of this feature acti"&amp;"ve noise reduction on any brand of headphones, feel is superfluous, is called selling points and gimmicks headset business, of course, this is a personal view.")</f>
        <v>Old audio brand, high color value, a pretty voice. Quality feel and mid similar active noise reduction function personal feeling is not obvious. After all, it is a veteran audio brand, high color value, a pretty voice. Whether the use of this feature active noise reduction on any brand of headphones, feel is superfluous, is called selling points and gimmicks headset business, of course, this is a personal view.</v>
      </c>
    </row>
    <row r="4981">
      <c r="A4981" s="1">
        <v>5.0</v>
      </c>
      <c r="B4981" s="1" t="s">
        <v>4962</v>
      </c>
      <c r="C4981" t="str">
        <f>IFERROR(__xludf.DUMMYFUNCTION("GOOGLETRANSLATE(B4981, ""zh"", ""en"")"),"Very good, good good, store goods in, not use")</f>
        <v>Very good, good good, store goods in, not use</v>
      </c>
    </row>
    <row r="4982">
      <c r="A4982" s="1">
        <v>5.0</v>
      </c>
      <c r="B4982" s="1" t="s">
        <v>1514</v>
      </c>
      <c r="C4982" t="str">
        <f>IFERROR(__xludf.DUMMYFUNCTION("GOOGLETRANSLATE(B4982, ""zh"", ""en"")"),"Good Good")</f>
        <v>Good Good</v>
      </c>
    </row>
    <row r="4983">
      <c r="A4983" s="1">
        <v>5.0</v>
      </c>
      <c r="B4983" s="1" t="s">
        <v>4963</v>
      </c>
      <c r="C4983" t="str">
        <f>IFERROR(__xludf.DUMMYFUNCTION("GOOGLETRANSLATE(B4983, ""zh"", ""en"")"),"Delivery speed well over fifty")</f>
        <v>Delivery speed well over fifty</v>
      </c>
    </row>
    <row r="4984">
      <c r="A4984" s="1">
        <v>5.0</v>
      </c>
      <c r="B4984" s="1" t="s">
        <v>4964</v>
      </c>
      <c r="C4984" t="str">
        <f>IFERROR(__xludf.DUMMYFUNCTION("GOOGLETRANSLATE(B4984, ""zh"", ""en"")"),"Why did domestic goods na I personally do not fit flat earplugs, because few minutes ear pain; ear is better, that is a long time to wear always feel a little itch. Or to find a circle with this type of lug, breathable, earphone unit is also large. Looks "&amp;"like ear style headphone product is very small. Headset feeling good, sound field larger than the vocal front, low frequency is there, much better than earplugs. Quality is very worthy of the price.")</f>
        <v>Why did domestic goods na I personally do not fit flat earplugs, because few minutes ear pain; ear is better, that is a long time to wear always feel a little itch. Or to find a circle with this type of lug, breathable, earphone unit is also large. Looks like ear style headphone product is very small. Headset feeling good, sound field larger than the vocal front, low frequency is there, much better than earplugs. Quality is very worthy of the price.</v>
      </c>
    </row>
    <row r="4985">
      <c r="A4985" s="1">
        <v>5.0</v>
      </c>
      <c r="B4985" s="1" t="s">
        <v>4965</v>
      </c>
      <c r="C4985" t="str">
        <f>IFERROR(__xludf.DUMMYFUNCTION("GOOGLETRANSLATE(B4985, ""zh"", ""en"")"),"Recommend cost-effective to buy two two bathrooms with more than six months of good water comfortable shape beautiful strong push")</f>
        <v>Recommend cost-effective to buy two two bathrooms with more than six months of good water comfortable shape beautiful strong push</v>
      </c>
    </row>
    <row r="4986">
      <c r="A4986" s="1">
        <v>5.0</v>
      </c>
      <c r="B4986" s="1" t="s">
        <v>4966</v>
      </c>
      <c r="C4986" t="str">
        <f>IFERROR(__xludf.DUMMYFUNCTION("GOOGLETRANSLATE(B4986, ""zh"", ""en"")"),"Le is not comfortable with a little, very comfortable, much cheaper than a treasure it")</f>
        <v>Le is not comfortable with a little, very comfortable, much cheaper than a treasure it</v>
      </c>
    </row>
    <row r="4987">
      <c r="A4987" s="1">
        <v>5.0</v>
      </c>
      <c r="B4987" s="1" t="s">
        <v>4967</v>
      </c>
      <c r="C4987" t="str">
        <f>IFERROR(__xludf.DUMMYFUNCTION("GOOGLETRANSLATE(B4987, ""zh"", ""en"")"),"There are not as dry eyes feel the effect after eating. I believe self Amazon")</f>
        <v>There are not as dry eyes feel the effect after eating. I believe self Amazon</v>
      </c>
    </row>
    <row r="4988">
      <c r="A4988" s="1">
        <v>5.0</v>
      </c>
      <c r="B4988" s="1" t="s">
        <v>4968</v>
      </c>
      <c r="C4988" t="str">
        <f>IFERROR(__xludf.DUMMYFUNCTION("GOOGLETRANSLATE(B4988, ""zh"", ""en"")"),"good quality!")</f>
        <v>good quality!</v>
      </c>
    </row>
    <row r="4989">
      <c r="A4989" s="1">
        <v>5.0</v>
      </c>
      <c r="B4989" s="1" t="s">
        <v>4969</v>
      </c>
      <c r="C4989" t="str">
        <f>IFERROR(__xludf.DUMMYFUNCTION("GOOGLETRANSLATE(B4989, ""zh"", ""en"")"),"Upper comfortable size is just the most comfortable shoes that fit the front upper instep of the foot feeling overall feeling slightly harder palm sports shoes but certainly not as good design sense to wear stylish plus price class delivery speed very sat"&amp;"isfied with the shopping")</f>
        <v>Upper comfortable size is just the most comfortable shoes that fit the front upper instep of the foot feeling overall feeling slightly harder palm sports shoes but certainly not as good design sense to wear stylish plus price class delivery speed very satisfied with the shopping</v>
      </c>
    </row>
    <row r="4990">
      <c r="A4990" s="1">
        <v>5.0</v>
      </c>
      <c r="B4990" s="1" t="s">
        <v>4970</v>
      </c>
      <c r="C4990" t="str">
        <f>IFERROR(__xludf.DUMMYFUNCTION("GOOGLETRANSLATE(B4990, ""zh"", ""en"")"),"Dial thick! good service! What goods did not say, is written above the thickness of 7 mm, and finally it seems, actually more than 11 mm, thick, and if you fancy thickness, you can detoxify a. However, Amazon's overseas purchase of speed and service point"&amp;" or praise, all five-star rating to the services, goods made reservations a review!")</f>
        <v>Dial thick! good service! What goods did not say, is written above the thickness of 7 mm, and finally it seems, actually more than 11 mm, thick, and if you fancy thickness, you can detoxify a. However, Amazon's overseas purchase of speed and service point or praise, all five-star rating to the services, goods made reservations a review!</v>
      </c>
    </row>
    <row r="4991">
      <c r="A4991" s="1">
        <v>5.0</v>
      </c>
      <c r="B4991" s="1" t="s">
        <v>4971</v>
      </c>
      <c r="C4991" t="str">
        <f>IFERROR(__xludf.DUMMYFUNCTION("GOOGLETRANSLATE(B4991, ""zh"", ""en"")"),"I bought for someone, not for myself i do not know how it looks like and what's the quality, but seems fine since no one complains about it")</f>
        <v>I bought for someone, not for myself i do not know how it looks like and what's the quality, but seems fine since no one complains about it</v>
      </c>
    </row>
    <row r="4992">
      <c r="A4992" s="1">
        <v>5.0</v>
      </c>
      <c r="B4992" s="1" t="s">
        <v>4972</v>
      </c>
      <c r="C4992" t="str">
        <f>IFERROR(__xludf.DUMMYFUNCTION("GOOGLETRANSLATE(B4992, ""zh"", ""en"")"),"Timberland Boots shoes strong durable, very good.")</f>
        <v>Timberland Boots shoes strong durable, very good.</v>
      </c>
    </row>
    <row r="4993">
      <c r="A4993" s="1">
        <v>5.0</v>
      </c>
      <c r="B4993" s="1" t="s">
        <v>4973</v>
      </c>
      <c r="C4993" t="str">
        <f>IFERROR(__xludf.DUMMYFUNCTION("GOOGLETRANSLATE(B4993, ""zh"", ""en"")"),"Goods quite satisfied, completely different too large, relatively satisfied with the recommended product, completely different too large, it is recommended")</f>
        <v>Goods quite satisfied, completely different too large, relatively satisfied with the recommended product, completely different too large, it is recommended</v>
      </c>
    </row>
    <row r="4994">
      <c r="A4994" s="1">
        <v>5.0</v>
      </c>
      <c r="B4994" s="1" t="s">
        <v>4974</v>
      </c>
      <c r="C4994" t="str">
        <f>IFERROR(__xludf.DUMMYFUNCTION("GOOGLETRANSLATE(B4994, ""zh"", ""en"")"),"Satisfied with the purchase of overseas work well, very satisfied. See details should not imitation, UK delivery flow display is shipped, it is determined to be authentic. The size of the words, height 180, weight 80Kg, bought L is the number of summer to"&amp;" try a little bit loose, winter wear would be more appropriate. Affordable, cheaper than the same style AIU hundreds, more cheaper than domestic, get the goods was relieved. 😊")</f>
        <v>Satisfied with the purchase of overseas work well, very satisfied. See details should not imitation, UK delivery flow display is shipped, it is determined to be authentic. The size of the words, height 180, weight 80Kg, bought L is the number of summer to try a little bit loose, winter wear would be more appropriate. Affordable, cheaper than the same style AIU hundreds, more cheaper than domestic, get the goods was relieved. 😊</v>
      </c>
    </row>
    <row r="4995">
      <c r="A4995" s="1">
        <v>5.0</v>
      </c>
      <c r="B4995" s="1" t="s">
        <v>4975</v>
      </c>
      <c r="C4995" t="str">
        <f>IFERROR(__xludf.DUMMYFUNCTION("GOOGLETRANSLATE(B4995, ""zh"", ""en"")"),"Okay not to wear, feeling very thick. And other wear again an additional evaluation of it.")</f>
        <v>Okay not to wear, feeling very thick. And other wear again an additional evaluation of it.</v>
      </c>
    </row>
    <row r="4996">
      <c r="A4996" s="1">
        <v>5.0</v>
      </c>
      <c r="B4996" s="1" t="s">
        <v>4976</v>
      </c>
      <c r="C4996" t="str">
        <f>IFERROR(__xludf.DUMMYFUNCTION("GOOGLETRANSLATE(B4996, ""zh"", ""en"")"),"Most worth having a very, very worthy shoes have, both the appearance and comfort are you most worth having")</f>
        <v>Most worth having a very, very worthy shoes have, both the appearance and comfort are you most worth having</v>
      </c>
    </row>
    <row r="4997">
      <c r="A4997" s="1">
        <v>5.0</v>
      </c>
      <c r="B4997" s="1" t="s">
        <v>4977</v>
      </c>
      <c r="C4997" t="str">
        <f>IFERROR(__xludf.DUMMYFUNCTION("GOOGLETRANSLATE(B4997, ""zh"", ""en"")"),"Then definitely buy a smaller size than the domestic to domestic wear M, to buy the S number. Or else to regret, the feeling will wear clothing with big pants")</f>
        <v>Then definitely buy a smaller size than the domestic to domestic wear M, to buy the S number. Or else to regret, the feeling will wear clothing with big pants</v>
      </c>
    </row>
    <row r="4998">
      <c r="A4998" s="1">
        <v>2.0</v>
      </c>
      <c r="B4998" s="1" t="s">
        <v>4978</v>
      </c>
      <c r="C4998" t="str">
        <f>IFERROR(__xludf.DUMMYFUNCTION("GOOGLETRANSLATE(B4998, ""zh"", ""en"")"),"Shoe laces good question, but I'm speechless laces")</f>
        <v>Shoe laces good question, but I'm speechless laces</v>
      </c>
    </row>
    <row r="4999">
      <c r="A4999" s="1">
        <v>3.0</v>
      </c>
      <c r="B4999" s="1" t="s">
        <v>4979</v>
      </c>
      <c r="C4999" t="str">
        <f>IFERROR(__xludf.DUMMYFUNCTION("GOOGLETRANSLATE(B4999, ""zh"", ""en"")"),"Smelly boots ever OMG, they are too smelly to wear.I have to put them outside to release the smell.I wonder why these expensive boot (made in USA) have such bad smell ....")</f>
        <v>Smelly boots ever OMG, they are too smelly to wear.I have to put them outside to release the smell.I wonder why these expensive boot (made in USA) have such bad smell ....</v>
      </c>
    </row>
    <row r="5000">
      <c r="A5000" s="1">
        <v>3.0</v>
      </c>
      <c r="B5000" s="1" t="s">
        <v>4980</v>
      </c>
      <c r="C5000" t="str">
        <f>IFERROR(__xludf.DUMMYFUNCTION("GOOGLETRANSLATE(B5000, ""zh"", ""en"")"),"I too purchased in the country is also in accordance with the size of the purchase lee, too big, you can install two of me. . . . . Fortunately, there are stores can change, after the very good. Mainly the waist and legs, too fat, this should be a Europea"&amp;"n version of the size of it")</f>
        <v>I too purchased in the country is also in accordance with the size of the purchase lee, too big, you can install two of me. . . . . Fortunately, there are stores can change, after the very good. Mainly the waist and legs, too fat, this should be a European version of the size of it</v>
      </c>
    </row>
    <row r="5001">
      <c r="A5001" s="1">
        <v>3.0</v>
      </c>
      <c r="B5001" s="1" t="s">
        <v>4981</v>
      </c>
      <c r="C5001" t="str">
        <f>IFERROR(__xludf.DUMMYFUNCTION("GOOGLETRANSLATE(B5001, ""zh"", ""en"")"),"Three in two different sizes, which one than the other two short codes are in accordance with the number of people standard, domestic wear L, I bought the M-code, opened it, inside as long as three two, one than the other two short, I doubt the authentici"&amp;"ty of this stuff, do not say overseas purchase on fidelity, I really do not believe there will be such a commodity, returns trouble, anyway, to wear, just short of a length.")</f>
        <v>Three in two different sizes, which one than the other two short codes are in accordance with the number of people standard, domestic wear L, I bought the M-code, opened it, inside as long as three two, one than the other two short, I doubt the authenticity of this stuff, do not say overseas purchase on fidelity, I really do not believe there will be such a commodity, returns trouble, anyway, to wear, just short of a length.</v>
      </c>
    </row>
  </sheetData>
  <drawing r:id="rId1"/>
</worksheet>
</file>