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in_amazon_es_to_translate" sheetId="1" r:id="rId3"/>
  </sheets>
  <definedNames/>
  <calcPr/>
</workbook>
</file>

<file path=xl/sharedStrings.xml><?xml version="1.0" encoding="utf-8"?>
<sst xmlns="http://schemas.openxmlformats.org/spreadsheetml/2006/main" count="5003" uniqueCount="4973">
  <si>
    <t>labels</t>
  </si>
  <si>
    <t>text</t>
  </si>
  <si>
    <t>translation</t>
  </si>
  <si>
    <t>Tendré que ir yo al otorrino?......o ustedes, señores criticos...... Que malas son las expectativas de algun producto, cuando antes de comprarlo, buscas referencias y opiniones y estas son muy buenas. Es lo que me ha pasado con estos Sony. Habia leido cosas tan buenas de ellos, queeeee.........en fin. Entiendo que la gente se compre unos auriculares por primera vez y estos les parezcan fantasticos, lo entiendo (de hecho opino que el 90% de los comentarios en amazon se basan en eso y en los gustos personales), pero la verdadera critica de un producto viene cuando uno a podido comparar in situ con otros productos. No entiendo como las reviews en internet sobre este producto son tan buenas (bueno igual si.....¿porque tiran de talonario? 😁). Este auricular es mediocre cuando comparas. El principal lastre son los horrorosos bajos profundos y carentes de pegada que tienen, solo consiguen ensuciar (en toda la extension de la palabra) las "decentes" frecuencias medias y agudas. No se como pueden estar tan mal calibrados de fabrica, porque si, se puede "solucionar" con ecualizacion, pero me parece un fallo tremendo por parte de Sony. Su sonido es desinflado, sin punch (pegada), no emocionan. Te das cuenta cuando los enchufas a un amplificiador de auriculares con su respectivo cable y le metes volumen. Los bajos colapsan las demas frecuencias enseguida y el apelmazamiento del sonido es para salir corriendo 😁. Tengo unos V-MODA Crossfade 2 Wireless (tambien sin cables), que aun sin llegar a la excelencia sonora, son mucho mejores, se nota que tienen potencia. No me voy adentrar en otros detalles, pues para mi priva el sonido por encima de todo. Solo comentare que la construccion me ha parecido endeble para el precio, (el giro de las copas tiene una pinta de partirseeee....), y que el microfono es muy mediocre. Algo positivo? Si, el sistema de control tactil de ellos me parece que tendria que ser un referente en las demas marcas, los gestos van muy bien. Tambien la cancelacion de ruido, realmente impactante, te absorve las orejas directamente, muy muy bueno. Resumiendo: Creo que el mercado de los auriculares sin cable necesita mas variedad de modelos, porque si estos son los referentes cuando nos movemos en los 300 euroooos.......🙄</t>
  </si>
  <si>
    <t>Buena Un tejido un poco trasparente, fresquera y buena para el verano</t>
  </si>
  <si>
    <t>Mala experiencia Un engaño, no es de plata, soy alérgica y solo puedo usar plata o oro, he confiado en este provedor de amazon y ahora tengo la oreja inflamada..mucha rabia.</t>
  </si>
  <si>
    <t>Bastante bien Me gustan mucho, y son de buen material, buena hechura, cómodos (lo que pueden apretándome de más) aunque no sé si originales. Lo malo es que tallan muy pequeño (luego me dijeron que Nike es así). En fin, estoy ancheándolos un poco con el uso, y con calcetín más bien fino, ya van bien. Si no fuese por ser pequeños para el número les pondría 5 estrellas.</t>
  </si>
  <si>
    <t>Perfecto Justo lo que esperaba, de calidad y precio aceptable.</t>
  </si>
  <si>
    <t>colgante en flor Precioso</t>
  </si>
  <si>
    <t>Rápido y correcto Rápido y correcto</t>
  </si>
  <si>
    <t>Gran calidad a un reducido precio Es un reloj digital muy completo, sigue manteniendo sus características que lo han hecho tan célebre sin renunciar a una calidad excelsa. Cumple su función con creces. No se puede pedir más por menos a un reloj de éstas características.</t>
  </si>
  <si>
    <t>Estoy encantado Las he comprado para utilizarlas para ordenar los cables de casa y alguna otra chapuza y estoy muy contento, cumplen su función. Incluso las he usado para mantener de forma suspendida a un router y unos enchufes detrás de un armario, genial</t>
  </si>
  <si>
    <t>Genial Recomendable</t>
  </si>
  <si>
    <t>Recomendables 100% Carpetas de plastico perfectas para organizar tus papeles en casa, ademas se notan que son de buena calidad y no como otras que he visto. Recomendables 100%.</t>
  </si>
  <si>
    <t>Buen producto Probado y muy buena relación calidad precio, producto recomendado. Calidad de sonido buena y cumple con las especificaciones, bien, medida según especificaciones</t>
  </si>
  <si>
    <t>Precioso El collar es tal y como aparece en la foto, es muy bonito, de plata, y la medida es ideal se quedan los dos corazones bien posicionado en el cuello. Totalmente recomendable.</t>
  </si>
  <si>
    <t>Excelente compra. Geniales, yo creo que son originales. Sientan bien y son comodas. Mis primeras new balance. Contento con la compra y el precio en oferta.</t>
  </si>
  <si>
    <t>Recomendado Súper cómodas</t>
  </si>
  <si>
    <t>Buen producto! Este bolso se lo he regalado a mi padre que necesitaba cambiar el suyo, esta encantado dice que es muy bonito y que la calidad esta estupendamente bien, he esperado tiempo para valorar el producto y la verdad que con el paso del tiempo no se deteriora mucho, y eso que mi padre le da mucho uso, casi a diario. En cuanto al precio me parece justo.</t>
  </si>
  <si>
    <t>Como me esperaba. Me ha gustado.</t>
  </si>
  <si>
    <t>Durará más años que yo. Y eso me inquieta ;D Te lo pones y si quieres ya no te lo quitas nunca más. Se pone solo a hora con precisión milimétrica cada noche, es resistente a todo y se carga con la luz solar solamente de llevarlo puesto. Tenia un smartwatch y desde que tengo éste lo he guardado en la mesita de noche y solo me lo pongo para correr. Encima es precioso y atemporal.</t>
  </si>
  <si>
    <t>Calentador de agua fantástico La mejor compra que he realizado!</t>
  </si>
  <si>
    <t>Pendientes preciosos Me han encantado</t>
  </si>
  <si>
    <t>Bonitos Muy bonitos y no se ponen feos, le han encantado.</t>
  </si>
  <si>
    <t>Genial Todo perfecto</t>
  </si>
  <si>
    <t>Muy bien Los compré para un regalo y le encantó. Para el precio que tiene la calidad no parece  mala. Asique una buena compra.</t>
  </si>
  <si>
    <t>Que no me los pondre los regalare Parecen de buena calidad pero aprietan mucho en la parte del empeine...</t>
  </si>
  <si>
    <t>Un buen micro para los pocos exigentes Es un bueno micro, pero al probarlo veo que no es lo que busco, quizás un modelo superior para mi gusto estaría mejor.  Si quieres grabar vídeos domésticos está perfecto, pero en mi caso para Youtube no cumple las espectativas.</t>
  </si>
  <si>
    <t>Son bonitas Son lijeras pero no las puedo usar cuando andas hacen mucho ruido y molestan</t>
  </si>
  <si>
    <t>Buena calidad de producto. Muy buena sujeción y calidad. La he usado para pegar una pizarra magnética de una tamaño algo superior a un A4 y ha aguantado sin problema. Muy recomendable.</t>
  </si>
  <si>
    <t>genial buena relación calidad precio</t>
  </si>
  <si>
    <t>Bonito Colgante de plata con cadena fina de largo medio. Sencillo y muy combinable. De momento no se ha ennegrecido ni han aparecido otros defectos. ¡Magnífico precio con la super-rebaja!</t>
  </si>
  <si>
    <t>Recomendable Un reloj recomendable, de tamaño y correa muy similares al conocido f 91 de toda la vida. Un poco más gordito lo que viene siendo el reloj pero de dimensiones casi iguales. Me gusta porque muestra el día y el mes, su precio es excelente para lo que ofrece un reloj de la calidad Casio, las correas aprox. a los dos años se rompen y no merece la pena comprar una por el precio por lo que decidí probar con este modelo.</t>
  </si>
  <si>
    <t>Fenomenal Fenomenales</t>
  </si>
  <si>
    <t>Rosaio Muy bueno mejor de lo que esperaba y muy bonito el precio exelente mucho más bonito cuando lo tienes delante que en la foto</t>
  </si>
  <si>
    <t>Muy bonito Este despertador es precioso,tiene muchos tonos de color y además lleva radio y también sonido para relajarte y dormirte ,la alarma tiene muchos sonidos y se enciende La Luz cuando suena</t>
  </si>
  <si>
    <t>Tamaño Tamaño, espacio</t>
  </si>
  <si>
    <t>Buen sonido Fácil de conectar, buen sonido. Son perfectos para el día a día quizás no sean los mejores pero calidad precio son muy buenos los recomiendo.</t>
  </si>
  <si>
    <t>Botas hi-tec Comodas, calientes y muy ligeras. Mejor de lo que esperaba aún teniendo otras anteriores de la misma marca</t>
  </si>
  <si>
    <t>Practico Llego rápido tiene buen precio es lo que esperaba. Lo recomiendo</t>
  </si>
  <si>
    <t>Util Un poco lento, pero calienta bien</t>
  </si>
  <si>
    <t>Entrega muy rapida Es lo que esperaba</t>
  </si>
  <si>
    <t>Bien Bien</t>
  </si>
  <si>
    <t>preciosa y muy practica Es preciosa, muy elegante, sencilla, pequeña y muy rápida. Perfecta para calentar agua, hasta un litro, yo la utilizo hasta para hervir el agua para cocinar. Muy recomendable</t>
  </si>
  <si>
    <t>Muy buen biberon Se lo compre a mi bebe y fue el que mas utilizó, lo compré porque me habian regalado el calentador de phillips que va con estos biberones. Lo unico que me parece que son un poco caros</t>
  </si>
  <si>
    <t>Muy comodo Estoy super-encandado, suelo salir a correr y lo que más valoro es la comodidad del producto y sobre todo los bolsillos laterales y el trasero.</t>
  </si>
  <si>
    <t>Top deportivo Una pasada. En todos los sentidos. Calidad precio todo. Son súper cómodos suaves. Me encantan.</t>
  </si>
  <si>
    <t>Buenos zapatillas de seguridad De las mas comodas que he tenido ,muy ligeras y resisten muy bien</t>
  </si>
  <si>
    <t>Muy bueno Muy buena</t>
  </si>
  <si>
    <t>Lo amo Todo él es precioso...sus rectas, sus curvas, el tamaño contenido, el marco que envuelve esa pantalla que parece un misterio...lo sedoso de su tacto... ooohhh siiiii!!!!, lo amo!</t>
  </si>
  <si>
    <t>Buen disco facil de instalar, y de momento, excelente rendimiento. Buen producto. Lo recibí rápido y lo instalé más rápido. Hasta ahora funciona muy bien.</t>
  </si>
  <si>
    <t>Garantía de calidad Bosch Excelente picadora con una relación calidad-precio muy buena. La he utilizado para picar galletas y alguna fruta, y estoy muy contenta con el resultado. También he utilizado el disco batidor para montar nata y se monta en segundos con muy buena consistencia. La marca Bosch es de excelente calidad.</t>
  </si>
  <si>
    <t>Izquierda Recibido Derecha anunciado en web Producto que difiere bastante del original Fabricado en China lo pone en el exterior del paquete Cuero barato y mate sin tratar Trabajado burdamente. Gracias</t>
  </si>
  <si>
    <t>Menta o anisado?... Huele bien, pero no es la menta que yo quiero. Más bien es un olor anisado, dulzón, puede que estuviera yo confundida con el concepto...</t>
  </si>
  <si>
    <t>Aun no ha llegado No se que tal viene</t>
  </si>
  <si>
    <t>reloj mitico de casio todo un clasico de los años 80 los botones estan mu duros..para ver los numeros se necesita LUPA el diseño muy bueno y comodo creia que la iluminacion seria en azul y es blanca como los casio antiguos buen percio diseño caldad----ES UN CASIO</t>
  </si>
  <si>
    <t>Buena bonita y barata Es muy cómoda de usar ya que es bastante ligera. Se desmonta y se limpia fácil. No es la más potente pero para purés y picar algo de verdura que es lo que solemos usar va perfectamente.</t>
  </si>
  <si>
    <t>Genial de precio He comparado precios en diferentes tiendas y aquí en Amazon me salía mucho mejor de precio. La uso para la cámara de fotos y va perfecta. Recomiendo mucho la marca Kigston.  El paquete incluye: 1 x tarjeta micro de memoria 1 x adaptador</t>
  </si>
  <si>
    <t>Muy bien Me ha gustado mucho este cortavientos,el color es bonito, tal como se ve en la imagen. Lleva bolsillos, un gorro guardado en el cuello, forro...en definitiva, buen producto.</t>
  </si>
  <si>
    <t>succion es bueno</t>
  </si>
  <si>
    <t>BOLSO BANDOLERA HOMBRE El bolso le encantó a mi chico xq le vino muy bien con todos los bolsillos q lleva y el precio muy bueno .</t>
  </si>
  <si>
    <t>Buena relación calidad precio Hace lo que muestra la descripción del producto si más. Es rápido, barato y como siempre envío excelente, no obstante creo que por el precio y con los tiempos que corren es mejor optar por memorias de 32 g en adelante</t>
  </si>
  <si>
    <t>Muy confortables. Cómodas y útiles para el ejercicio. Muy confortables.</t>
  </si>
  <si>
    <t>La capacidad y calidad Me ha gustado en general</t>
  </si>
  <si>
    <t>Buena batidora Todo ok. 700 watios a buen precio</t>
  </si>
  <si>
    <t>Perfectos Calidad-Precio, probablemente, lo mejor del mercado. Cómodos, de una calidad excepcional y muy buen acabado. A pesar de ser un armatoste, porque no son para salir a la calle con ellos, se nota que tienen un acabado muy bueno y que son de buenos materiales. Perfectos si te gusta escuchar música en casa como deberías de oirla a un precio fantástico.</t>
  </si>
  <si>
    <t>Calidad precio perfecto Hacen su funcion perfectamente Buena calidad</t>
  </si>
  <si>
    <t>Recomendable Recomendable! Estoy muy contento con este producto, Muy cómoda para verano, queda muy bien, aunque se destiñe un poco después de varios lavados, aún así me comprado varios colores.</t>
  </si>
  <si>
    <t>Diseño, discretos y cómodos Auriculares inalámbricos con un diseño muy atractivos y bastante discretos. Se adaptan perfectos a la oreja y viene con varios adaptadores para diferentes tamaños de conducto auditivo. No te aíslan totalmente del ruido pero si que se nota. La calidad del sonido es bastante buena y lo más importante es que no se caen a la hora de hacer deporte.  Calidad precio espectacular. No llevan botón como tal, son táctiles y sincronizan fácilmente. El único pero es que las instrucciones no están en castellano pero si en ingles, ademas hay un montón de vídeos para ver cómo funcionan. Compra recomendada.</t>
  </si>
  <si>
    <t>muy bonita Son muy chulas.. y buenas .. Pero yo recomendaría para un número 42 de pié un 43/44 número de Brasil.. Porque queda muy justas y cuando se sale un poquito el pié..llegan hacer daño..</t>
  </si>
  <si>
    <t>Relajante La he estado usando un mes y va de fábula. Me resulta muy relajante y me quita las agujetas después de entrenar. Un acierto.</t>
  </si>
  <si>
    <t>La misma función que otros más caros! Me dejaron uno parecido pero más caro y enseguida pensé que me compraría el mío propio,este es más barato y hace la misma función. Va muy bien,sus rodillos parecen las manos de un masajista,una maravilla cuando cambia de sentido y tiene la opción de ponerlo con calor me va bien y he pedido otro para regalar</t>
  </si>
  <si>
    <t>Muy bien Lo que se espera</t>
  </si>
  <si>
    <t>Masajea muy bien los pies Muy Buen producto , después de un largo día de trabajo, llego a mi muy cansado, enciendo el masajeador de pies y es como estar en las nubes, estoy muy contento con esta compra la verdad, recomiendo 100%.</t>
  </si>
  <si>
    <t>Calidad precio imbatible Para el precio, comparados con otros auriculares mas caros, nada q envidiarles.... El secreto aparte d que tienen buen sonido es, q insonorizan bien.</t>
  </si>
  <si>
    <t>Excelentes Me han durado todo un año. Me las he puesto casi todos los días. La lavé en la lavadora y la cargué. Se me corrió el color por la banda blanca</t>
  </si>
  <si>
    <t>Ideales para caminar mucho. Elegid siempre un numero menos y acertareis. Muy muy cómodas y faciles de limpiar. Me recorri toda Roma con ellas y los pies... mejor que nunca. Las recomiendo. El envio rapidisimo.</t>
  </si>
  <si>
    <t>Las más fiables Primero decir que soy fotógrafo profesional y mis principales trabajos son bodas en las que gasto muchos gigas en fotos.  Compré la tarjeta de 128 GB CF para no tener que cambiar entre tarjetas, por lo que más bien fue por comodidad. Trabajo con un SD de 128 y ahora ésta de 128 en grabación simultánea, por lo que estoy grabando las fotos en dos tarjetas a la vez (por temas de seguridad).  Uso la MKIII por lo que como muchos sabréis, al usar SD baja el nivel de velocidad directamente del protocolo para CF por lo que la velocidad no era un factor fundamental. Yo siempre he usado Extreme Pro aunque tienen muchos años y son UDMA 6, mientras que éste modelo al ser UDMA 7 y aún sin ser de la gama PRO, da una mayor velocidad que la anterior.  Siempre uso Sandisk pues en casi 10 años de profesión nunca he tenido problemas de que la tarjeta se estropee (cruzo los dedos).  Hoy voy a darle caña a esta nueva CF y a ver como se comporta trabajando con miles de fotos en pocas horas.  La compré en una oferta Flash por 75€, no la he visto más barata por ahora.</t>
  </si>
  <si>
    <t>Un acierto Perfectas. Tenía otras en otro color, y estas me han salido mucho más baratas y están muy bien.</t>
  </si>
  <si>
    <t>Recambio No lo recomiendo si es para tarima ya que no se exprime lo debido Si está bien para abusar de espalda a la hora de exprimir pero para duelo no delicado frente al agua</t>
  </si>
  <si>
    <t>Aceptable Como perforadora está muy bien, lo único que el indicador de donde poner el papel se rompió al cabo de un año. Me duró 3 años de uso diario, que no está mal, pero podría ser mejor. Se me rompió por el desgaste de los muelles.</t>
  </si>
  <si>
    <t>Talla NO se corresponde Normalmente uso una 38 y la goma de este pantalón me aprieta muchísimo! Sin embargo subiéndomelo+arriba de la cintura midiendo 1,69 me queda bien de largo🤷🏻‍♀️</t>
  </si>
  <si>
    <t>Mala experiencia La vidal útil de esta plancha es (con suerte) de una semana. Rápidamente comienza a perder agua y la placa se oxida.</t>
  </si>
  <si>
    <t>Todo perfecto, un poco suelto por las tiras delanteras anudadas, tengo otro dio un nudo y sujeta más Queda un poco suelto el pie en la parte de delante por las tiras anudadas, pero por el resto perfecto</t>
  </si>
  <si>
    <t>Marcas de las costuras Tienen algunas costuras que dejan marcas de circulación mejor pedir una talla más de lo normal por lo demás todo bien</t>
  </si>
  <si>
    <t>Bien Pero Con algun pero La tarjeta funciona bastante bien. Le tengo puesto una micro sd de 64 en el slot 1 y una de 32 en el slot 2. Juntas me dan 87gb y la reconoce perfectamente la psp, la verdad q es una gozada tener todo lo que quieras metido en la tarjeta. El pero viene en que alguna vez la psp al encender se queda colgada con la pantalla en negro con la lucecita de la ms parpadeando. La reinicias y a mi a la segunda me enciende bien. También pasa alguna vez cargando los juegos. En general stoy bastante contento con ella</t>
  </si>
  <si>
    <t>Cumplen su función Creo que no son originales, tengo los originales que venían con el Note 3 y hay diferencias aunque están muy conseguidos. El original viene con un cable plano y mas robusto, estos tienen el cable redondo y fino. Se oyen bastante bien y como la forma del auricular y la goma es igual que la de Samsung se acoplan perfectamente, creo que por el precio que tiene no se puede pedir mas. En general, bastante contento de momento. Lo de la duración es otro cantar que el tiempo dirá.</t>
  </si>
  <si>
    <t>Todo bien. Buen producto</t>
  </si>
  <si>
    <t>Converse Llevo años llevando estás zapatillas</t>
  </si>
  <si>
    <t>Bien, pero sin cordones Sin cordones</t>
  </si>
  <si>
    <t>De calidad y barato Buenisima calidad! Ha llegado puntual.</t>
  </si>
  <si>
    <t>Buen producto Muy comadas, perfectas frescas y ventiladas</t>
  </si>
  <si>
    <t>Fantásticas zapatillas Comodidad y estética unidas en una. La rapidez y eficacia de Amazon de 10.</t>
  </si>
  <si>
    <t>Perfecto Descripción del producto correcta</t>
  </si>
  <si>
    <t>Cascos Bluetooth La compra de este artículo fue por que necesitaba unos cascos para ir a correr y quitarme del lío de los cables, me llegaron hace un par de días y la verdad es que desde que abrí el paquete me sorprendieron tanto por la presentación en la caja como por supuesto la sonoridad y comodidad al llevarlos. Conectan con el Bluetooth del móvil solo al encerdenderlos por lo que veo un producto perfecto en relación calidad-precio con lo que se oferta en el mercado. Muy buena compra.</t>
  </si>
  <si>
    <t>Muy bueno &lt;div id="video-block-R1KAT4SYKWFAQ2" class="a-section a-spacing-small a-spacing-top-mini video-block"&gt;&lt;div tabindex="0" class="airy airy-svg vmin-supported airy-skin-beacon" style="background-color: rgb(0, 0, 0); position: relative; width: 100%; height: 100%; font-size: 0px; overflow: hidden; outline: none;"&gt;&lt;div class="airy-renderer-container" style="position: relative; height: 100%; width: 100%;"&gt;&lt;video id="15" preload="auto" src="https://images-eu.ssl-images-amazon.com/images/I/91rSXqzoMNS.mp4" style="position: absolute; left: 0px; top: 0px; overflow: hidden; height: 1px; width: 1px;"&gt;&lt;/video&gt;&lt;/div&gt;&lt;div id="airy-slate-preload" style="background-color: rgb(0, 0, 0); background-image: url(&amp;quot;https://images-eu.ssl-images-amazon.com/images/I/71ddvnnysqS.png&amp;quot;);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center;"&gt;0:00&lt;/div&gt;&lt;div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value="https://images-eu.ssl-images-amazon.com/images/I/91rSXqzoMNS.mp4" class="video-url"&gt;&lt;input type="hidden" name="" value="https://images-eu.ssl-images-amazon.com/images/I/71ddvnnysqS.png" class="video-slate-img-url"&gt;&amp;nbsp;El peso de mano es perfecto, no será pesado, es muy poderoso, es muy fácil, es fácil batimos los huevos. Lo más importante es que el precio es muy asequible. Vale la pena</t>
  </si>
  <si>
    <t>Buen producto Los compre para ocultar los cables en la parte baja de la mesa y la verdad que para el peso de los cables va perfecta la cinta de pegar que trae, si le saco alguna pega seria que puse dos para sujetar una regleta grande y al final se acabo despegando, pero eso ya se veía venir ya que pesa lo suyo lo bueno las piezas estas tienen un agujero en el centro para poner un tornillo así que todo perfecto.</t>
  </si>
  <si>
    <t>Calidad fabricada por Seagate Estaba dudando entre éste HDD y otro Seagate (un poco más caro). Al recibirlo, veo que las instrucciones, garantía y firmware del producto indican que realmente es de Seagate. Así que contento con la compra. Ya tenía de antes otro disco igual pero de 500Gb. Lo tengo desde hace varios años y cero problemas.</t>
  </si>
  <si>
    <t>Calidad-precio perfecto Relacion calidad peso perfecta. Tiene peso por lo que no se mueve al cortar el celo. Muy recomendable su uso.</t>
  </si>
  <si>
    <t>Muy contento, buen producto. Es bastante efectivo, ha quitado hasta el pegamento que se queda cuando despegas una cinta adhesiva.Lo hemos usado en un obrador de pan y para mi sorpresa es apto para uso alimentario con lo cual es un producto permitido por sanidad para limpieza de establecimientos alimenticios.Lo hemos usado sin rebajar y lo usaremos rebajandolo con agua.</t>
  </si>
  <si>
    <t>Ideal para trail. De calidad, buen tacto y buen ajuste para el trail.</t>
  </si>
  <si>
    <t>pefectos se ajustan aguantan los lavados y no salen pelotillas, quedan muy chulos y no huelen despues de sudarlos mucho los volvere a comprar</t>
  </si>
  <si>
    <t>Perfectos ! Bonitos</t>
  </si>
  <si>
    <t>Gran compra. Gran calidad en los materiales, no se estropea con el sudor. Buena compra!</t>
  </si>
  <si>
    <t>Ordenador nuevo Si quieres un ordenador nuevo, no hace falta que cambies todas las piezas, con que le pongas este SSD notaras que tienes un ordenador nuevo.  Te arranca el PC en 5 segundos, y todas las aplicaciones cargan 10 veces mas rápido. Si instalas los juegos en este disco duro, los tiempos de carga se reducen mil veces.  Compra no recomendable, NECESARIA!</t>
  </si>
  <si>
    <t>Muy Cómodo</t>
  </si>
  <si>
    <t>Masajes? Cumple bajo mínimos su función. Me he quedado algo desilusionado, me esperaba un producto mejor. Si mejoran su producto lo probaría</t>
  </si>
  <si>
    <t>Para aquellos que busquen un pen drive para diario Es un buen pen drive, lo compré porque quería actualizar mi viejo data traveler G1 de 2GB. Cumple correctamente con lo que se espera de un pen drive con el añadido de ser usb 3.0 aunque con las tasas de transferencia mas bajas que puede ofrecer. Si buscais velocidad, este no es el indicado. Si buscais fiabilidad y durabilidad 100% recomendado</t>
  </si>
  <si>
    <t>Suspenso. Eje vaso grande roto. En menos de 6 meses se ha roto el eje del vaso grande, así que ya no sirve para casi nada, solo puedo utilizar el vaso pequeño. Si no fuese por eso, estaría contento, peroooo... SUSPENSO.</t>
  </si>
  <si>
    <t>Para mi una imitación En la mano se ve penoso de terminaciones y aspecto general</t>
  </si>
  <si>
    <t>Muy mala decisión Plásticos de muy mala calidad. Gastas mucho más dinero en una batidora "PRO" y te encuentras con mejores rendimientos en las de 30€. Pésima atención al cliente, saben que usan plásticos de pésima calidad y los excluyen de la garantía. Muy mala elección te prometen una batidora profesional y te encuentras con una batidora del montón a precio de oro. Nunca más.</t>
  </si>
  <si>
    <t>Reloj Casio Buena calidad y muy buen precio, la marca Casio por regla general es un buen acierto, lo único desconocía el embalaje mini caja de cartón y queda un poco pobre cuando se trata de un regalo ;D</t>
  </si>
  <si>
    <t>MUY CONTENTA CON LA COMPRA SON TAL Y COMO ESPERABA, Y LLEGARON A TIEMPO SCKECHER DA UNA TALLA MENOS DE ZAPATILLAS QUE OTRAS MARCAS SON PERFECTAS PARA OTOÑO Y PRIMAVERA, NO SON TAN FRESCAS COMO OTROS MODELOS, Y LA TELA APARENTEMENTE REPELE EL AGUA</t>
  </si>
  <si>
    <t>Bueno pero.. Todo bien,es un relog bonito y resistente pero tiene una pega q no se puede ver bien la parte digital por que es demasiado clara y aveces las agujas lo tapan y no puedes ver la fecha o lo q sea q quieras ver</t>
  </si>
  <si>
    <t>Bien y precio Va bien</t>
  </si>
  <si>
    <t>Joaquin La he usado para rebajar 8 grandes vigas de madera que estaban muy negras, y se ha comportado bien, es perfecta para un bricolaje ocasional.</t>
  </si>
  <si>
    <t>Genial Buen regalo</t>
  </si>
  <si>
    <t>Aspiradora Buenísima, la verdad buena calidad.</t>
  </si>
  <si>
    <t>Todo perfecto Todo perfecto llegando antes de tiempo</t>
  </si>
  <si>
    <t>Genial Excelete, superó mis espectativas.</t>
  </si>
  <si>
    <t>Buen precio Funciona perfectamente, es rápida al pasar fotos al ordenador. La uso con una cámara réflex y de momento sin problemas. Producto muy recomendable</t>
  </si>
  <si>
    <t>Mac pr 2013 ( Cilindro ) No lo detecta, ni con High Sierra ni Mojave,  Un saludo.</t>
  </si>
  <si>
    <t>ATH-M50X Vs V-Moda M100 (Incomparables) Compra los dos!! Excelentes. Cascos de referencia para estudio. Si los vas a usar para producir música adelante. Sonido plano, preciso, poco excitante pero realista y con un nivel de detalle realmente sorprendente. Tienen cierto énfasis en subgraves que se agradece si se usan con música electrónica pero que no emborrona ni perjudica el resto de frecuencias. Para música acústica son increíbles y están a un precio excelente. Causan cierta fatiga tras largos periodos de escucha debido a que aprietan bastante (hay gente que los deja descansar abiertos puestos en una caja para ablandarlos un poco) Por contra no son los más adecuados fuera del ámbito de un estudio. Si lo que quieres es usarlos para pinchar o sobre todo escuchar música electrónica entonces la mejor opción son los V-Moda M100 los cuales tienen un sonido mas excitante con más "punch" y sonido más en V pero con un nivel de calidad sin precedentes y se les puede sacar todo su potencial incluso con dispositivos móviles además de con hardware profesional. (Ni Beats ni historias, están a otro nivel) Igualmente pienso que la gente que compara estos Audio Technica con los M100 no ha debido escuchar los dos juntos en las mismas condiciones por que son sonidos incomparables destinados a cosas diferentes. Hay que tenerlo claro. Por lo que estos cascos cuestan son una maravilla.</t>
  </si>
  <si>
    <t>tarjeta de sonido externa o interface de audio el envio me llegó hace tres días y después de probar esta Beringher UMC204 HD estoy más que satisfecho porque ofrece para un estudio casero muy buenas prestaciones más que aceptables de audio para grabar tus propias maquetas ,lo puedes usar tanto para grabar tu música, como para escuchar sonido en tu pc con unos altavoces de estudio o si quieres puedes enchufarle unos cascos para no molestar ,cuenta con 2 entradas mono para enchufar guitarra bajo o un instrumento de cuerda ,2 entras xlr o canonpara micrófono y por detrás tiene 2 salidas xlr  4 salidas plug estéreo y RCA ,además del conector phatasma de 48 voltios para micros de condensador</t>
  </si>
  <si>
    <t>Complemento positivo. Es un complemento perfecto para el micrófono, sobre todo para reducir en gran medida los ruidos de la calle, centrándose en el sonido principal de la voz.</t>
  </si>
  <si>
    <t>Ok Ok</t>
  </si>
  <si>
    <t>Muy cómodo. Lo recomiendo El envío el día previsto. Es para mi madre (83 años) con mucha artrosis en las manos. Dice q es muy comodo. Está encantada con el cierre delantero. Va a comprar más</t>
  </si>
  <si>
    <t>Funcionalidad Perfecto acabado y muy bien compartimentada Te lacio calidad precio de diez</t>
  </si>
  <si>
    <t>So autonomos en modo radio. Auriculares bluetooth, con ranura para micro SD, manos libres para el tlf y radio FM sin necesidas de conexión al móvil...la verdad es que ofrece un montón de cosas a un precio mas que razonable. Los compré para regalarselos a mi padre aunque los he usado yo unos dias antes para ver como iban y genial. Mi padre muy contento..los compre porque llevan radio y a el le gusta escuchar la radio cuando sale a pintar y no queria unos que le apretasen mucho o de los que se introducen en el oído, dice que le molestan...estos se acoplan muy bien y quedan sujetos por encima de la oreja y por la parte trasera de la cabeza/cuello. A mi se me acolan bien y mi padre que tiene la cabeza un poco más grande también..así que supongo que se acoplaran bien a cualquier persona. Apenas aprietan la oreja con lo que son comodos. En cuanto a calidad de sonido, sobra mucho, se oyen como cuanquier auricular decente. Y la radio no pierde la señal, al menos en la ciudad donde vivo. El regalo le ha gustado mucho, con lo que contento con la compra.</t>
  </si>
  <si>
    <t>Súper rápido el pedido y tal como esperaba Me ha gustado la rapidez y la calidad de las deportivas</t>
  </si>
  <si>
    <t>Muy practico y de calidad. Ya he tenido este mismo modelo en otra casa donde compartia habitación. Al mudarme a la mia propia no dudé en comprarme uno. Es bastante grande y con materiales de calidad.</t>
  </si>
  <si>
    <t>Buen mando Buscaba un mando así para las presentaciones de la universidad y puedo decir que estoy contento, al menos para el uso que voy a darle cumple sobradamente, en un minuto estaba conectado y funcionando. El puntero se ve bien de día en la pantalla del proyector, el resto de funciones imagino que irá bien además se agradece el detalle de la pila incluida.</t>
  </si>
  <si>
    <t>Estupendo Desde q nació es el q utilizamos, y jamás Le ha dado un cólico ni ha tenido gases. Es genial!!</t>
  </si>
  <si>
    <t>Disco duro del año Muy contentos con este disco duro, de hecho hemos comprado varios como este,muy rápidos tanto en escritura como lectura, teniendo en cuenta que es un disco duro líquido.La durabilidad por el momento bien ya veremos dentro de unos años. Si tienes que comprar un disco duro de almacenamiento no busques otro , este es perfecto.</t>
  </si>
  <si>
    <t>Regular, baja velocidad Es una tarjeta que dependiendo para lo que la uses te servirá. Su velocidad de grabación y lectura es lenta para los dispositivos actuales, el mismo móvil lo avisa, ídem con la grabación desde ordenador, por lo que si necesitas servicio rápido, no es tu tarjeta. Si solo quieres almacenamiento sin importar la velocidad, entonces ok, buen precio para el almacenamiento que ofrece.</t>
  </si>
  <si>
    <t>Ideal Lo compré para probar con mi peque que no cogia ningún biberon y este le va fenomenal.</t>
  </si>
  <si>
    <t>Tal y como se ve en la imagen Esta bien</t>
  </si>
  <si>
    <t>no vale para nada. solo se oyen interferencias, he probado todos los canales y a diferentes niveles de sonido. lo voy a devolver.</t>
  </si>
  <si>
    <t>Buena calidad Me gusta que tiene muchos departamentos y varios con cremallera,  no me gusta especialmente el color. El uso pensado es para guardar lo de valor que llevamos a la playa, para los paseos...</t>
  </si>
  <si>
    <t>Ok Jabón escaso pero bien</t>
  </si>
  <si>
    <t>Esta bien! Es cómodo, aunque hubiese pedido una talla más.</t>
  </si>
  <si>
    <t>Ligeras y cómodas Ja tenía unas de la misma marca pero con cordones, así que me atreví con comprar éstas sin. Són muy ligeras y cómodas y tiene un efecto un poco brillante que le dan elegancia y hasta un toque de zapado de vestir.  Muy contenta con ellas...</t>
  </si>
  <si>
    <t>Práctico y cómodo Sencillo y cómodo, para no tener que llevar peso en los bolsillos. Muy práctico para verano, incluso se puede lavar..</t>
  </si>
  <si>
    <t>Gran calidad y muy buen sonido Auriculares de muy buena calidad y sonido. Vienen con una funda dura para protegerlos y se conectan muy fácilmente por bluetooth. Yo los utilizo para el trabajo durante muchas horas y la batería aguanta muy bien. Un acierto haber comprado este producto</t>
  </si>
  <si>
    <t>Clase 10 en todo... Nos encontramos con una Tarjeta SD + Adaptador de "clase 10" en todos sus aspectos. Tasas de lectura y escritura altas que eliminan cualquier demora al hacer uso de ella. El precio sin duda acompaña puesto que nos llevamos una compra maestra a un precio difícil de encontrar en los comercios habituales.  Tras meses de uso en un Xiaomi Redmi Note 2, su rendimiento sigue al nivel del primer día, pudiendo disfrutar de cualquier contenido multimedia sin ningún tipo de problema o demora.  Recomendadisima compra para cualquier equipo electrónico que necesite de estas pequeñas tarjetas de memoria.</t>
  </si>
  <si>
    <t>Tal y como esperaba Muy bien el producto</t>
  </si>
  <si>
    <t>Genial para batidos Me encanta, yo la uso para batidos de fruta y pica el hielo sin problema. Fá il de usar y limpiar. No es silenciosa.</t>
  </si>
  <si>
    <t>Todo perfecto Todo perfecto</t>
  </si>
  <si>
    <t>Satisfecha con mi compra Queda como esperaba. Me gusta como queda. Es cierto que al principio suena, pero a medida que se va ulitizando deja de hacer ese ruido. A mi me gusto bastante.</t>
  </si>
  <si>
    <t>Producto y atención al cliente Me compré estos auriculares el pasado Amazon Prime Day y los estuve usando por unos dos meses, muy contento con ellos, aguantaban muy bien al hacer deporte y al masticar (los puse muy a prueba). Se me cayeron un par de veces por no colocarlos bien del todo, pero sin problemas y todo perfecto. La calidad del sonido es buena gracias a una cancelación de ruido que hace involuntariamente. El micrófono lo he testeado y suena bastante bien, por ese precio merece mucho la pena. Tienen controles táctiles con muchas funciones: Parar y reproducir música, pasar y volver música/vídeo, asistente de voz, responder llamadas, colgar llamadas y no se si me dejo algo más. (No puede subir y bajar volumen). La caja base da para bastantes horas, no tendrás que preocuparte mucho por la batería. El auricular derecho puede funcionar por independiente, pero el izquierdo depende del derecho. Y en cuanto a diseño son bonitos y no ocupan mucho espacio, caben en un bolsillo de sobra. Esta caja de carga está inmantada, aunque probablemente más de una vez tendrás que darle con el dedo para que pille bien la carga.  Yo tuve un problema con ellos, a los dos meses de estarlos usando el soundpeat izquierdo dejó de sonar (sólo el sonido), y al tiempo me pasó lo mismo con el derecho. Por suerte leí en uno de los papeles de la caja que tiene 21 meses de garantía y contacté con el servicio al cliente, que entendió mi probablema y me ofrecieron reembolso o el envío de otros auriculares. A pesar de que haya tenido algún problema con los auriculares quedo bastante satisfecho con el producto, (a pesar de que dejaran de funcionar), y sobretodo con el trato recibido por la empresa, que se mostró bastante comprensiva. Saludos</t>
  </si>
  <si>
    <t>Exclente Reloj Estaba buscando un reloj de una marca que tenga prestigio y cual mejor de casio, el reloj cumple con mis espectativas un bonito diseño, sobrío, no es muy pesado, recomendable</t>
  </si>
  <si>
    <t>Buen Reloj. Buen Reloj. Buena Calidad Materiales si acaso hecho en falta que la hebilla de la correa sea metálica por lo demás bien. No es un reloj pesado ni muy aparatoso.</t>
  </si>
  <si>
    <t>Muy satisfecha Bonita y potente. De momento estoy contenta con todo lo que hago. Textura perfecta.</t>
  </si>
  <si>
    <t>Bueno, bonito y barato. Muy bonito</t>
  </si>
  <si>
    <t>Talla y calidad perfecta El tallaje es perfecto yo uso l y no hay que pedir ni mas grande ni mas pequeña simplemente tu talla la tela es de gran calidad y mos colores se corresponden totalmenten encantado con la marca</t>
  </si>
  <si>
    <t>Lo más importante es que no hace ningún ruido.A mí me encanta los colores y además funciona muy bien Para espacios reducidos , pequeños es perfecto,no hace nada de ruido y las luces son tenías todas.Osea que en dos palabras, es perfecta</t>
  </si>
  <si>
    <t>Muy buena Venía de otra Bapi, La de 850W que se estropeó después de mucho trote. Elegí la misma marca y no me equivoqué. Además la han hecho más potente y algo más compacta. La única pega es que la conexión de algunos accesorios (el brazo o el adaptador para la picadora o las barillas) ha cambiado y no he podido reutilizar todos</t>
  </si>
  <si>
    <t>Volvería a comprarlo Es fácil de utilizar , no ruidoso y bonito para decorar y regalar. Un regalo practico. Encantada</t>
  </si>
  <si>
    <t>Envío correcto y buen precio Para mi talla, el mejor precio del mercado con diferencia. Son los náuticos más resistentes de todos los que he probado. La calidad y acabdo de los materiales es muy buena</t>
  </si>
  <si>
    <t>Preciosas me encantan Muy cómodas me encantan igual un pelín justa de talla</t>
  </si>
  <si>
    <t>Buen cable Lo uso a diario junto con una focusrite scarlett 2i4 y un micrófono akg p120 y la verdad que perfecto, sin interferencias y buen anclaje, no baila nada. la construcción tiene muy buena pinta para su precio.  Totalmente recomendado.</t>
  </si>
  <si>
    <t>Siente el poder en tus manos Que para ser una aspiradora de batería aspira como una con cable. Es verdad que la duración de la batería de  "hasta 60min" es con la velocidad 1 de aspiración pero por ahora no me he visto en la necesidad de subir a 2 o al turbo. La recomiendo</t>
  </si>
  <si>
    <t>Mar Muy fina. Su aspecto no es agradable. No me gusta. Es muy fina y parece una cuerda transparente. No lo recomiendo.</t>
  </si>
  <si>
    <t>No es cuero..., aunque quedan bien No son de cuero como indica, y no parecen demás resistentes...,eso si son muy cómodas de poner y quitar y al no ser cuero se adaptan mas rápido.</t>
  </si>
  <si>
    <t>Alberto Descontento, biene en un estuche que no corresponde, estando este roto para que puedan entrar la escuadra y el cartabon y este ultimo esta dañado en una punta, cosa que tampoco es de extrañar al venir sueltos en un plastico roto.</t>
  </si>
  <si>
    <t>No para de bloquearse El pen drive es de muy mala calidad, no es capaz de pasar 200 mb sin bloquearse o interrumpirse, muy bajo</t>
  </si>
  <si>
    <t>Javier engañado Ni para pisa papeles, no se me ocurrió mojar lo tras leer comentarios de los demás compradores, pero al segundo día se apago, Le cambie la pila que vale más que el reloj, y no anda Que lo disfruten y se lo gasten en antiacido</t>
  </si>
  <si>
    <t>Batidora siempre a mano, muy ultil y de fácil limpieza. Me gusta por la comodidad en su uso, por ocupar poco espacio y fácil limpieza. Los smoothies salen geniales.</t>
  </si>
  <si>
    <t>Buena grapadora Buena relación calidad precio</t>
  </si>
  <si>
    <t>Les encanta _El Fabricante nos envía un Carrito, un cubo, una escoba, una fregona y un recogedor.  _Conclusiones: Es un Kit de limpieza que lógicamente es un jugete, pero a primera vista da el pego. A partir de aquí ya todo son críticas. El recogedor no se aguanta de pié, la fregona tiene seis colgajos (literalmente), el cepillo/escoba es de cerdas duras que dentro de lo que cabe algo arrastrarán/barreran :-) y el cubo con escurridor incorporado es lo único que veo "bien". El carro es de plástico, así que no espereis nada del otro mundo, son todo utensilios de plástico, que no dejan de ser de juguete. Podían haberse esmerado un poco mas en las terminaciones del producto.  _Pros: Nada que destacar.  _Contras: La fregona podía "mejorar". Todo plástico.  Saludos By Flype</t>
  </si>
  <si>
    <t>Bien Ha llegado antes de lo que se esperaba. Bastante acorde con la foto</t>
  </si>
  <si>
    <t>Cómodas, pero sin cordones En general bien. Es quizás la marca más cómoda de zapatillas. No le doy las 5 estrellas porque no tiene cordones. Los que se ven en la foto son de adorno, pero no se pueden abrochar, por lo que el pie queda algo suelto</t>
  </si>
  <si>
    <t>Perfecto Perfecto! Super bonito y diseño muy retro. la verdad es q me encanta y suelo usarlo siempre. Lo unico malo q le encuentro es q no tenga luz</t>
  </si>
  <si>
    <t>Buena compra Se queda la cal en la parte de bajo, pero es normal al calentar el agua a esa temperatura. Muy buen precio.</t>
  </si>
  <si>
    <t>cómodo y suave material muy suave y cómodo. bonito diseño. se ajusta perfectamente.</t>
  </si>
  <si>
    <t>El clásico tapón de plástico pero metalizado Elegí estos tapones para que hiciesen juego con las llantas cromadas y estoy satisfecho con la elección. Se ajustan perfectamente y se asemejan a los clásicos tapones de plástico, pero en metal cromado. Tienen un precio ajustado y llegaron en apenas 11 días.</t>
  </si>
  <si>
    <t>beyer te da lo que buscas tras tiempo buscando unos auriculares que fueran buenos y no se dispararan de mi presupuesto, sin duda estos han sido una muy buena opción y realmente se escuchan de maravilla.Se lo aconsejo a cualquiera porque no le van a defraudar, en calidad de material y sobretodo de sonido.</t>
  </si>
  <si>
    <t>Muy satisfecho con la compra Lo usamos a diario y varias veces ... somos muy fan de las infusiones. Nos parece un producto totalmente recomendable !!!</t>
  </si>
  <si>
    <t>Batidora normal a precio increíble Pensé que por el precio se trataría de una batidora para muy poco uso, pero funciona muy bien, no se calienta mucho más que cualquier otra, y la utilizo para todo tipo de comidas. Lástima que no se pueda desmontar el brazo, aunque el motor no se estropea por que le entre un poco de agua al fregarla.</t>
  </si>
  <si>
    <t>Elegante ycomodo Reloj muy comodo, la correa ajusta perfeca y tiene buen tacto. los botones funcionan muy bien. En persona se ve un reloj muy elegante con el negro y rojo.Recomiendo</t>
  </si>
  <si>
    <t>Auriculares inalámbricos Auriculares super cómodos y ligeros. La batería dura bastante y la carcasa da como para 3 cargas. Calidad del sonido muy buena. Los uso en el gimnasio, corriendo para los ratos muertos de camino al trabajo....muy contento con la compra.</t>
  </si>
  <si>
    <t>bonito bonito y elegante, llego muy rapido,</t>
  </si>
  <si>
    <t>Producto de calidad estandar sin problemas Bien</t>
  </si>
  <si>
    <t>Inna És perfecta la he tenido puesto Todó el invierno,coje toda la cama . Temperatura perfecta . La recomiendo 100% .</t>
  </si>
  <si>
    <t>Tal cual la descripción Zapatillas cómodas y robustas a pesar de ser zapatillas bajas. Interior de piel a tener en cuenta para las temperaturas del verano.</t>
  </si>
  <si>
    <t>Sujeta y es comodo una vez puesto. El color es diferente y llamativo. Se coloca por la cabeza, y al tener pecho, no es lo mas comodo para ponerselo, añadiendo que tambien estan los aros con lo que resulta un poco dificil pero para mi no resulta tan engorroso como para no aconsejarlo o no darle una buena puntuación.  Y la talla coincide con la que normalmente utilizo.</t>
  </si>
  <si>
    <t>Limpia bien. Buscaba uno más grande, pero este limpia perfectamente y la ducha queda sin manchas de cal.</t>
  </si>
  <si>
    <t>Excelente calzado Las compre para mi marido que tiene dificultat para calzarse...son súper comodas,de horma ancha y faciles de poner.Llegaron antes de la fecha prevista,las recomiendo 100%</t>
  </si>
  <si>
    <t>Cómodos Muy cómodos. No son pesados por lo que resulta un calzado ideal para diario.</t>
  </si>
  <si>
    <t>Presentacion impecable El articulo corresponde con la fotografia del vendedor, buena presencia y buen material. Cumple con su cometido de bolsa para llevar en el pecho con bastante espacio para guardar articulos. Entrega en fecha tal como prometieron.</t>
  </si>
  <si>
    <t>Mucho ruido La batidora hace muchísimo ruido. Lo de 0 decibelios como que no.</t>
  </si>
  <si>
    <t>Está bien pero el brazo... Está bien, pero el brazo es "de los chinos", al final me he comprado un micrófono con condensador que viene todo montado en un pack y este lo voy a dejar para que mi familia me haga los coros xD.</t>
  </si>
  <si>
    <t>Tamaño escaso, se queda corto. Es demasiado pequeño de tamaño. Hay que forzar mucho las gomas que trae de sujeción y además el conector puede llegar a molestar.  Deberían hacerlo para acercarse al tamaño de una cama estandard que suele  ser de 0.90 x 1.90. Por lo demás bien.</t>
  </si>
  <si>
    <t>Malos Mal calzado .le doy una estrella porque no puedo darle cero.no los puedo poner ya que se va el pie para todos lados.la suela es de goma mala se va para todos lados.no recomiendo.dinero tirado.no los devuelvo por q ir los use.sino irían de vuelta.me siento estafada con este calzado.</t>
  </si>
  <si>
    <t>No funciona, caja abierta Será muy buena batidora pero llegó la caja abierta y los productos dentro de la caja estaban como si ya se hubieran usado. Y lo más importante que la batidora directamente ni funciona, no se enciende ni hace nada. La tuve que devolver y pedir otra. Esta vez llegó la caja bien, pero tampoco funciona.</t>
  </si>
  <si>
    <t>Realmente funciona Lo compré un poco desconfiada, porque estos aparatos prometen mucho y luego no son tan eficaces, pero realmente es relajante y masajea muy bien, parecen dedos dándote masaje, tiene bastante fuerza en sus tres posiciones y la única pega, es que es un poco pesado y los botones de encendido y marcha, deberían estar más a mano, pero como masajeador merece la pena.</t>
  </si>
  <si>
    <t>Gran micro, mejor precio Por ese precio es el mejor micro que he tenido, y eso que he tenido micro de todos los precios y calidades, pero como esté en cuanto a materiales de construcción y funciones es el mejor</t>
  </si>
  <si>
    <t>Pidan su talla habitual No son muy cómodas</t>
  </si>
  <si>
    <t>Buen producto Soy de valencia y por la proximidad al mar hace una humedad increíble, quizá no tanto como en ciudades de por ejemplo Andalucía pero raro es el día en que no se llega a un 85% de humedad en el ambiente. Además, tengo el pelo especialmente fino por lo que el encrespamiento del mismo ha sido siempre inevitable. Un mes después de recibir el aceite de argan en el que lo he usado unas 4 veces puedo decir que el efecto en el cabello es notable, se ve más brillante, con más cuerpo y más sano sobretodo en las puntas además de combatir eficazmente el mencionado efecto frizz/encrespado. En definitiva es un producto fiable y recomendable, también lo uso como after save tras el afeitado y se nota bastante esa hidratación extra que da a la piel.</t>
  </si>
  <si>
    <t>Perfecta Parece bastante gordita y calentita. Mido 1.75 y peso 75 kilos y me he cogido la M y es la talla perfecta. Ni ancha ni estrecha. Por si le sirve a alguien de referencia.</t>
  </si>
  <si>
    <t>Muy buenas Siempre ando necesitando alguna de estás, así que viendo el precio decidí ir a lo grande.  Son bastante gruesas y se nota la calidad. Nada que ver con otras que parecen de papel.</t>
  </si>
  <si>
    <t>Estupendo Buena calidad del producto. Muy cómodo.</t>
  </si>
  <si>
    <t>Muy práctica Se pliega fácilmente y cabe en cualquier rincón de la casa, como pega decir que el fondo resbala un poco, por lo que hay que tener cuidado cuando bañas al niño.</t>
  </si>
  <si>
    <t>Comodidad, calidad y precio. Unos zapatos de seguridad fuertes y cómodos, Relación calidad/precio una maravilla. Llegaron el día previsto bien empaquetados. Estoy muy contento con esta compra, los recomiendo!</t>
  </si>
  <si>
    <t>Muy bueno! Muy bueno, simple y cumple con su objetivo!</t>
  </si>
  <si>
    <t>Bonitas y buena calidad Ya las había comprado antes. Son bonitas y de muy buena calidad. El servicio de entrega en tiempo, con lo cual todo perfecto.</t>
  </si>
  <si>
    <t>perfecto Perfecto, lo que esperaba</t>
  </si>
  <si>
    <t>Imbatible calidad-precio Perfecto</t>
  </si>
  <si>
    <t>Más que satisfecho Siempre había utilizado para mis "ratos de bricolaje" el calzado viejo que va quedando por ahí y como consecuencia de ello, ya he tenido varios sustos por caídas o golpes por no hacer caso a las recomendaciones de los expertos... "utilizar calzado apropiado". Compré estas botas y estoy encantado. Son bastante robustas, tienen buena protección en la puntera y en los talones y son muy cómodas. Las recomiendo absolutamente. La entrega, como siempre en Amazon... un 10!!</t>
  </si>
  <si>
    <t>Bueno pero grande Buen producto pero grande</t>
  </si>
  <si>
    <t>reloj ok</t>
  </si>
  <si>
    <t>Zapatilla Son muy comodas y muy ligeras muy buena compra</t>
  </si>
  <si>
    <t>Muy satisfecho Gran compra, muy bonita, se ve muy resistente y si no waterproof almenos bastante resistente al agua, capacidad media-pequeña, es lo que buscaba. Capacidad para tabletas grandes y libretas din-A4. Posibilidad de asa a una u otra banda y regulable, y esta tratada con algún producto para repeler el agua, que la deja con una textura dura pero que a mi no me desagrada y supongo k con el tiempo va suavizándose. El concepto de anti-robó yo no lo usaria, pk si quieres pueden abrirte la cremallera si problema, lo que te la puede colocar por delante para evitar riesgos y es bien cómoda.</t>
  </si>
  <si>
    <t>Precioso Precioso y muy bien empaquetado.</t>
  </si>
  <si>
    <t>Buen producto A pesar de ser una simple tarjeta, va como la seda el móvil desde que le he incorporado la tarjeta. Además el servicio de entrega ha sido óptimo, recibiendo el producto muy pronto.</t>
  </si>
  <si>
    <t>Forro polar ajustado y cómodo Forro polar ajustado  para moverte por el barco cómodamente en navegación, liviano y cómodo.</t>
  </si>
  <si>
    <t>Muy útiles. Anteriormente compré otra marca y se oxidaron el primer dia... Éstas si son de acero inoxidable y van muy bien. Totalmente recomendables.</t>
  </si>
  <si>
    <t>Muy buenas Muy buenas estás vitaminas. Utilice las de embarazo y ahora estás que son de lactancia.</t>
  </si>
  <si>
    <t>No es lo q esperaba No funciona bien mi humificador además deja todo alrededor mojado.  El vapor sale y no se dispersa se hace agua alrededor del aparato y moja todo.</t>
  </si>
  <si>
    <t>Mal tallado Mal tallado una S es como una L</t>
  </si>
  <si>
    <t>Olor demasiado fuerte Ha sido un regalo. Trae variedad de aceites, no he tenido oportunidad de probarlos dado que al tener asma me afectan demasiado los olores fuertes.</t>
  </si>
  <si>
    <t>Me ha durado entera un año Tras un año de uso, sus accesorios se van rompiendo poco a poco. De primeras se sale el tubo y se cae con fuerza al suelo con lo que cuidado con los parquets que los marca. Luego la rueda y su filtro se sale y tengo que sujetarlo con cinta americana y ni con esas. Es una pena porque creo que lo que es el motor funciona genial pero los acabado son penosos. Estaba mirando para comprarme un robot aspirador y los que tiene esa marca parecen geniales peor por culpa de este aspirador me compraré otra marca seguro.  saludos.</t>
  </si>
  <si>
    <t>Sorpresa inesperada He comprado el biberón a través de esta plataforma porque ya tenía uno igual (comprado en un hipermercado). Mi sorpresa ha llegado cuando se lo voy a dar a la niña y la tetina no venía agujereada. He intentado hacérselo con una aguja pero ha sido imposible que hiciese la misma función que el que ya tenía. Estoy bastante insatisfecha, al final no he ahorrado tiempo comprando por internet, tengo que ir al hipermercado para adquirir las tetinas u otro biberón.</t>
  </si>
  <si>
    <t>Solo es para quitar dolores, no para fortalecer ni ejercitar Lo compré porque decia el anuncio que valia tanto para quitar dolores como para hacer ejercicio pero solo es para lo primero, ya que en las instrucciones no hay ningun modo para fortalecer ni nada parecido. Lo devolví</t>
  </si>
  <si>
    <t>Gran producto Unas zapatillas muy cómodas y bonitas. Ojo, se usa una talla 38 y se compró una talla 37 a propósito. No se lleva las 5 estrellas por el lío de las tallas (con un devolución de por medio) y por los cordones elásticos, no acabo de verlos.</t>
  </si>
  <si>
    <t>reloj estoy muy contento con el reloj me gusta y lo llevo bien solo una pega, y es que la pulsera hay que ir al relojero para ajustar</t>
  </si>
  <si>
    <t>Relajante! Al principio es incomodo, pero después de 5 minutos resulta relajante! No me arrepiento de haberlo comprado y la verdad lo he aconsejando a un amigo que de momento esta contento!</t>
  </si>
  <si>
    <t>Buena calidad Calidad a buen precio. Muy cómodas.</t>
  </si>
  <si>
    <t>Muy bonitos Muy bonitos y vienen en su caja.</t>
  </si>
  <si>
    <t>todo ok todo ok</t>
  </si>
  <si>
    <t>Espectacular Muy bueno el tamaño y el funcionamiento. Espectacular el dual. Sandisk es marca recomendada y el precio está acorde. Ok</t>
  </si>
  <si>
    <t>Totalmente recomendable Buen producto en relación calidad-precio, no hace apenas ruido y tiene mucha capacidad, además del plus del mando a distancia.</t>
  </si>
  <si>
    <t>Diseño, calidad y rapidez de servicio Diseños</t>
  </si>
  <si>
    <t>Una buena alternativa a las old skool Van muy finas! Tallan bien y se lavan sin problema, que las grises la verdad que se ensucian fácil</t>
  </si>
  <si>
    <t>Crema masaje con arnica Esta muy bien, la crema se extiende bien, calma bastante los dolores, ya que son muy fuertes y difíciles de quitar. Sale muy bien de precio en relación de calidad y cantidad de producto. Recomiendo comprador.</t>
  </si>
  <si>
    <t>Zapatillas súper cómodas. Me encanta!!! Trabajo de camarera al menos 8h al dia y son realmente cómodas. Recomendadas al 100%</t>
  </si>
  <si>
    <t>Perfec Es perfecto, según las indicaciones y descripción del producto. Todo bien tanto embalaje, presentación. Ok</t>
  </si>
  <si>
    <t>Muy bueno Excelente compra</t>
  </si>
  <si>
    <t>Perfecto Perfecto</t>
  </si>
  <si>
    <t>Buena relación calidad precio Muy bonitos y de buena calidad. Un regalo perfecto para los niños ya que les hace mucha ilusión y se entretienen mucho pintandolo. Lo regalé a los niños en el cumple de mi hija en vez de la bolsa de chuches y triunfó.</t>
  </si>
  <si>
    <t>Buena compra. No esperaba tanta calidad y comodidad, buena compra. El servicio de envío correcto.</t>
  </si>
  <si>
    <t>FUNDAS PARA PLASTIFICAR Me encantan, yo las utilizo mucho y ya son las sextas que pido, siempre perfectas y geniales</t>
  </si>
  <si>
    <t>Q la tlv estaba rota jaja Y no me sirvio</t>
  </si>
  <si>
    <t>Muy buena elección. Totalmente recomendable. Yo lo utilizo para mezclar la leche en polvo de mi hijo y la papilla de cereales y queda perfecto. El hecho de que tenga distintas varillas hace que sea mucho mejor compra que cualquier otro producto del mercado.</t>
  </si>
  <si>
    <t>Muy bien Muy bien. Ideal el que vayan unidas con argolla</t>
  </si>
  <si>
    <t>Super comodas Quedan excelentes y súper cómodas</t>
  </si>
  <si>
    <t>Efectivo! Sudas muchísmo y muy higiénico, porque se enjuaga posteriormente con agua y no queda ningún olor a sudor. Buenos materiales y me llega casi debajo del pecho. Fenomenal para quemar de muslos, culo y cintura....eso sí....tienes que hacer deporte!!!</t>
  </si>
  <si>
    <t>Auriculares de precio increible, pero bateria a minimos. Tenia mis dudas ante unos auriculares de tan buen precio, y sabia que no podrian ser muy buenos...pero la impresión es muy buena ya que el sonido me ha impresionado, los he asociado a un emisor que envia la señal de audio de un viejo televisor y la potencia es buena. El diseño es muy sencillo y limpio y materiales sencillos pero suena muy bien la musica que envia el móvil y para ver la television sin molestar son muy buena opción. El único pero es que, lógicamente por este precio la batería dura poco mas que una hora, la primera vez que los prove me parecio durar poco, pero repito la prueba y dura una hora de batería. Chatarra.</t>
  </si>
  <si>
    <t>Artículo defectuoso. Me fui a probarlo y una sujeción para cordones no estaba bien sujeta y se soltó. La repararé, no más.</t>
  </si>
  <si>
    <t>Tenía que haber cogido una talla menos Las zapatillas son bonitas, tal cual la foto. Sin embargo no puedo decir nada en cuanto a comodidad, porque me quedan grandes. Tendría que haber cogido una talla menos.</t>
  </si>
  <si>
    <t>Fake No lo compreis se estropean enseguida</t>
  </si>
  <si>
    <t>Son como en la foto Cómo lo esperaba</t>
  </si>
  <si>
    <t>Tal y como lo esperaba Tiene muchísima potencia. De momento estoy muy contenta</t>
  </si>
  <si>
    <t>Recomendable Llego a tiempo fácil de usar unos cuantos cacharros de limpiar pero bueno lo normal pero funciona muy bien</t>
  </si>
  <si>
    <t>Elegante Es muy bonito y veraniego</t>
  </si>
  <si>
    <t>Queda bien Se pega muy bien, pero se corta mal. Son láminas finas que sirven para revestir una pared y pinchar con chinchetas, aunque es finito y no entran los pinchos del todo, pero queda bastante bien.</t>
  </si>
  <si>
    <t>ABSOLUTA COMODIDAD PARA LIMPIAR LA CASA EN POCOS MINUTOS Por ahora muy contentos con el producto. Se maneja con mucha facilidad. Succiona sin dificultad todo tipo de suciedad en cualquier superficie, incluidas alfombras.  Muy práctica la base para depositarla sin dificultad alguna y tenerla lista para un nuevo uso en pocas horas. Relación calidad precio muy buena.</t>
  </si>
  <si>
    <t>Excelente aceite Me ha encantado, y estoy súper contenta con esta compra por :la calidad del producto, presentacion en envase d cristal oscuro y por supuesto por el precio tan competitivo, cuando se me acaben lo vuelvo a comprar, sin duda un acierto</t>
  </si>
  <si>
    <t>Genial para la oficina Me a gustado todo, trae 6 unidades,  es muy bonito y de colores muy vivos. Justo como esperaba. Las uso para llevar colgada la identificación en el trabajo y es cómodo y cumple su función. Muy contenta.</t>
  </si>
  <si>
    <t>Se notan los resultados Con tres aplicaciones se notan los resultados, un contorno mucho más iluminado y suave. Fácil aplicación y no se mueven del contorno del ojo. Son perfectas para antes del maquillaje y si quieres mayores resultados antibolsas se pueden meter en el frigorífico. Recomendado para pieles sensibles. Mi mujer encantada con el producto 👍</t>
  </si>
  <si>
    <t>EXCELENTE CREMA. A LOS TRES MINUTOS LA PIEL ABSORBE LA CREMA,LA USO A DIARIO PARA LA ESPALDA Y VA FENOMENAL.</t>
  </si>
  <si>
    <t>Ligero y potente De calidad y súper ligero. Antes tenia el Athlete de Bosch y este pesa la mitad con muchísima mas potencia. Lo recomiendo!</t>
  </si>
  <si>
    <t>Precioso. Fue un regalo para mi madre y le encantó Es precioso, de tamaño perfecto. Acabado luminoso cuidado. Perfectamente empaquetado en cajita de joyería acolchada. Lo compré para regalo y fue un acierto total!</t>
  </si>
  <si>
    <t>Calidad precio ok Están bien</t>
  </si>
  <si>
    <t>Enamorado Después de muchísimo tiempo sigo usando estas zapatillas y están como nuevas. Las uso a diario y he ido a bastantes conciertos y festivales con lo que acarrean de fatiga y suciedad para las zapatillas.  Cien por cien recomendables</t>
  </si>
  <si>
    <t>Acierto Fue un regalo y tallaje bien, calidad muy bien.</t>
  </si>
  <si>
    <t>Perfectos Son como dice la descripción y de muy buena calidad</t>
  </si>
  <si>
    <t>Incondicional de Braun La segunda que uso en 20 años, he probado otras marcas y vuelto a mi braun. Es rápida, deja todo triturado y lo salpica. Una maravilla</t>
  </si>
  <si>
    <t>Mejor de lo esperado Es la primera vez que uso unas Asics y me ha sorprendido lo poco que pesan, utilizo un 46’5, y luego el llevarlas puestas son muy comodas. Se pueden utilizar todo el dia y no se nota el agotamiento en los pies. Compra muy recomendable</t>
  </si>
  <si>
    <t>Buenos Los calcetines son como esperaba. Calzo un 40 y me van perfectos y todavía dan de si. Buena relación calidad / precio.</t>
  </si>
  <si>
    <t>Muy cómodas ¡Me encantaron!</t>
  </si>
  <si>
    <t>Super chulas y comodas Muy buenas</t>
  </si>
  <si>
    <t>Bonitas y brillantes Muy bonitas y brillantes. Tienen el tamaño de una moneda de 20 céntimos más o menos.</t>
  </si>
  <si>
    <t>Auriculares muy correctos bluetooth He comprado estos auriculares para un regalo y me ha gustado mucho que tienen un diseño muy sobrio, son elegantes, bonitos y super prácticos, sin cable. A pesar de no tener cable la persona a la que se los he regalado dice que se quedan super bien puestos y no se caen aunque te muevas o hagas deporte.  El paquete viene muy correcto, muy bien presentado.  La calidad del sonido, muy buena, tiene bastante volumen.  No nos ha costado nada sincronizarlo.  Trae instrucciones en español, muy útil.  Me ha gustado la relación calidad precio.  Increíble lo que les dura la batería y la caja (que se carga) da para cargar los auriculares muchísimas veces, unas 8, he tenido otros auriculares y solo me los cargaba 4 veces.  De momento no hay nada que no nos haya gustado.</t>
  </si>
  <si>
    <t>Suela muy resbaladiza La zapatilla es preciosa, el tejido se ve muy resistente y fácil de limpiar pero cuidado como llueva un poco o pises un suelo un poco resbaladizo, te vas al suelo. No sé si es un fallo de fabricación en mis zapatillas, pero ya me he caído dos veces.</t>
  </si>
  <si>
    <t>Se ajusta al anuncio. Me gusta que funcione.</t>
  </si>
  <si>
    <t>Experimento fallido Compré el primero y lo devolví porque funcionaba solamente marcha atrás y no podía encontrar la base de carga para acoplar. Me lo repusieron y me enviaron un segundo robot que tampoco funcionaba bien. Puestos en contacto con el servicio técnico de irobot, me dijeron que era un producto nuevo y que estaba dando problemas. He devuelto finalmente al segundo no voy a comprar irobot más.</t>
  </si>
  <si>
    <t>Mala calidad Me han durado exactamente 6 meses. NO entiendo como una marca como Assics puede permitirse eso. Sospecho que en realidad eran una imitación, lo cual diría muy poco a favor de Amazon.</t>
  </si>
  <si>
    <t>Viene en malas condiciones o m ha tocado la chiná? Me gusta mucho el tamaño xq lo puedo poner en el llavero del trabajo y no perderlo. Pero cuando lo he usado en distintos dispositivos o bien no lo reconocen o reinicia los equipos. Además se calienta un montón cuando está conectado a cualquier sistema. Una pena xq me gusta mucho.</t>
  </si>
  <si>
    <t>Un 7'5 de 10. Lo esperado y a buen precio. Para pasar desapercibido entre otros libros.</t>
  </si>
  <si>
    <t>Está bien. Con el precio que tiene, no es el más rápido. Hay otros que le superan en lectura, escritura o las dos. Pero cuando lo metes y lo haces funcionar, lo aprecias mucho más. Da un cambio a tu viejo portátil. Arrancar windows en menos de 30 segundos, linux en 8 segundos... con el mecánico era 4 ó 5 veces más tiempo.</t>
  </si>
  <si>
    <t>RFR Reloj sencillo, de poco espesor, discreto y funcional. Excelente relación precio calidad. Lo utilizo a diario para llevarlo al trabajo.</t>
  </si>
  <si>
    <t>Perfectas Es tal y como se muestra</t>
  </si>
  <si>
    <t>Proteje de caidas Encaja bien en el disco duro, parece bastante seguro para evitar daños en caidas. Cierra con cremallera, tiene un bolsillo para el cable y la documentación. Tambien tiene una conta para enganchar a la muñeca cuando lo transportas y un mosqueton</t>
  </si>
  <si>
    <t>Recomendable. &lt;div id="video-block-R2WRAI0CDY71RE" class="a-section a-spacing-small a-spacing-top-mini video-block"&gt;&lt;div tabindex="0" class="airy airy-svg vmin-unsupported airy-skin-beacon" style="background-color: rgb(0, 0, 0); position: relative; width: 100%; height: 100%; font-size: 0px; overflow: hidden; outline: none;"&gt;&lt;div class="airy-renderer-container" style="position: relative; height: 100%; width: 100%;"&gt;&lt;video id="7" preload="auto" src="https://images-eu.ssl-images-amazon.com/images/I/910jts3v2OS.mp4" style="position: absolute; left: 0px; top: 0px; overflow: hidden; height: 1px; width: 1px;"&gt;&lt;/video&gt;&lt;/div&gt;&lt;div id="airy-slate-preload" style="background-color: rgb(0, 0, 0); background-image: url(&amp;quot;https://images-eu.ssl-images-amazon.com/images/I/A1tP9pX8NFS.png&amp;quot;);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center;"&gt;0:00&lt;/div&gt;&lt;div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value="https://images-eu.ssl-images-amazon.com/images/I/910jts3v2OS.mp4" class="video-url"&gt;&lt;input type="hidden" name="" value="https://images-eu.ssl-images-amazon.com/images/I/A1tP9pX8NFS.png" class="video-slate-img-url"&gt;&amp;nbsp;Muy bonito y fino, se ve de buena calidad, ideal para vestir. Muy contento con la compra, espero que me dure mucho tiempo. Lo recomiendo.</t>
  </si>
  <si>
    <t>Colgante mapamundi El colgante está bien de tamaño, igual que en la imagen,viene con una caja ideal para regalar.</t>
  </si>
  <si>
    <t>Muy contenta El tamaño es el normal. Muy cómodas. Todo perfecto</t>
  </si>
  <si>
    <t>Conectividad rápida y sencilla con teléfono Se conecta rápidamente y fácilmente con el bluetooth del teléfono móvil. El sonido es fuerte y se escucha muy bien. Puedes pasar las canciones desde los botones del micro, bajar o subir volumen... Los acabados son buenos y viene con el cable para cargar la batería. Se lo compré a mi hija y es un regalo genial.</t>
  </si>
  <si>
    <t>Muy buenos Los tenía en blanco,buena calidad y perfectos en calidad de sonido. Son los únicos auriculares que me gustan ya que los que tapan completamente mi audición externa me provocan sensación de vacío en mis oidos.</t>
  </si>
  <si>
    <t>Antideslizantes Quedan maravillosamente bien, y además son verdaderamente antideslizantes, pues he tenido otros que se deslizaban a pesar de ser antideslizantes. Cómodos, bonitos y prácticos.</t>
  </si>
  <si>
    <t>El ssd mas rápido del mercado Lo compre para el iMac, lo vengo utilizando para hacer un backup del ordenador a traves del time machine, es el segundo que tengo, el primero lo utilizo de arranque con el sistema operativo, calidad samsung y rapidez, el ssd se nota la rapidez.</t>
  </si>
  <si>
    <t>Son maravillosos y mejor pedir un número menos Soy fiel a esta marca con pequeñas excepciones. Como siempre hay que pedir un número menos y ajustan divinamente el pié, además son maravillosamente flexibles. Ideales para pies anchos. Muy comodos. Volveria a comprarlos in dudarlo y los recomiendo tambien</t>
  </si>
  <si>
    <t>Vaya sorpresa!!! Mejor de lo que pensaba, creía que iba a ser plástico puro pero resulta que es un reloj muy compacto y que da el pego</t>
  </si>
  <si>
    <t>Relog no muy bueno El relog se ve bonito y grande, todo bien, pero sumergible a 50m no es cierto, yo me duche con el y ya le entró agua . En fin de una cosa barata no se puede esperar todo.</t>
  </si>
  <si>
    <t>Perfecto Cumple su función</t>
  </si>
  <si>
    <t>Un 10 y muy nonito Perfecto mejor de lo que esperaba... lo recomiendo..</t>
  </si>
  <si>
    <t>Práctico Escurre muy bien por lo que ayuda a la hora de fregar suelos</t>
  </si>
  <si>
    <t>Función y almacenamiento correctos Lo compré para hacer una copia de seguridad de mi macbook pro y mis impresiones con él han sido muy buenas. Lo que a simple vista me sorprendió fue su tamaño y peso, es muy delgado, muy ligero, de la caja lo que menos abultaba y sin embargo 500.08 GB reales de espacio libre que he comprobado y son los correctos que pedí. La compatibilidad ha sido máxima, lo conecté a mi Mac y enseguida me lo reconoció y me salió el mensaje de si quería realizar copia de seguridad. Lo bueno del disco duro así es que por poco precio he conseguido tener gran capacidad de almacenamiento. Dudaba si usar mi antiguo disco duro pero solo la carcasa que necesitaba para reciclarlo ya era en proporción mas cara. Además, otro aspecto que me gustó y me gusta fue la velocidad de transferencia, esto se nota con diferencia y más cuando son tantos archivos las característica 3.0. En definitiva, con el he conseguido triplicar la capacidad de mi portátil, me he quitado problemas de espacio, también he ahorrado tiempo y lo puedo llevar a todas partes porque es muy ligero, esto es muy importante para mí. Realmente estoy satisfecho con mi compra.</t>
  </si>
  <si>
    <t>Versatil Se lo compre a mi hijo que está estudiando hostelería. Y está encantado. Sobretodo con los zumos que hace y se los lleva con el vaso portatil. Muy bien!</t>
  </si>
  <si>
    <t>Muy bonito y a muy buen precio Precioso broche, no pensé que fuera tan bonito, para  su precio, es fantástico.</t>
  </si>
  <si>
    <t>por lo que vale, y como le queda, impresionante muy recomendable, aunque su aspecto es muy de plástico chino, eso no se nota a cierta distancia o al tacto. hace una forma muy muy buena, como la foto. lo recomiendo</t>
  </si>
  <si>
    <t>Buena calidad de graves Me ha sorprendido la buena calidad de los graves/bajos para el precio que tienen. Se ajustan muy bien al oído. La textura del cable es gomosa y tiene buen tacto. Viene ademas con 2 pares de almohadillas de repuesto, unas grandes y otras pequeñas. Por poner pega es que me hubiera gustado que el conector fuera en forma de "L" en lugar de ser en forma de "I", pero es un detalle sin importancia.</t>
  </si>
  <si>
    <t>Funciona Me gusta</t>
  </si>
  <si>
    <t>Inservible Mala calidad delaterial y los pelos del cepillito torcidos. Luego es demasiado ancho respecto al grosos de la ranura de la ventana.... Por lo tanto no puedo insertar la paletilla</t>
  </si>
  <si>
    <t>Grande,incluso mirando tabla de tallas de Joma Son tallas grandes.Tuve que devolver la S.Mido 92 de pecho,63 kgs,1,70 de altura Si te pareces a Falete(es muy socorrido compararlo todo con el),la M es tu talla</t>
  </si>
  <si>
    <t>Se escurren un poco Me gustan porque son largas hasta los tobillos y los bolsillos son muy útiles.  Lo que no me gusta es que, aún siendo de mi talla, se escurren un poco de la cadera, por lo que no las recomiendo para gente que corra.</t>
  </si>
  <si>
    <t>Correctas Correctas en lo que se le puede pedir a unas grapas. El envío fue satisfactorio, cuando necesite grapas de nuevo probablemente compre estas mismas.</t>
  </si>
  <si>
    <t>Falsas Totalmente de acuerdo con los comentarios anteriores, un par de usos y empieza a verse lo originales que son, me encantaron y vaya desilusión, hice caso omiso a los comentarios y me salio caro, no recomiendo para nada esta compra</t>
  </si>
  <si>
    <t>Falla desde el primer dia No va nada bien, metes un billete de 100 y detecta de 200. Devolucion en curso</t>
  </si>
  <si>
    <t>PRODUCTIVO Suena muy bien. Habría que probarlo con un dispositivo inalámbrico para ver la caída que tiene, pero en estudio e incluso en exterior tiene una capacidad de recoger sonido muy limpia.</t>
  </si>
  <si>
    <t>Auriculares básicos Se oyen un poco bajo para mí gusto. La duración está siendo correcta</t>
  </si>
  <si>
    <t>Precio No se queja</t>
  </si>
  <si>
    <t>Reloj LIGE El reloj llego en el tiempo previsto y perfectamente embalado. Muy cómodo para su uso diario.</t>
  </si>
  <si>
    <t>Buena compra con oferta! Genial, igual que un EVO pero con menos garantía, para los que solemos cambiar cada menos y ahorrarnos un dinerillo :)</t>
  </si>
  <si>
    <t>Muy útil, hasta ahora funciona perfecto y la tengo alrededor de 3 meses. Perfecta para hervir agua en tiempo razonable mientras haces algo más, necesitaba algo para hervir agua y disminuir el tiempo de calentamiento de la cocina y funciona perfecto.</t>
  </si>
  <si>
    <t>MARAVILLOSO Genial, llevo 1 mes con el y no me arrepiento de haberlo comprado, para un canal de youtube la calidad la intensidad, la ganancia es maravillosa, no tiene perdida, si estas dudando en comprarlo, no lo dudes mas y cómpralo, por que no te vas a arrepentir, me encanta.</t>
  </si>
  <si>
    <t>Pequeños y compactos. Sonido de calidad! Que maravilla.. Tengo varios auriculares inalámbricos y son los primeros que se adaptan como ninguno, se te olvida que los llevas puestos. Sueñañ que es un lujo. Se conectan automáticamente por el Bluetooth al móvil, cuando los sacas de la base. Estupendos para el dia a día. Escuchando música y hacer deporte. Eliminan el todo ruido Exterior, que te ayudara a concentrarte. Le veo comodisumos, que se cargan en su propia caja. Buena  sensación desde el primer momento en el que los sacado de la Caja. Me los recomiendo!! Gracias Amazon!!</t>
  </si>
  <si>
    <t>Perfecto producto muy buenony buena calidad  rápido en llegar Perfecto producto muy buenony buena calidad  rápido en llegar</t>
  </si>
  <si>
    <t>Puntero práctico Deseando poder usarlo en una presentación con más personas. Sorprendida con la utilidad de un aparato tan pequeño. Es muy sencillo y simple. Tiene un USB que lo conecta con el PC y con un par de botones puedes cambiar de dispositivas e incluso cambiar de una ventana a otra del navegador o de programa. El láser se ve con claridad incluso con iluminación intensa.</t>
  </si>
  <si>
    <t>Reloj hombre Este reloj me lo he comprado porque nunca he tenido un reloj así que se vea la mecánica y sea automático, aparte porque el color dorado de dentro es guapo y brilla por la noche Bueno supongo que como todos contento porque con camisa queda muy bien.</t>
  </si>
  <si>
    <t>Geniales Salomón Geniales zapatillas Salomón estoy pensando comprar otras son muy cómodas y ligeras perfectas para senderismo o el running de montaña gracias a su tremendo agarre de su firme suelo</t>
  </si>
  <si>
    <t>Complemento ideal para Powerpoint y por menos de 10€ No te compliques la vida comprando el puntero original de Microsoft a un precio cinco veces superior, o usando el laser inductor de algunos teclados portatiles. Este es perfecto y va muy bien. PAra lanzar el laser, no tienes que apretar fuerte, solo poner el dedo encima del interruptor del puntero y funciona. Va perfecto para PowerPoint y hasta permite pasar las slides, me gusto bastante y sobretodo por el precio.</t>
  </si>
  <si>
    <t>Artículo de primera calidad Tal como se describe en la descripción.</t>
  </si>
  <si>
    <t>Bonito, resistente y rápido Tengo bastantes pendrive USB como este y este es de los mejores que me han salido. De este modelo, tengo también la versión de 32GB USB 3.0 y otra de 16GB USB 2.0.  A primera vista es bonito y elegante, tiene un tacto levemente rugoso que facilita el ponerlo y quitarlo de donde se ponga. Tiene un buen tamaño, ni enorme y plasticoso, ni tamaño pulga (que cuesta de sacarlos y se pierden con una facilidad pasmosa).  No tiene tapa, así que no hay problema de que se pierda (a mi me pasa bastante). La desventaja de no tener tapa es que si lo llevas con las llaves en la chaqueta, puede que alguna pelusa de algodón se meta dentro, así pues atentos a esto (me pasó también y el ordenador no lo detectaba). Aguanta bastante bien los golpes y aparentemente, no se ve rayado por el contacto con otros objetos y el ajetreo (atado a las llaves por ejemplo). Al tener un aro de sujeción de 1cm aprox., no se atasca en el llavero con las llaves y es muy facil de sacar y volver a poner.  En velocidades de lectura y escritura en puerto USB 3.0, está en los márgenes aceptables: Lectura 127.8 MB/s y Escritura 41.2 MB/s. Puede que a tí te vaya algo más rápido o más lento, todo dependerá de a qué ordenador lo conectes. Evidentemente, si lo conectas a un puerto USB 2.0, estos valores caen drásticamente, pero es perfectamente compatible.  Obviamente, se puede usar para lo que quieras: guardar datos, música mp3, películas, fotos, grabar de la TV o incluso como USB-boot para arrancar un Sistema Operativo por USB. Viene sin software adicional, pero en mi caso, no lo echo de menos, pues no suelen ser muy funcionales a la hora de la verdad.  Con 5 años de Garantía proporcionados por el fabricante Kingston (de las mejores marcas del mercado) y un precio que en Amazon ronda los 11€ para la versión de 64GB, es una muy buena opción a tener en cuenta.  Espero haya sido de utilidad.</t>
  </si>
  <si>
    <t>Buenas Tuve que descambiarlo por medio numero mas, la pagina deberia aclarar el tallaje, ya que lleva a error si lo comparas con el de la web oficial</t>
  </si>
  <si>
    <t>Versátil y gran capacidad de almacenaje Muy versátil. Ideal para poder descargar fotos y videos del mobil y que no pete y luego poder pasarlo directamente al portatil. Gran capacidad de almacenaje.</t>
  </si>
  <si>
    <t>Buena zapatilla Es una zapatilla caliente y resistente, con suela confortable. Muy recomendable, sobretodo para casas con jardín, ya que puedes salir fuera sin ningún problema. Sobre la talla. Me cogí el número que mas alto que suelo calzar y sin problema.</t>
  </si>
  <si>
    <t>Como en la foto La verdad que muy bien. Exactamente como la foto.</t>
  </si>
  <si>
    <t>Precioso y de muy buena calidad. Como digo ,conozco la serie esta de Casio,y me parece fenomenales todo los modelos.En cuanto lo vi ,lo compre. Como punto negativo,que llegaron  a su precio normal para estos modelos pero el vendedor los ha subido de precio bastante y ha dejado de ser atractivo.Por esos precios casio los tiene mejores.</t>
  </si>
  <si>
    <t>lolo Encantado con los casio g-shock, grande, botones robustos, el color blanco le da un buen atractivo.la unica pega la hora de la pantalla al ser en inverso el color segun como lo mires no se aprecia bien la lectura, por lo demas sobra, soy un fan de esta marca en relojes</t>
  </si>
  <si>
    <t>De momento muy buena. Solo llevo unos dias usandola, pero de momento no me ha dado ningún problema, la transferencia de archivos es muy rápida y cumple su función perfectamente. Compra muy recomendada.</t>
  </si>
  <si>
    <t>se dan la vuelta Si quieres llevarlos como en la foto o los llevas super-apretados con las orejas moradas o se dan la vuelta por el peso, una pena porque no son malos y son bonitos pero me los tendre que poner al revés, con la estrellita pequeña para abajo</t>
  </si>
  <si>
    <t>Necesidad de palo de repuesto. El sistema de cubo y fregona giratorios es genial para no tener que hacer esfuerzos a la hora de escurrirlo (sobretodo para personas mayores con problemas de espalda) y limpia bien.  Le pongo sólo 3 estrellas porque se me rompió el palo de la anterior que tenía y no hay repuesto del palo, he tenido que volver a comprar el kit entero sólo porque necesitaba el palo...  Me parece muy mal que Vileda no venda el palo por separado en Amazon ni siquiera en su propia web.</t>
  </si>
  <si>
    <t>Error en descripción Compramos estos biberones por el tamaño y porque la tetina era la X (la mejor para la leche con cereales) y finalmente la tetina que incluían era la  2. Por lo que leo, otros compradores no tuvieron problema... A favor diré que el envío fue rápido y la devolución también.</t>
  </si>
  <si>
    <t>Ninguna garantia de que sean originales La descripcion del producto pone que son zapatillas adidas pero cuando recibimos el producto no tiene ningun logo de que de verdad sean originales de adidas, ni en las zapatillas, etiquetas ni la caja. Las devolvimos.</t>
  </si>
  <si>
    <t>Buena calidad Muy buena como la imágen solo que da mucha calor pero la suela es muy comoda</t>
  </si>
  <si>
    <t>Me  encantan Buenos días,   No hago yoga, los compré porque me gustó su diseño pero me están un poco grandes. Aún así, estoy encantada    Un saludo    Anabel</t>
  </si>
  <si>
    <t>Acabados de calidad Me encantan los acabados Converse y parecen de calidad.  Lo malo que el forro en la parte del talón se ha desgastado con poco uso y hacen algo de ruido cuando caminas. Las suelas no se despegan</t>
  </si>
  <si>
    <t>Buenos cables Magníficos cables para altavoz. OFC. Longitud 2 x 5m. Diámetro del cable 4.6 mm. Diámetro del cobre 2.6 mm. Cable "pesado" por la gran cantidad de hilos de cobre pero muy manejable.</t>
  </si>
  <si>
    <t>Buena compra y aspecto genial Ojala la gente supiera la importancia de usar calzado de este tipo y huir de camaras de aire o suelas acolchadas y alzas... para quien quiera de verdad reliazar un trabajo efectivo con sus pies y por tanto con su cuerpo esta zapatilla cumple. En unos meses si veo necesario editar esto lo hare, ya que vi que la durabilidad es baja en muchos comentarios y espero que no me ocurra. Mi mujer tiene estas, yo tengo otras y nos llegaron a la vez en distinto color pero mismo modelo</t>
  </si>
  <si>
    <t>la familia me encanto, y deseo que también la guste a ..........</t>
  </si>
  <si>
    <t>Los mejores Son los mejores biberones, especialmente si se quiere optar por una lactancia mixta o para pasar del pecho al biberón sin traumas. La tetina es la más parecida al seno materno, tanto en forma como en tacto y a la hora de mamar se moldea como el pecho.</t>
  </si>
  <si>
    <t>Super Fenomenal</t>
  </si>
  <si>
    <t>Muy practica y cómoda, bañera ideal para espacio reducidos Fácil de plegar y ocupa poco espacio. Ideal para hogares o baños con espacios reducidos. Muy contentos con la calidad del producto.</t>
  </si>
  <si>
    <t>Justo lo esperado Muy bonito y ponible. Es justo lo que andaba buscando. El tamaño para mi gusto es perfecto así como la cadena, hace honor a las fotos no te llevas ninguna sorpresa desagradable como ocurre a veces que te defrauda porque es muy pequeña o demasiado finita.</t>
  </si>
  <si>
    <t>Auriculares  bluetooth Auriculares bluetooth perfectos ir entrenar, calidad de sonido muy buena y larga duración de la batería.</t>
  </si>
  <si>
    <t>Todo correcto hace su función El bolso es Grande, cabe todo. No es del tipo bandolera, que son más pequeños para llevar sobre el pecho o espalda. Este es para llevar a la espalda u hombro, pero te cabe todo lo que necesites para una salida diaria.  Móvil, agua, paraguas, Tablet, Cargador, Kindle, Libro, etc. Muy útil.</t>
  </si>
  <si>
    <t>Exacto. Hago una carrera técnica y sin duda busco exactitud y limpieza. He tenido otro compás, el cual comprara por bueno y triplicaba el precio de este, y al final un desastre. Este compás cumple con toda expectativa y por un precio muy asequible.</t>
  </si>
  <si>
    <t>Micrófono Tiene una calidad excelente. Me ha sorprendido muchísimo la nitidez de sonido que tiene, es mejor que otros de mayor precio que he probado. De verdad que lo recomiendo totalmente ! Además es super fácil de montar y con solo meterlo al ordenador puedes tenerlo todo listo en menos de 5 minutos.</t>
  </si>
  <si>
    <t>Muy ligeras Tallas muy pequeñas. He tenido que comprar una talla más. Zapatillas muy ligeras y confortables. He comprado tres por poco más de 20 euros cada una, regalos para todos!. Muy buen diseño y variedad de colores</t>
  </si>
  <si>
    <t>Buen sonido a poco precio Antes no esperaba una calidad de sonido muy bueno a este auricular muy economico. Mis auriculares antes eran AKG  y JBL que costaban 2 o 3 veces mayor que este pero no lo noto mucho la differencia de sonido.</t>
  </si>
  <si>
    <t>Muy bonitas Son muy bonitas. A mi hija le han gustado mucho. Respecto a la talla, tallan grandes, mi hija usa normalmente un 38 pero el 38 en esta zapatilla le venía enorme, la tuve que devolver y cogerle un 37 1/3 y esa le viene perfecta.</t>
  </si>
  <si>
    <t>Posiblemente el mejor despertador Parece una tontería, pero llevo 25 años comprando estos despertadores y no he encontrado nunca ninguno que me parezca mejor.</t>
  </si>
  <si>
    <t>Calidad Buenísimo</t>
  </si>
  <si>
    <t>Un 10 Son preciosas! Y son verdaderas! Me encantan! Al principio duelen (como todos los zapatos nuevos) espero que se vayan ablandando</t>
  </si>
  <si>
    <t>Como esperaba Calentita y comoda</t>
  </si>
  <si>
    <t>Ideal para la montaña. Ya tuve uno igual o parecido hace 15 años. Lo deje olvidado en un río de  montaña. Si se calibran bien los hPa, la información es muy precisa.</t>
  </si>
  <si>
    <t>Perfecto Perfecto todo.</t>
  </si>
  <si>
    <t>La transferencia de datos es lenta Lo primero, y lo que me sorprendió por ser de la marca Kingston, fue la lentitud de transferencia de datos. Dice en la descripción que es un USB 3.0 y ya os digo que no es así. He pasado ya varias cosas desde mi PC al pendrive, y en todas las ocasiones la transferencia ha sido lenta. No tengo queja del almacenaje porque su capacidad es la que es, y no he tenido problema a la hora de lectura de los archivos almacenados. Si buscas velocidad, este no es tu pendrive.</t>
  </si>
  <si>
    <t>Simplemente funciona La calidad es regular, claro, acorde con el precio.</t>
  </si>
  <si>
    <t>Cuello demasiado ajustado La talla queda tal como me esperaba, las mangas tienen un largo correcto. En cuanto a la calidad del tejido, son de algodon pero un poco finas para mi gusto, sin llegar a transparentar. El cuello muy ajustado, quedas un poco "ahogado", detalle que no se puede observar en la foto del modelo el producto. Me queda muy ajustado comparado con todas las camisetas que tengo y he tenido de otras marcas, aunque como todo es una cuestion de gusto.</t>
  </si>
  <si>
    <t>Engorroso y pegajoso dónde no debe... De momento bastante decepcionante. Me ha dado error ya en un par de ocasiones sin razón aparente. Es muy engorroso, los adhesivos se pegan a todo y se quedan en la piel cuando te los quitas... Restos pegajosos por las piernas. A la hora de guardarlo muy problemático ya que él adhesivo se pega al pantalón... Empecé él primer día al nivel 88, llevo usándolo 5 días y ya voy por él 92... No sé si merece la pena tanto dinero. Le doy otra semana de prueba pero no me termina de convencer..</t>
  </si>
  <si>
    <t>Cascos malo El conector se ha roto al tercer día. Me gustaría que me mandarais otros ,soy cliente habitual de Amazon</t>
  </si>
  <si>
    <t>SI PERO... En la caja viene el colgante, dos pendientes y un trapo para limpiar las piezas.  Es un detalle original para regalar, ya que en el interior del corazón viene grabada la palabra "te amo" en infinidad de idiomas. Esto puede verse a través de la linterna del móvil o bien haciendo una foto en el centro del corazón.  La calidad del producto es media, para mi gusto un poco floja, pero en general es bonito y elegante.  Espero que les sirva, un saludo.</t>
  </si>
  <si>
    <t>Buena relación calidad-precio Es la crema que usa mi fisio a diario. Decidí comprarla aquí por su precio competitivo. Resbala muy bien y deja un olor a menta muy agradable. En cuanto se me acabe la volveré a comprar. Perfecta para dar masajes.  Envío dentro del tiempo estimado.</t>
  </si>
  <si>
    <t>Comodidad Calidad/precio está muy bien. Lógicamente, los materiales son corrientes. No esperaba otra cosa, tampoco.</t>
  </si>
  <si>
    <t>todo En líneas generales bien.</t>
  </si>
  <si>
    <t>mejor calidad precio si quereis empezar con un canal de twich o yt esta es la mejor opcion por un precio ajustado recibimos el pack completo y de mucha calidad lo recomiendo 100%</t>
  </si>
  <si>
    <t>Muy útil para viajar Muy practica</t>
  </si>
  <si>
    <t>Perfecto Funciona perfectamente</t>
  </si>
  <si>
    <t>Súper mono Es súper bonito, tal cual en la foto.</t>
  </si>
  <si>
    <t>Recomendable Es muy práctico y manejable, a mis enanitas les encanta y han aprendido a cogerlo ellas solas con tres meses.  Fácil de limpiar y transportar.</t>
  </si>
  <si>
    <t>Genial Estuve mucho tiempo meditando si comprarlo o no. Tengo bastante pecho y no me va cualquier sujetador, me he gastado mucho dinero en sujetadores y este no tiene nada que envidiarle a los otros. Uso una talla 100 E , y me va bien para mi spinning, recoge el pecho bastante bien pero no tanto como a todas las que tenemos tanto pecho nos gustaría que nos recogiera todos los sujetadores. lo recomiendo 100 % . No tiene nada que envidiarle a otras marcas carísimas . volveré a repetir.</t>
  </si>
  <si>
    <t>Bonito y recomendable Funciona todo perfectanente y la luz azul en toda la pantalla. Buen producto y original. Lo recomiendo.</t>
  </si>
  <si>
    <t>muy comodos auriculares muy cómodos, tenia unos iguales pero con cable y para ir con la bici llevando solo uno era un poco engorro por el cable y con estos es ideal, se conectan muy rápido al abrir la tapa de la funda, y se escuchan muy bien, y el enganche de la oreja es ideal para que no se caiga, se ajustan muy bien y traen recambios tanto del enganche de la oreja como de diferentes medidas del que va dentro del oído, tienen diferentes funciones, para subir el volumen, pasar de canción o abrir el asistente de voz del móvil, según pulsas una vez, una vez prolongada o tres veces. muy contento con ellos. la batería le dura bastante y la funda también lleva batería que los vuelve a cargar cuando los guardas dentro. tiene conexión tipo c para la carga.</t>
  </si>
  <si>
    <t>Estupendo Es genial, me ha encantado, el sonido muy bueno, he tenido que comprar otro que me lo cogía mi hija.</t>
  </si>
  <si>
    <t>Muy suave En el pack vienen un juego de tres bolas (una simple y dos dobles), una de ellas tiene batería y se controla con un pequeño mando a distancia muy práctico porque puedes variar la intensidad y frecuencia de la vibración. Las otras llevan un contrapeso dentro que las hace vibrar con tu propio movimiento mientras las llevas puestas para uso normal a diario. Lo que mas me ha sorprendido es la textura que es muy suave, apenas necesita lubricación y se lavan y secan muy facilmente. En definitiva un buén y variado juguete.</t>
  </si>
  <si>
    <t>Muy comodas Muy buena calidad</t>
  </si>
  <si>
    <t>Sin palabras Sin palabras</t>
  </si>
  <si>
    <t>Buena fragancia Me a gustado el producto bastante ,deja un olor de limpio y no muy fuerte !( creo que podrian mandar muestras pequeńas de las otras fragancias) ya que no es un producto muy barato.</t>
  </si>
  <si>
    <t>está muy bien es muy práctico, bonito y tiene gran capacidad</t>
  </si>
  <si>
    <t>Cómodas Ideales. Tal y como se muestras. Son más cómodas que otros modelos que había tenido</t>
  </si>
  <si>
    <t>Calidad Casio, subida de tono (rosa). Reloj con el diseño clásico de Casio, se entiende que con la misma calidad de siempre. Lo hace diferente el color, muy muy rosa y llamativo.</t>
  </si>
  <si>
    <t>Un pelin grande El tamaño del micro se me hace un pelin grande, pero yo lo uso camuflado por lo que necesito que sea casi imperceptible. Por lo demas muy contento, sonido muy limpio y la lungitud del cable es maravillosa. Muy contento con el producto.</t>
  </si>
  <si>
    <t>Kit micrófono condensador para streaming &lt;div id="video-block-R3N9QJVIVRQIZY" class="a-section a-spacing-small a-spacing-top-mini video-block"&gt;&lt;/div&gt;&lt;input type="hidden" name="" value="https://images-eu.ssl-images-amazon.com/images/I/A1DH8L0hosS.mp4" class="video-url"&gt;&lt;input type="hidden" name="" value="https://images-eu.ssl-images-amazon.com/images/I/A1X4bSc664S.png" class="video-slate-img-url"&gt;&amp;nbsp;Ya me estoy equipando poco a poco para mejorar mis streaming, en este paso e pillado este kit de micrófono de condensador. En un principio lo compre por su precio tan económico y para el paso, cuando me llego no esperaba de que fueran de tanta calidad para el precio que tiene. Todos sus componentes so de primera calidad y muy robustos, su instalación fue muy ligera y fácil fue enchufar al usb del ordenador y funcionando a la primera. El sonido es bastante bueno y con mucho cuerpo y gracias a la esponja antiviento y al filtro antipop evita que se cuele el ruido de fondo tan molesto que tenia en mis anteriores streaming. Definitivamente a pasado de quererlos para el paso hasta que ahorrara a unos de gama profesional a quedarse como definitivos.</t>
  </si>
  <si>
    <t>Muy buena relación calidad precio Buenos acabados, buena calidad, lo he recibido hoy. Lo someteré a un intensivo uso diario a ver como nos va. En un par de meses actualizaré la opinión.</t>
  </si>
  <si>
    <t>Me encantan!!!! Envío rápido, son comodisimas y encajan a la perfección! Producto recomendado!</t>
  </si>
  <si>
    <t>pesa poco,suela muy mala Es mas feo que en la foto,es muy cómodo y pesa muy poco,parece que vas descalzo pero su talon de aquiles es la suela,no agarra nada,es lisa y en mojado es imposible ir por la calle sin tener algún susto. una pena pues por lo demás muy bien.</t>
  </si>
  <si>
    <t>Muy bonitas pero acaban rompiendo Me gustaron mucho, pero se acaban rompiendo por un lado</t>
  </si>
  <si>
    <t>Fatal No favorecen nada, no ajustan como otras mayas, son demasiado altas para mi gusto y ademas son de calidad baja</t>
  </si>
  <si>
    <t>Muchos cortes y sonido distorsionado Me he llevado una decepción con estos cascos. Con el bluetooth se cortaba de vez en cuando y con el cable se escucha mucho ruido de fondo como si fuera agüilla. Menos mal que los puedo devolver y es lo que voy a hacer. Recomiendo gastar un poco más si quieres tener un producto de calidad. Este no estaría mal si no diera los problemas que da. Me he comprado los EUASOO que están más baratos y van mucho mejor que estos. Los materiasles y la terminación están muchisimo mejores que estos cascos.</t>
  </si>
  <si>
    <t>Cuidado que mancha Pésima compra, es un auténtico peligro. Mancha muchísimo y no se quita.</t>
  </si>
  <si>
    <t>Buena compra Le dio muy buen uso mientras le dio pecho a su hija</t>
  </si>
  <si>
    <t>Lo último en punteros; Recomendado El tamaño mínimo del punto de color es excesivamente grande.</t>
  </si>
  <si>
    <t>Mariluz Precioso, a mi hija le ha encantado. Es sencillo y elegante, con cadena corta y un brillo muy muy natural</t>
  </si>
  <si>
    <t>Practico Ideal para llaves, gafas, tabaco, etc. Es poliester.</t>
  </si>
  <si>
    <t>El producto es muy correcto El micrófono se comporta perfectamente y el precio es muy bueno. El método de sujección es a traves de una prensilla a una mesa o soporte de trabajo. Hecho de menos la posibilidad de poder atornillar el soporte a una pared. En general el producto es muy satisfactorio.</t>
  </si>
  <si>
    <t>Buena calidad Una precintadora de muy buena calidad.</t>
  </si>
  <si>
    <t>Buena compra Muy bonito. Lo esperado.</t>
  </si>
  <si>
    <t>Perfectas salvo por una cosilla Buena construcción, buen material, lentes cristalinas y muy variadas. Trae una goma opcional de patilla a patilla por si quieres fijar las gafas a tu cabeza. Todo es perfecto salvo por un pequeño detalle: cuando metes las pilas para el led que van a alojadas en el frontal, las gafas comienzan a pesar mucho y hacen daño en el puente de la nariz. Salvo por ese pequeño detalle, todo perfecto. Las recomiendo. Además traen una bolsa de transporte. Un plus para deshacerte de la caja.</t>
  </si>
  <si>
    <t>Confort maximo! Siempre compro esta marca para calzado que voy a usar a diario. Ninguna queja, la calidad es muy buena y el precio lo merece aunque si fuera algo mas barato seria la leche! Antes de comprarlo me las probe en una tienda que sino es dificil acertar. Las recomiendo.</t>
  </si>
  <si>
    <t>Bueno por el precio Pequeño pero bueno. Exactamente como se describe. Gran pequeño masajeador para mi dolor de espalda. Solo unos minutos ayudan mucho. Generalmente lo uso en la noche.</t>
  </si>
  <si>
    <t>estupenda pedido rápido. Funciona muy bien, a diferencia de otras que he tenido. Calidad precio muy recomendada, para uso diario de batidos, cremas, purés...</t>
  </si>
  <si>
    <t>Muy útil por sus dos conectores En mi caso me viene genial para poder pasar archivos multimedia de la tablet  al ordenador, así como para almacenar archivos y no tener que estar con cables. Por su precio está muy bien.</t>
  </si>
  <si>
    <t>me han gustado mucho Quedan muy bonitos puestos, ya me han preguntado un par de veces donde me los he comprado, me alegro de haberlos comprado</t>
  </si>
  <si>
    <t>Bonita y fresca. Camiseta muy bonita. Material muy cómodo y fresco.  La talla en mi caso es la S y coincide, me queda bien. Esta de moda el modelo porque he visto varias.  La recomiendo.</t>
  </si>
  <si>
    <t>Zapatos cómodos Buenos zapatos, materiales y acabados de calidad y más cómodos que otros zapatos que he tenido de este estilo. No los he probado para un uso intensivo, pero parecen también duraderos.</t>
  </si>
  <si>
    <t>Buen producto, de gran calidad Excelente producto. Muy buena relación calidad precio. Aroma intenso y duradero. El dosificado funciona perfectamente. Con un par de gotas mantiene el olor durante horas. Lo adquirí para un humidificador y le da un toque y aroma perfecto a la casa. Gran producto de muy buena calidad. También se puede Utilizar con varillas de bambú untándolas con ella.</t>
  </si>
  <si>
    <t>Perfectos Simplemente perfectos, cumplen su funcion a la perfección, se ajustan a la cabeza comodamente y tras varias horas de uso continuado no se resienten las orejas. Por contra: simplemente por poner algo, la bolsa para meterlos es un poco pequeña, creo que por el precio que tienen podrían imcluir un estuche de viaje.</t>
  </si>
  <si>
    <t>Buenos cascos a buen precio! Necesitaba unos cascos inalámbricos para usar en mi pc y no tener la molestia de tener el cable en medio siempre. Al principio la búsqueda fue complicada, pues todos eran o muy caros o se veían de mala calidad.  Finalmente encontré estos cascos, que estaban en un punto medio. No son carísimos como otros que valen 200 euros, ni se veían de mala calidad.  En primer lugar, vienen en una carcasa de viaje de tela dura muy resistente, perfecta para viajar o llevarlos en la mochila mientras no los vas a usar. Dentro de la carcasa están los cascos y varios cables/adaptadores.  Los auriculares en sí soy también muy cómodos. Son del tipo de los que te cubren la oreja entera sin aplastarla, por lo que no te acabarán doliendo las orejas tras un uso prolongado.  El sonido, por otro lado, también lo encuentro muy decente. Tiene un potente bajo, y no se aprecia ningún ruido en el sonido.  La batería dura bastante también. Siempre los dejo cargando cuando no los estoy usando, pero durante las sesiones de uso de 3-4 horas que le doy, no he tenido problemas con la batería de momento.  En definitiva, si buscas unos cascos inalámbricos de gama media-alta, estos son perfectos.</t>
  </si>
  <si>
    <t>Gran calidad de sonido y autonomía Se trata de unos auriculares bluetooth de gran calidad, el acabado de materiales le da un aspecto premium. La calidad del sonido es realmente buena, especialmente los bajos. Tiene un alcance de unos 10 metros desde tu teléfono conectado, lo que te da una gran libertad de movimientos. La base de carga se percibe pesada pero es que lleva una batería de 6000mAh, suficiente para cargar docenas de veces los auriculares, o un par de veces el propio móvil, pero la base no es necesario llevarla encima porque su cometido es cargar los auriculares, no son necesarios para su funcionamiento. Además tiene un marcador que te indica la carga restante de la batería, lo que lo hace realmente útil. Recomendable.</t>
  </si>
  <si>
    <t>Muy bien Muy bien. Mejor que en la foto. Yo pedí el mismo número que llevo siempre y me va bien.</t>
  </si>
  <si>
    <t>Muy buen producto Muy rápido y a un precio muy bueno</t>
  </si>
  <si>
    <t>muy elegantes unos bonitos zapatos para un día de fiesta, muy cómodos y elegantes, estoy contento con ellos, recomendables al 100 x 100</t>
  </si>
  <si>
    <t>Buena comida Lo he comprado para ir cómoda , es muy suave y se adapta muy bien, esta marca me gusta mucho , buena calidad precio y rápido envío , siempre repito</t>
  </si>
  <si>
    <t>Premia la Calidad Muy buena calidad a excelente precio</t>
  </si>
  <si>
    <t>Deberia estar prohibido vender segun que cosas Algo de ruido, aunque se puede compensar con los mandos, pero dejo de funcionar al cabo de un mes..Hasta ese momento, era una maravilla..</t>
  </si>
  <si>
    <t>Aceptable relación calidad-precio Aceptable relación calidad-precio, recomiendo comprar de 4 en 4 porque no duran mucho. Pero al precio que están, un producto decente.</t>
  </si>
  <si>
    <t>Todo un Casio El reloj como todos los Casio es perfecto, muy buena calidad y prestaciones, la pila es lo que ha fallado, en 3 meses se empiezan a clarear mucho los digitos, ya no se si es fallo de Casio o del distribuidor.</t>
  </si>
  <si>
    <t>Para sacar de un apaño Para mi gusto ni aguanta el calor ni el frio. es simple, para tapar el biberón y poco mas, es bonito pero esperaba que aguantara la temperatura</t>
  </si>
  <si>
    <t>Mal Las zapatillas están defectuosas. La goma lateral despegada</t>
  </si>
  <si>
    <t>Decepción Está bien y los primeros días funcionó de maravilla, hasta que llegó una ola de calor y al hacer más de 25 grados en casa la máquina no para de cargar y no enfría.</t>
  </si>
  <si>
    <t>Mantiene buenas tasas de velocidad Hoy en día lo que marca la diferencia en una tarjeta es la lectura y escritura de datos, sobre todo a la hora de grabar video de alta calidad y ráfagas en fotografía.  La marca Arcanite era hasta el día de hoy desconocida para mi, aunque lleva unos años distribuyéndose en los principales países del mundo, a través de su sede en Tokyo.  Es una tarjeta micro SD de clase 10 versión XC. Esto la verdad es un poco locura, pues cada fabricante las llama de una forma para referirse a lo mismo. Yo me suelo basar simplemente en los MB/s. Aunque con el tiempo salen nuevos modelos que mejoran las tasas de transferencia, sobre todo a la hora de ser más constantes y también muy importante, ofrecer una fiabilidad, cosa que todavía Arcanite debe demostrar.  El test de velocidad es satisfactorio, ofreciendo las velocidades indicadas por el fabricante, resultando 92,02 MB/s de lectura y 75,04 MB/s de escritura.  Incluye adaptador SD para poder usarse en otros equipos.</t>
  </si>
  <si>
    <t>Zapatillas de calidad. Normalmente uso la 41 porque la 40 me queda muy justa. Estas zapatillas, siendo una talla 41 me sientan casi como una 40. Así que ya sabéis, tallan un poco por lo pequeño. Por lo demás, buena calidad y plantilla interior muy cómoda.</t>
  </si>
  <si>
    <t>Perfectas para correr por pista y terreno pedregoso Son zapas ligeras y sobre todo perfectas para correr por pistas. La lámina de carbono mejora la pisada sobre piedras impidiendo que se te claven. Los tacos deberian durar más, en un año desaparecen y se quedan lisas y perfectas para jugar al baloncesto. Sin duda hay que coger un numero más si no quieres quedarte sin uñas. Son impermeables y perfectas para el campo.</t>
  </si>
  <si>
    <t>Me gusta Tiempo de entrega largo,por lo demas ,tiene gran potencia y da buen resultado,veremos su durabilidad.A esperar el tiempo dira si vale la pena el precio pagado.</t>
  </si>
  <si>
    <t>estupendo De momento, perfecto. Cómodo y práctico, no muy grande y ligero. No es como otros que he visto, demasiado grandes para mi gusto (y mi muñeca). Hasta ahora, contento con él</t>
  </si>
  <si>
    <t>Muy bonito El colgante es muy bonito. Tiene un tamaño que no es ni muy grande ni muy pequeño. La piedra azul es una preciosidad y tiene un brillo que hace que destaque. Además al ser de plata no hay problema con que pueda provocar alergias ni nada parecido y la combinación es preciosa. Lo compre para regalo y ha sido un exito.</t>
  </si>
  <si>
    <t>La use por dos años y sin ningún fallo La use durante 2 años tanto en smartphone como en cámara réflex y sin ningún problema. A favor la confiabilidad de la propia marca y Amazon, así como su coherente precio. Satisfecho con la compra.</t>
  </si>
  <si>
    <t>Fantastico Era lo que necesitaba, pues con largas horas de juegos, los brazos empezaban a doler, con estas almohadillas he encontrado un grato alivio, una gran recomendación para la gente que acaba con dolor en las articulaciones, de las manos.</t>
  </si>
  <si>
    <t>Deportivas Perfectas. Y muy bonitas y cómodas. Muy buena calidad precio.</t>
  </si>
  <si>
    <t>Su comodidad no hay otro igual Precio calidad</t>
  </si>
  <si>
    <t>Aspira muy bien Muy buena compra. No hace mucho ruido.tiene mucha potencia. Es comodo de manipular, vaciar, desmontar...quizas pesa un poco. Pero vale la pena. muy contenta con la compra</t>
  </si>
  <si>
    <t>Excelente lo recomiendo Excelente, cumple con las expectativas</t>
  </si>
  <si>
    <t>Lo recomiendo Los utilice para pegar fotos instantáneas en un álbum y el resultado es excelente.</t>
  </si>
  <si>
    <t>Contento con la compra Cómo la esperaba, por delante pone "Be Happy" también en blanco y negro y es abrigada. eso si, recomiendo pedir una talla más de la que tengáis. Satisfecho con la compra me gusta mucho!</t>
  </si>
  <si>
    <t>Bueno Se siente el olor con unas cuantas gotas.</t>
  </si>
  <si>
    <t>Calidad y comodidad Es cómodo y calidad Nike a buen precio</t>
  </si>
  <si>
    <t>Cumple perfectamente Buscaba una funda que no abultara mucho. Tambien que funcionase el sitema de supenso automatico. Tengo que decir que me ha sorprendido agradablemente. Se acopla perfectamente al lector, protegiendo tanto la pantalla como la parte posterior. La tapa tiene un fieltro suave que protege de arañazos el frontal, siendo lo suficiente rigida para proteger el lector. Deja accesible las conectores para el Usb, pudiendo manipularse sin problemas. La suspensión se activa y se desactiva al cerrar la tapa, funciona sin problemas. Compra muy recomendable, por precio calidad</t>
  </si>
  <si>
    <t>calidad-precio estupendo La verdad es que es lo que buscaba, una batidora sencilla sin accesorios, y va estupenda. Si se pudiera quitar la parte inferior para lavarla mejor, sería perfecto. Ah! y si viene con vaso batidor que no esta puesto en la web</t>
  </si>
  <si>
    <t>elultimokzierre Bandolera de muy buen material,compacta y con gran cantidad de compartimentos que resultan muy utilizables. La volvería a comprar sin duda</t>
  </si>
  <si>
    <t>perfectas Elegí la valoración por el precio y por el numero de opiniones del suministrador y la verdad es que todo perfecto</t>
  </si>
  <si>
    <t>ok muy buena y cómoda zapatilla, le faltaría un poquito de grip, pero son increibles</t>
  </si>
  <si>
    <t>Funciona en zapateros! Lo uso para Zapateros y el Resultado espectacular! Apenas tiene un Mes de uso y los olores han desaparecido.</t>
  </si>
  <si>
    <t>Mala calidad Plumero y alargador tienen una rosca diferente.</t>
  </si>
  <si>
    <t>Hay que pedir un número más del que uno usa. Yo calzo un 42 de pie y en la zapatillas es pequeño. El artículo es el que es.</t>
  </si>
  <si>
    <t>Da el pego Da el pego</t>
  </si>
  <si>
    <t>No incluye destornillador El envío no incluye destornillador para el montaje, por lo que es inútil pedirlo. Es un destornillador especial para estos relojes. no recomiendo pedirlo si no te aseguras antes de tener la herramienta.</t>
  </si>
  <si>
    <t>Tirada de dinero Me parece una tirada de dinero brutal!!!! Tengo problemas d espaldas y me duele y encima no escurre nada!!!! Deja el suelo tan empapado q tarda la vida en secarse</t>
  </si>
  <si>
    <t>Dos velocidades, 3 accesorios y una potencia (600W) bien aprovechada Esta BATIDORA sólo tiene dos velocidades, “normal” y “turbo”,  que se seleccionan simplemente pulsando un botón. No es una batidora de gran potencia (a la velocidad turbo son 600W) pero es eficaz para triturar de forma homogénea verduras y casi cualquier tipo de alimento (si trituras carne  ya cocinada, dependiendo de qué tipo de carne puede que no quede muy fina y no sirve para picar hielo porque haría falta mucho rato a riesgo de quemar el motor). La textura de los alimentos una vez triturados es bastante fina aunque en ocasiones es necesario usar el chino para quitar las pieles o los hilos de las verduras que no han quedado triturados adecuadamente como es el caso de algunos tipos de tomate que tienen la piel gruesa o algunas verduras como los puerros. No es excesivamente ruidosa (85dB), y el mango es ergonómico lo que la hace fácil de manejar. El brazo de la batidora es desmontable y se puede lavar en el lavavajillas, aunque yo prefiero lavarlo a mano inmediatamente después de usarlo, secarlo y guardarlo.  Mi batidora venía con varios 3 ACCESORIOS: Un VASO GRADUADO de 600 ml muy manejable que tiene un tamaño adecuado para triturar alimentos y hacer mezclas aunque en ocasiones se queda un poco corto, dependiendo de lo que cocines y para cuántos cocines.  Por ejemplo, lo uso para hacer cremas para dos personas o batir claras a punto de nieve pero si hago crema para toda la familia, trituro las verduras directamente en la olla. El modelo “sin accesorios” lleva también el vaso graduado. Un BRAZO DE VARILLAS para levantar claras a punto de nieve (lo hace muy rápido), batir mezclas para pasteles, etc.  que funciona muy bien. Una PICADORA que tiene unas cuchillas muy afiladas y pica rápido y bien. En casa la utilizamos para preparar salsas (pesto por ejemplo), hacer pan rallado cuando tenemos pan duro, hacer “picadas” para las sopas y cremas, etc. pero también se puede utilizar para picar carne con resultados bastante satisfactorios (en relación a su potencia, claro). Además tiene una tapa por si queremos guardar los alimentos que hemos picado y va muy bien cuando lo que picamos no lo vamos a consumir de inmediato.  Si eres una persona que no se complica la vida cuando cocina y prepara recetas sencillas, esta batidora te irá bien. Pero si eres “cocinillas” y te gusta preparar recetas complejas, quizá se te quede un poco corta.</t>
  </si>
  <si>
    <t>Lo que buscaba Ya que el tipo de agua de mi ciudad es muy dura, necesito usarlas en cada lavado y por cantidad y precio no encontré ningún sitio mejor</t>
  </si>
  <si>
    <t>Ajustado. Bien aunque talla pequeño</t>
  </si>
  <si>
    <t>No es de 2,5" En la descripción de dice que es un disco de 2'5" y no lo es. Es un disco de 3.5 más estrecho pero obviamente no me vale. Le doy las estrellas pq creo que es un buen producto,pero no lo descrito.</t>
  </si>
  <si>
    <t>Mochila bandolera Bien calidad precio, un poco basto.</t>
  </si>
  <si>
    <t>Calienta, es suave y cubre los hombros muy bien Es suave, tiene 3 posiciones de temperatura , cubre la espalda, cuello y hombros , la compré por problemas d cervicales d mi mujer y le ha gustado mucho, precio calidad está bastante bien, referente al envío y transporte de amazon muy bien como siempre.</t>
  </si>
  <si>
    <t>bien !recomento &lt;div id="video-block-R10JGUJ9CO5TDO" class="a-section a-spacing-small a-spacing-top-mini video-block"&gt;&lt;div tabindex="0" class="airy airy-svg vmin-supported airy-skin-beacon" style="background-color: rgb(0, 0, 0); position: relative; width: 100%; height: 100%; font-size: 0px; overflow: hidden; outline: none;"&gt;&lt;div class="airy-renderer-container" style="position: relative; height: 100%; width: 100%;"&gt;&lt;video id="7" preload="auto" src="https://images-eu.ssl-images-amazon.com/images/I/B1izqZwp-6S.mp4" style="position: absolute; left: 0px; top: 0px; overflow: hidden; height: 1px; width: 1px;"&gt;&lt;/video&gt;&lt;/div&gt;&lt;div id="airy-slate-preload" style="background-color: rgb(0, 0, 0); background-image: url(&amp;quot;https://images-eu.ssl-images-amazon.com/images/I/81HD7yPZM2S.png&amp;quot;);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center;"&gt;0:00&lt;/div&gt;&lt;div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value="https://images-eu.ssl-images-amazon.com/images/I/B1izqZwp-6S.mp4" class="video-url"&gt;&lt;input type="hidden" name="" value="https://images-eu.ssl-images-amazon.com/images/I/81HD7yPZM2S.png" class="video-slate-img-url"&gt;&amp;nbsp;es una mini mochila muy guapa,que me gusta mucho con mucho bolsillo cabe muchas cosas</t>
  </si>
  <si>
    <t>Mejor de lo esperado Producto de calidad. Viene presentando en estuche con manual de instrucciones y garantía. Buenos acabados, y hasta ahora funciona perfectamente sin atrasar ni adelantar la hora</t>
  </si>
  <si>
    <t>MUY BUENA ES FUNDAMENTAL HOY DIA LLEVAR CON TIGO LA CAMARA DE FOTOS DIGITAL Y UNA TARJETA DE MEMORIA COMO ESTA DE DOS EN DOS PARA PODER LLEVARTE CON TIGO TODO AQUELLO QUE TUS OJOS DECIDAN QUE ES INTERESANTE PARA TÍ Y PARA TU RED DE AMIGOS CON LOS QUE COMPARTES TU VIDA .TARJETA DE MEMORIA DE 64 G.B. "CUANTAS HORAS DE BUENOS RECUERDOS , DE LUGARES MARAVILLOSOS UNIDOS A MI VIDA PARA SIEMPRE.-".- G R A C I A S</t>
  </si>
  <si>
    <t>Todo funciona genial. Buena calidad. Lo he usado un par de veces y va estupendo. No tienes más que enchufarlo al portátil y ponerte a pasar diapositivas. La instalación la hace Windows en cuestión de segundos. Es muy útil que lleve la pestaña para sujetarlo al bolsillo y que a resulte como un boli. Puedes magrearlo en la conferencia como si de tal se tratara. El puntero perfecto, no deslumbra como otros más potentes que, si la sala está un poco oscura, brillan mucho más que las dispositivas resultando molesto y contraproducente. Y los materiales parecen de buena calidad, por lo que genial.</t>
  </si>
  <si>
    <t>Bateria larga duración Me compré estos auriculares para utilizarlos en el trabajo. La verdad que de momento muy contenta con su rendimiento. La duración de la batería me da para todo el turno (8 horas) y son muy cómodos de llevar puestos. Traen diferentes tamaños de almohadillas para adaptarlas al oído, según cada persona. La calidad de sonido muy muy buena, muy buenos graves. En resumen muy contenta</t>
  </si>
  <si>
    <t>Bien Perfectos</t>
  </si>
  <si>
    <t>Excelente Excelente</t>
  </si>
  <si>
    <t>Aromas agradables He comprado esta caja con 8 botes de aceites esenciales, cada una de un aroma diferente y como yo los uso habitualmente en un humificador los voy cambiando para no cansarme del mismo aroma todos los días. Pongo unas gotas en el agua y al encenderlo sale el vapor aromatizado.</t>
  </si>
  <si>
    <t>Recomendables Están genial! La sujeción es buena para deporte de bajo impacto, por las opiniones leí que daban mucha talla y pedí una menos de la que soy y siguen estando grandes, así que recomiendo pedir 2 tallas menos de la que usas habitualmente</t>
  </si>
  <si>
    <t>Bien Es justo lo que se espera de un cable midi.</t>
  </si>
  <si>
    <t>perfecto todo ok</t>
  </si>
  <si>
    <t>Los clásicos no fallan. Un casio de manijas, sencillo, clásico y útil. Se me adelantó 20 minutos la primera semana, pero sospecho que tuve que hacer algo accidentalmente, porque desde que lo volví a poner en hora funciona perfecto.</t>
  </si>
  <si>
    <t>Correcto Ok</t>
  </si>
  <si>
    <t>Práctico y buen material Tiene bastante peso para dispensar el celo sin tener que hacer malabarismos con las dos manos, aunque hay que sujetar ligeramente el soporte.</t>
  </si>
  <si>
    <t>Una absoluta gozada Solo decir que son las mejores y más cómodas zapatillas que he tenido nunca. Se adaptan a mi pie ancho perfectamente. Tengo problemas en el talón de Aquiles de cuando jugaba al fútbol y me van genial porque tienen el talón alto y son muy mullidas. Recomendadas al 100%.</t>
  </si>
  <si>
    <t>Tal cuál como en las fotos Me ha gustado la tela de la camisa, algo negativo es que es un poco larga, pero queda genial metida dentro del pantalón!</t>
  </si>
  <si>
    <t>muy buenas todo correcto, los he utilizado con dos niños y duran mucho, son de buena calidad y cumple las expectativas. vale la pena el dinero que he pagado.</t>
  </si>
  <si>
    <t>Muy grande He comprado la talla XS, y es enorme</t>
  </si>
  <si>
    <t>Bonitisimos Mas grandes de lo esperado, son pesados</t>
  </si>
  <si>
    <t>No son originales No son originales. No se adaptan del todo bien, con algún movimiento se desengancha de la clavija y el terminal no deja de enviarte mensajes que conectes unos originales.</t>
  </si>
  <si>
    <t>Malísimo Desde el primer día funcionaba muy lento. Un mes después habiendolo usado 3 veces para copiar unos archivos multimedia, ya no funciona y no lo reconocen los dispositivos.</t>
  </si>
  <si>
    <t>Buena compra. Muy sencilla de programar, sin complicaciones, parece robusta y viene con tornillería y agujeros para anclar. Relación calidad y precio, buena.</t>
  </si>
  <si>
    <t>Bonitos Bastante bonitos y no pesan mucho.</t>
  </si>
  <si>
    <t>En mi caso tallan más de lo normal Las zapatillas están bien en cuanto a diseño y calidad pero a mí me quedaban bastante grandes un 37, suelo utilizar este número.</t>
  </si>
  <si>
    <t>Esta molt bé M'ha agradat que també es pogui fer servir al cotxe</t>
  </si>
  <si>
    <t>DECEPCIONADO BUENAS TARDES.    He comprado dos unidades de este modelo, en general contento , pero esperando que tuviera actualizaciones que mejoraran sus funcionalidades, que " evolucionara", como vemos que en otras marcas  sucede cada pocos meses.    A dia de hoy no ha habido ninguna, ni la tan prometida del mapeo para mas de una planta y tampoco  ninguna que añadiera alguna de las multiples posibilidades que vemos que tienen estas maquinas en otras marcas, en modos  de limpieza , etc.  UN SALUDO A TODOS</t>
  </si>
  <si>
    <t>Justo lo que necesitaba Es justo que que estaba buscando</t>
  </si>
  <si>
    <t>👍👍👍 perfecto!! Es genial, a mi hija de 8 años le encanta. Buena compra. 👍👍👍</t>
  </si>
  <si>
    <t>Muy buenas Botas de gran calidad en su fabricación y materiales. Quedan muy bien con unos vaqueros. Yo las encontré a mitad de precio que en tienda así que encantado. No son tan para invierno como pensaba pero para entretiempo van perfectas</t>
  </si>
  <si>
    <t>Buenissimo Yo no estaba convencido de comprarlo ya que habia la pelicula muchas veces y creia que ya no seria emocinante la historia. Sin duda, me equivoqué. Lo termine en 3 dias. Ha sido como volver ha meterse en la historia de la pelicula pero con mas escenas y todo mas detallado. En la pelicula se saltan algunas cosas.</t>
  </si>
  <si>
    <t>Los mejores calidad precio. Relación calidad precio los mejores. He probado los xiaomi y los Enacfire future plus y Enacfire e-18, estos dos últimos los mejores valorados en Amazon, y los xiaomi los más parecidos, de todos me quedo con estos, sobre todo por el tamaño, muy pequeños, los future plus también funcionan muy bien pero son grandes.</t>
  </si>
  <si>
    <t>Cadenita y Colgante Copo de Nieve en Plata de ley Fabricada en Plata de ley 925 con una longitud de la cadena: 45-50 cm Tiene un acabado de rodio que no oxida. El colgante es un Copo de Nieve, con 5A circonita. Tiene un tamaño de 14,48 * 12,59 mm y un peso: 3,6 g. Pensaba que era más grande por las fotos, pero realmente la cadenita es finita y el copo bastante pequeñito. Estoy encantado. Lo compré como regalo para mi compañera y le ha parecido fantástico, se ha quedado prendada con ella y esa era mi intención. Con lo que solo puedo decir OBJETIVO CONSEGUIDO. Ha sido una maravillosa lección y estoy repitiendo, en cuanto tenga alguna justificación para realizar otro regalo. Estoy muy contento con el fabricante y el vendedor que me motivaron para realizar la compra. Os adjunto unas fotos para que apreciéis: El perfecto embalaje. Cajita encantadora para regalo. Y delicadeza en el buen hacer, de todos los que han tratado mi pedido y el producto. Evidentemente REPETIRÉ y repito cada poco tiempo.</t>
  </si>
  <si>
    <t>Necesarios en el hogar Cumple su función</t>
  </si>
  <si>
    <t>Bien Funciona y la oferta vale la pena</t>
  </si>
  <si>
    <t>CASIO =CALIDAD Me llegó un día mas tarde, raro en Amazon. Venía bien enpaquetado y protegido dentro de un estuche de aluminio, fue sacarlo y dar el dia, mes, hora correcto en cuanto le dio la luz. Batería a tope y sin ningún rasguño. El libro de las instrucciones viene también en Español y eso es de agradecer. Es muy fácil de manejar y 2 veces al dia se actualiza la hora por lo menos 2 veces en el Sur. Como es normal en los Casio las alarmas suenan bajo eso se lo podían haber currado en un reloj moderno como es este. Como ya han dicho en varias ocasiones el manejo de los botones es dificultoso porque no sobresale aunque tiene su lado positivo es mas difícil de dañarlos y no se está todo el dia manejandolos osea es un mal menor. La luz del reloj es potente y dura un par de segundos cada vez que se le da al botón , suficiente para ver la hora. El reloj se ve que es  robusto a pesar de las medidas mas bien normal /pequeño. Es ligero y mas si estas acostumbrado a relojes de manecillas como es mi caso. Te puedes duchar, ir a la piscina tranquilamente ya que es resistente al agua y doy fe. En difinitiva si buscas un reloj duro, solar, y que no sea grande es este sin duda.</t>
  </si>
  <si>
    <t>Comodos y de facil limpieza Me encantan, son muy cómodos y fáciles de limpiar. El envío como siempre perfecto. Importante fijarse en los números medios, yo calzo un 42.5, anteriormente había pedido el 43 pero los pude cambiar sin problema y comodamente te los recogen en casa.</t>
  </si>
  <si>
    <t>Genial Es mucho mejor cuando llega! Sorprendida para bien!</t>
  </si>
  <si>
    <t>Olor duradero Los probé ayer por primera vez y me encantan, olor duradero con unas 5 gotas es suficiente, bienen en caja .</t>
  </si>
  <si>
    <t>Elegante Me gustó mucho pero tuve que devolverlo porque el pantalón me iba bien, pero la chaqueta de la talla M es muy ajustada y me iba muy pequeña.</t>
  </si>
  <si>
    <t>Buen SSD para cualquier portátil Se nota el cambio de velocidad de respuesta y ejecución en mi portátil, un MacBook pro del 2012, da gusto trabajar con el ahora. A ver cuánto dura así.</t>
  </si>
  <si>
    <t>Es suficientemente grande y de buena calidad Alfombrilla suficientemente grande como para cubrir la zona en la que utilizo el ratón y el teclado.</t>
  </si>
  <si>
    <t>Lingfeng ye Me encanta, lo he encendido para comprobar que funcionaba correctamente y me he quedado enganchada a él, no podía parar de cantar.asi mi hija quiere cantar cada día.</t>
  </si>
  <si>
    <t>Me han encantado. Me encanta la selección que viene. Al abrirlos estaban todos bien cerrados y precintados y me encanta la cajita donde vienen todos para tenerlo bien guardado y ordenado. Lo he usado para poner en un humidificador y con pocas gotitas huele mucho. Es un olor suave que no se te mete en la nariz que a veces molesta, este es el perfecto. También viene un papel donde salen las utilidades de los aceites. Es un acierto comprarlo, recomendadosimo.</t>
  </si>
  <si>
    <t>Lo wue esperaba Bien</t>
  </si>
  <si>
    <t>Mala calidad Las botas no están mal pero se han roto los enganches de los cordones el primer dia</t>
  </si>
  <si>
    <t>Bien pero las tuve que descambiar Las zapatillas son muy chulas pero da poca talla 2 numeros de diferencia</t>
  </si>
  <si>
    <t>Más económico que la esencia en frasco pequeño No resulta fácil su uso porque no trae cuenta gotas.</t>
  </si>
  <si>
    <t>Decepcionado Poca calidad, duran poco, en un mes o menos ya se me estropeó el auricular izquierdo, y eso que no tienen un mal uso</t>
  </si>
  <si>
    <t>No funciona .... No Funciona , nada mas poner la tarjeta junto a un tecnico salio el mensaje... tarjeta SD dañada,el telefono ni la reconocia,y solo hacia que reiniciarse,el tecnico la puso con el adaptador que trae a un pc y ni la reconocio y encima desconfiguro todos los puertos Usb y lectores , la puso en otro PC y le paso lo mismo , sospecho de que fuera una falsificacion y le hizo unas pruebas con el resultado POSITIVO "Falsificacion",menos mal que no la instale en en mi tablet de gama media / alta ni en mi telefono , si no , no se que que hubiera pasado,poeque si desconfuguro 2 PC no digo nada lo que le podria haber hecho a mis dispositivos. A sido de devuelta por estos motivos.</t>
  </si>
  <si>
    <t>No consigo que funcione,sin cable de red en menos de una hora lo mando a devolución de amazon por 2 motivos. El primer motivo es que no tiene cable de red (pensaba que ponía conectarlo con red). El segundo motivo es no consigo que el Mac reconozca el disco duro ,desconozco si hago algo mal pero como no hay un solo Led que te indique en que estado está el disco no se que tenía que hacer para que funcionara. Probare con otra marca,ya que no doy con la forma de hacerlo funcionar.</t>
  </si>
  <si>
    <t>Bien, para mi niño Buen producto, como la foto</t>
  </si>
  <si>
    <t>Esta bien Soy muy bonitas, lo único que no son del todo redondas, tiene una forma un poco chafada pero el brillo es bonito.</t>
  </si>
  <si>
    <t>cinta de embalaje buenas cintas de embalaje a un precio muy económico</t>
  </si>
  <si>
    <t>Bien Están muy bien para el precio que tienen. Secan rápido. La cintura aprieta un poco y deja marca, que es lo único que no me ha gustado mucho.</t>
  </si>
  <si>
    <t>Buen producto Super calentitas. Las mias son rosas y son monisimas</t>
  </si>
  <si>
    <t>Buena relación calidad-precio Ha sido un regalo. Funciona perfectamente. Lo único que me equivoqué y compré este en vez del que viene con el soporte de mesa. El envío muy rápido y producto de calidad en relación con el precio. Para  comenzar a grabar está estupendo. Lo recomiendo</t>
  </si>
  <si>
    <t>Buenas Vienen dos paquetes en uno, no lo sabia. El material es bueno y duradero, volvere a comprarlas van genial con mi plastificadora</t>
  </si>
  <si>
    <t>Buena relación calidad/precio Estoy super contenta con la compra. Una sudadera de buena calidad a buen precio.</t>
  </si>
  <si>
    <t>Best in town Para mi los mejores biberones</t>
  </si>
  <si>
    <t>Muy buen producto Muy buen producto. Cumple perfectamente lo que promete y ciertamente los cólicos se reducen notablemente Recomiendo totalmente este producto. Gracias</t>
  </si>
  <si>
    <t>Recomendables 100 por 100, por sonido y cumplen función para ejercicio. Mejor de lo q esperaba. Evita mucho el ruido externo, evitando esos que hay q ponerse encima de los oídos q se ven tanto y a mí me molestan.</t>
  </si>
  <si>
    <t>Ok Funciona bien, 100% recomendado</t>
  </si>
  <si>
    <t>ESTA VASTANTE BIEN bueno y barato cumple + que suficiente lo uso a nivel profesional  para entrevistas sin mucha importacia</t>
  </si>
  <si>
    <t>Zuecos de calidad, servicio de paquetería lamentable Los zuecos son muy bonitos y se ven de muy buena calidad y muy cómodos. En cuanto al servicio de entrega de paquetería lamentable, mucho retraso y barias reclamaciones, un horror...</t>
  </si>
  <si>
    <t>Quedan perfectos Me ha sorprendido el material y la calidad del zapato en general</t>
  </si>
  <si>
    <t>Aromas terapéuticos Nos ha encantado... el aroma terapéutico da un olor estupendo a nuestro hogar. Recomendable 100x100</t>
  </si>
  <si>
    <t>Comodidad Muy bien todo</t>
  </si>
  <si>
    <t>Perfectas. El tamaño perfecto la calidad perfecta todo perfecto todo perfecto todo perfecto eso es lo que dice mi novio.</t>
  </si>
  <si>
    <t>Gran compra. Buen precio, calidad y capacidad, ligero, aunque es mas grueso que otros modelos, por su capacidad vale la pena, todo en un bolsillo.</t>
  </si>
  <si>
    <t>Genial Genial</t>
  </si>
  <si>
    <t>perfecto para mi madre la ha gustado mucho. Es perfecto. Gracias</t>
  </si>
  <si>
    <t>XV Queda perfectamente encajado el disco externo. Por el precio q tiene no se puede pedir más. Buena apariencia y lo recomiendo.</t>
  </si>
  <si>
    <t>Parecia una ganga pero al final 30€ tirados a la basura No creo que me los ponga... además no se podrque el marron no es marron, es un marron grisaceo :( toda una pena porque pintaban bastante bien. Me los he probado y la puntera al ser estrecha queda bastante mal. Se me ha pasado el periodo de devolución y al final me los tengo que quedar :( Respecto a la calidad, es algo recia el material y no es comodo para ir descalzo. Además tenía un saliente en la arandela de las coordoneras y me ha arañado todo el pie :( bueno, ya he puesto correctamente la arandela en su sitio pero lo dicho... el color es una decepción y las fotos no hacen justicia para nada.</t>
  </si>
  <si>
    <t>sospechosamente pequeño y mal embalado No llegue a probar el producto porque me quedaba muy pequeño. La etiqueta que venia cogida a la zapatilla parecia original, y no puedo decir que me parecieran copias, pero el embalaje tenia muy mala pinta. Era una bolsa sin ningun tipo de identificacion. Me pareció raro que no viniera en su caja.</t>
  </si>
  <si>
    <t>ES MUY LIGERO Y MUY PRACTICO CALIDAD Y PRECIO SON CORRECTOS</t>
  </si>
  <si>
    <t>Que no lo volveré a pedir mas &lt;div id="video-block-RREXNMAMW1XYD" class="a-section a-spacing-small a-spacing-top-mini video-block"&gt;&lt;div tabindex="0" class="airy airy-svg vmin-unsupported airy-skin-beacon" style="background-color: rgb(0, 0, 0); position: relative; width: 100%; height: 100%; font-size: 0px; overflow: hidden; outline: none;"&gt;&lt;div class="airy-renderer-container" style="position: relative; height: 100%; width: 100%;"&gt;&lt;video id="7" preload="auto" src="https://images-eu.ssl-images-amazon.com/images/I/A1f-JTSIl5S.mp4" style="position: absolute; left: 0px; top: 0px; overflow: hidden; height: 1px; width: 1px;"&gt;&lt;/video&gt;&lt;/div&gt;&lt;div id="airy-slate-preload" style="background-color: rgb(0, 0, 0); background-image: url(&amp;quot;https://images-eu.ssl-images-amazon.com/images/I/71lofTzhJAS.png&amp;quot;);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center;"&gt;0:00&lt;/div&gt;&lt;div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value="https://images-eu.ssl-images-amazon.com/images/I/A1f-JTSIl5S.mp4" class="video-url"&gt;&lt;input type="hidden" name="" value="https://images-eu.ssl-images-amazon.com/images/I/71lofTzhJAS.png" class="video-slate-img-url"&gt;&amp;nbsp;Ha venido sin caja y sin papeles</t>
  </si>
  <si>
    <t>Huele mal ... y mala calidad a mas no poder Llego bien muy rápido , la sorpresa .. hay que hervir antes de usar dos veces pues en esas dos veces el culo se puso negro y huele mal ... muy barato pero muy malo</t>
  </si>
  <si>
    <t>producto original, cumple con las expectativas La tarjeta de 128gb realmente deja 116Gb de uso una vez formateada. Las pruebas de velocidad ronzan los 100Mb/s que índica el fabricante, y creo que se en las pruebas no llega al máximo debido a la interfaz que estoy utilizando para hacer las mediciones. En el uso real con el teléfono funciona perfectamente incluso grabando vídeo a 4k, por lo que cumple con lo esperado, no hay retardos ni fallos de lectura. También lo he utilizado temporalmente con la cámara de fotos y no tengo problemas de latencia, por lo que el funcionamiento es correcto, al menos de momento. La tarjeta llega precintada junto con un logotipo de seguridad de Hp y un número de serie de autenticidad, se agradece que incluye ademas una tarjeta adaptador Sd-MMC. Cumple con las expectativas</t>
  </si>
  <si>
    <t>Reloj resistente y duro pero con una iluminación mejorable No he podido probar todas sus funciones pero de momento muy bien, se ve resistente y duro (en YouTube podéis ver videos de las guarradas que le hacen y el peluco ni se inmuta). Sólo tiene un pequeño defecto... en la oscuridad la luz no es muy efectiva, las pantallas digitales prácticamente no se ven (aunque tampoco es muy importante para mi) y las manecillas del reloj se ven mejor pero tampoco para hechar cohetes. Si a media noche te despiertas y quieres saber la hora te costará un poco.</t>
  </si>
  <si>
    <t>Encaja Copia de seguridad</t>
  </si>
  <si>
    <t>algo pequeño pone para una talla 95 pero es algo pequeño para esa talla, el dibujo se correspondia con el producto anunciado</t>
  </si>
  <si>
    <t>Recomendada para vídeos 4K Este tipo de memoria microSDXC es de tipo U3, lo que significa que está especialmente indicada para transferencias de lectura y escritura a muy alta velocidad, algo necesario si queremos grabar vídeos en 4K. Debido a que muchos móviles ya incorporan la posibilidad de grabación a esta resolución, creo que la inversión es más que razonable, ya que tiene una capacidad elevada y es algo necesario para los tamaños de los vídeos en 4K. Yo recomiendo grabar siempre a la máxima resolución, ya que dentro de nada será un estándar y así seguirá un tiempo, por lo que si ahora estás grabando en HD o FULLHD, error, dentro de un tiempo te parecerá borroso. El ojo se acostumbra pronto a lo bueno.  La tarjeta es microSD pero viene con adaptador SD, perfecto para conectar a los portátiles, por ejemplo, si quieres usarla como SD o hacer backups.  He hecho una prueba de velocidad de escritura y supera los 30 Mb/s, que está muy bien, aunque debería ser algo más según las especificaciones, aunque es cierto que mi portátil tiene ya más de 5 años.  El funcionamiento en el corto plazo ha sido correcto.  Además promete que es waterproof, aunque no he querido comprobarlo. Entiendo que sí al no llevar partes mecánicas, pero no le encuentro mucho sentido, porque si lo llevas dentro de una cámara que no es waterproof, no sé qué utilidad tiene eso. Que resista la temperatura me parece más lógico, porque los dispositivos muchas veces se calientan mucho.  En definitiva, una opción muy correcta con buena relación calidad/precio.  No le pongo todas las estrellas ya que no ha sido una prueba a largo plazo y eso habrá que valorarlo más detenidamente después de un tiempo continuado de uso.</t>
  </si>
  <si>
    <t>Eva Está genial este pantalón y de precio mucho más barato q en tiendas. Se ve de calidad y es muy cómodo. Cogí la talla M ya q suelo gastar 38/40 y me va perfecta. Lo recomiendo</t>
  </si>
  <si>
    <t>Me encanta!! Dude, pero ahora estoy super contenta, me gusta mucho la tela, es fresquita, caida, fina, ideal para verano, los colores son exacto al de la imagen, queda chulisimo, estoy pensando en comprarme otro.</t>
  </si>
  <si>
    <t>Buena calidad de sonido Me encantan, son muy cómodos de llevar y se escuchan genial. La batería dura mucho ya que la propia funda actua de cargador, además es muy bonita y elegante, por fuera es como de cuero, para un regalo están geniales.</t>
  </si>
  <si>
    <t>Cómo esperaba Me llegaron  pronto y quedan super chulas</t>
  </si>
  <si>
    <t>Más vale maña que fuerza Es una cortadora versátil y muy útil. Fácil de usar y practica. Corta hasta doce hojas de papel. El brazo que tiene es una buena idea y el servicio del vendedor excelente. La recomiendo.</t>
  </si>
  <si>
    <t>Buena compra Me ha impresionado.  Muy cómoda y con muchos casos para lo q gustes</t>
  </si>
  <si>
    <t>Muy buena relación calidad precio. Compra totalmente recomendable Acabo de recibirlos y es super fácil enlazarlos con el móvil (yo tengo un Xiaomi Redmi Note 7). Ojo hay que retirarles un plastiquito muy pequeño color azul en las conexiones que haran contacto con la caja se vuelve a poner en la caja asegurarse que los puntos de conexión con la caja hacen contacto. Se iluminarán en rojo. Se vuelven a sacar y en los ajustes del móvil seleccionamos Bluetooth y ya nos tienen q aparecer los Airdots incluso su nivel de batería ( a mi me vinieron con el 100% ) y nada más, no tuve q hacer nada más como leì algun@ q los tenía que emparejar o algo así. Tienen mucho volumen y la calidad del sonido no es q sea espectacular pero tampoco se le puede pedir mas por el precio q tienen (según q canciones y de donde las hayas bajado). Para recibir llamadas sólo hay q pulsar uno de ellos para oir y contestar la llamada ( yo los probé dentro de casa y se oye perfectamente, no sé en la calle). Lo malo q no se pueda cambiar de canción y haya q ir al movil a cambiarla pero por el precio (yo los compré en Amazon por 21,80 € gastos de envío incluidos) son un chollo. Compra totalmente recomendable.</t>
  </si>
  <si>
    <t>Cumple con las espectativas Funciona bien.</t>
  </si>
  <si>
    <t>A llegado perfectamente 😊 Me a encantado  quede encantadicima ami chico le encantará 🤩😍gracias  Amazon,😊</t>
  </si>
  <si>
    <t>todo correcto envio rapido y todo correcto, buena compra</t>
  </si>
  <si>
    <t>Hacer te Me gusta es practico</t>
  </si>
  <si>
    <t>Riñonera muy practica Perfecta</t>
  </si>
  <si>
    <t>Perfectas. Llevaba mucho tiempo detrás de unas botas Timberland, después de que Amazon me avisara de una oferta, me arriesgué a pagar un buen dinero, muy rebajadas, pero aún asi una cantidad importante.  No han defraudado, completamente originales, huelen a piel, son calentitas, completamente impermeables y con solo pedir medio numero menos, quedan como un autentico guante. A todo aquel que esté pensando en adquirir unas botas de invierno, que no escatime en gastos, este tipo de botas te acompañaran durante años y años.</t>
  </si>
  <si>
    <t>Super relajante para masajes Le he dado una sorpresa a mi mujer, le he dado un masaje y le ha encantado, le gusta mucho el olor y dice que es muy relajante, vamos que se ha puesto cachonda como una perra.</t>
  </si>
  <si>
    <t>Calienta rapido Calienta a 50-55 grados 20 litros en aproximadamrbte 5 minutoa</t>
  </si>
  <si>
    <t>Estupendas! Número perfecto, mi número 40 y es el q he pedido. Comidas , impermeables y muy abrigadas. Las uso a diario en Londres y encantada.</t>
  </si>
  <si>
    <t>Producte adequat És tal com reflexa la foto, mesura 40mm. i és força prim. Destaca la bellesa de la seva simplicitat. El vaig comprar per la meva dona i va estar contentíssima.</t>
  </si>
  <si>
    <t>Fabuloso para hablar Llevo 3 días con él y es lo mejor que he podido comprar, se oye a la perfección y la batería le dura muchísimo. Además son muy cómodos de llevar. Muy contento con los auriculares</t>
  </si>
  <si>
    <t>Pequeños y potentes Correcto, lo que esperaba</t>
  </si>
  <si>
    <t>No comprar para leche de fórmula Tenia muchas esperanzas en las tetinas calma porque me habían dicho era lo mejor para mezclar pecho y biberón. Estas tetinas no sirven para formula solo para leche de lactancia. Con formula se tapona constantemente lo que hace que los niños se desesperen. He probado a desacr la fórmula a mayor temperatura pero igual se atasca. Solo psea leche materna es bueno.</t>
  </si>
  <si>
    <t>Cumple su función Lo he probado enchufandolo directo al móvil y a una interfaz usb focusrite y funciona correctamente. He comprado un mini pie (de los de poner encima de la mesa) y por el peso a veces se cae; recomiendo usarlo con un pie de micro normal.</t>
  </si>
  <si>
    <t>Calidad mejorable Calidad normalita acorde al precio. El funcionamiento es correcto aunque el cable es demasiado rigido comparado con otros que tengo.</t>
  </si>
  <si>
    <t>Gran decepcion Soy informatico,tenia un solido(marac Crucial) en mi portatil de 240gb que me daba un velocidad de lectura de 540Mgb,he comprado dos iguales y los dos no llegan de la misma capacidad,siendo la misma marca y el mismo modelo y los dos de 960gb segun el fabricante,uno viene con 920gb y el otro 890gb.....muy raro y sospechoso.    Lo peor es que en el mismo portatil solo me dan 300Mbs de velocidad de lectura,un poco mas de la mitad que mi antiguo ssd de 240gb. Aconsejo gastarse un poco mas de dinero y comprar otra marca/modelo.   Una gran decepcion</t>
  </si>
  <si>
    <t>Es falso, imitacion china El reloj en principio parecia bueno pero ya vi la tarjeta de garantia en la que tu debes rellenar num de serie etc etc y eso no es asi en los relojes sieko (tengo otro). Ademas en la esfera en la parte de abajo se ven defectos tiene puntos blancos por que no se ha realizado bien el cortado de la misma. En fin no lo recomiendo mejor comprar uno de verdad aunque valga un 35% mas caro que este.</t>
  </si>
  <si>
    <t>Magnifico Rascador Lo mas importante no araña, otros modelos arañan y al final es molesto a la par que doloroso, esta esta muy bien y al ser telesopico es muy largo. Lo recomiendo</t>
  </si>
  <si>
    <t>eficaz lo recomiendo por relacion calidad precio,va rapido, y pesa poco. los portes buenos precios como siempre. lo recomiendo al igual que el kimstom data traveller 100 g2, los tengo los 2 y van genial.</t>
  </si>
  <si>
    <t>Es Rode, algo caro pero excelente calidad. La suspensión reduce muchísimo el ruido y las vibraciones al manipular la pértiga o si accidentalmente la golpeas. Lo uso principalmente junto con un NTG4 y un Boompole tambien de Rode. Después de medio año ha soportado muchos rodajes y sigue como el primer día excepto por las almohadillas grises, que se han ensuciado tanto que ya no hay quien las limpie, hubiese estado bien que Rode las fabricara en negro directamente. Si buscas material de sonido de primera calidad Rode es una gran marca y sus productos siempre son de la mejor calidad. Todo mi equipo de sonido es de Rode a excepción de la grabadora que es de Tascam (ya que es lo único que no fabrica Rode) y la verdad es que producto que compro de ellos producto que dura años.</t>
  </si>
  <si>
    <t>Calor muy duradero Lo uso para la camita de mis chihuahuas y dura caliente toda la noche. Lo único malo es que no es desenfundable pero le pones tu una funda y listo</t>
  </si>
  <si>
    <t>Color original y muy bonitas Muy bonitas y cómodas.  El color es original y poco visto</t>
  </si>
  <si>
    <t>Me encantan. Buenas bambas. Muy confortables y eso q tengo los pies delicados. Las uso para fitness y para la calle con tejanos. Sobre la calidad de las zapatillas, si no la maltratas mucho (lluvia, barro...) seguirán como el primer dia. Muy recomendable.</t>
  </si>
  <si>
    <t>Gran batidora de vaso Ideal para batidos de frutas y verduras. Lo deja bien triturado y es facilísima de limpiar.</t>
  </si>
  <si>
    <t>Excelente reloj Súper contento con esta compra , muy buen reloj a excelente precio y lo más importante 100% original , después de varios meses usándole le doy un 10 .</t>
  </si>
  <si>
    <t>Sorprendente Un reloj con carcasa y cadena metálicas y unos acabados bastante interesantes a un precio risible.</t>
  </si>
  <si>
    <t>Cómodas y trendy Me gusta su diseño. Son cómodas no muy altas y era lo que buscaba  Yo me compre un talle más. Así las puedo usar con medias grandes</t>
  </si>
  <si>
    <t>calidad precio estupendo Lo volveré a comprar cuando se me estropeé, va muy bien, la cinta recoge bien, no se para ni baja super rápido que haya que vigilar. El tamaño es correcto, la carcasa tiene parte de goma dura para los golpes.</t>
  </si>
  <si>
    <t>Muy contento con la compra Creo que tiene una relación calidad-precio adecuada. Da la hora, es cómodo, aguanta la presión acuática (al menos dos duchas desde que ayer lo recibí, y no tengo queja). Ligerito de peso, quizá influenciado por el cristal fino (o plástico) que tiene de cobertura. A ver como responde de aquí en adelante. De momento, cumple la expectativa.</t>
  </si>
  <si>
    <t>Muy bonita Igual que la foto</t>
  </si>
  <si>
    <t>Cumple con lo ofrecido La jarra es muy bonita y calienta rápido es agua. Estoy muy contenta con la compra.</t>
  </si>
  <si>
    <t>Pantalla digital Buenos auriculares tactiles y con caja que le Aporta bateria. Ademas la caja cuenta con una pantalla led que indica el porcentaje de bateria de cada auricular.  Tambien incorporan varias adaptadores de silicona para cada tipo de oreja. No olvidemos que incorpora tambien una bolsilla de tela un poco regular pero muy practica</t>
  </si>
  <si>
    <t>Sudadera Muy bonita y de buena calidad</t>
  </si>
  <si>
    <t>Gran capacidad, muy fácil de usar El diseño es bonito, el funcionamiento muy simple, de momento funciona correctamente y expande bien el aroma. La ventaja principal es su gran capacidad, que hace que no haya que estar rellenando el depósito continuamente.</t>
  </si>
  <si>
    <t>Cómodas Me han encantado la textura y lo blanditas que son. Se adaptan al pie perfectamento, de momento no veo nada negativo</t>
  </si>
  <si>
    <t>Práctica y bien rematada Buena mochila de pecho para llevar lo indispensable a tu alcance y controlado sobre todo para ciertos eventos y viajes en moto. Sorprende la calidad, los múltiples departamentos y que sea impermeable. Buena compra.</t>
  </si>
  <si>
    <t>Compra perfecta :) Están muy bien de precio y apenas gastas unas gotitas en cada uso. Huelen muy bien todas las esencias :)</t>
  </si>
  <si>
    <t>Barato y con buen funcionamiento Suena bien y es fácil de usar. Estoy muy contenta con el producto, lo malo que es que tiene solo un metro de largo y he tenido que comprar un alargador, pero en general bien.</t>
  </si>
  <si>
    <t>Perfecto Una compra perfecta, el agua aguanta 24h, va perdiendo temperatura pero no del todo. Super practico</t>
  </si>
  <si>
    <t>Feas No es lo que  parecía en la foto</t>
  </si>
  <si>
    <t>NO ME PARECE QUE FUNCIONARA CORRECTAMENTE Compré este lápiz de memoria y otro similar en todo: prestaciones y precio. Este iba mucho más lento y enseguida me empezó a dar problemas. El otro siempre funcionó de maravilla.</t>
  </si>
  <si>
    <t>Útil y económico Práctica y económico</t>
  </si>
  <si>
    <t>Lucia Las he devuelto. Eran demasiado anchas y no me gustaba el material eran como muy de plástico. No son lo q esperaba.</t>
  </si>
  <si>
    <t>Fallo de conexión Tiene un problema importante para ser reconocido en ordenadores y televisores. Finalmente he optado por devolverlo porque en mi TV Samsung nuevo, en medio de la reproducción de contenido, se desconecta; a veces tarda más, a veces menos, pero termina desconectándose.</t>
  </si>
  <si>
    <t>Lo esperado, bien El producto lo esperado , funciona perfectamente y mi ordenador con un ssd va muchísimo más fluido y demás, le doy bastante caña y con el calor que hace el pc llega a bastante temperatura y demás , por el momento perfecto, no le doy las 5 estrellas por que a mi parecer el metodo de envío (por parte del fabricante no de Amazon) no lo vi muy correcto simplemente una caja de cartón normal fino con el ssd, los drivers y las instrucciones, podían ponerle un embalaje exterior o una espuma para que llegue bien protegido , luego también (esto ya cosa mía) , podían añadir el cable sata o almenos los tornillos de la caja , que sin 4 tornillos y no led cuesta nada que fuera un producto perfecto.</t>
  </si>
  <si>
    <t>De buena calidad Son pantalones de chandal  buenos y baratos, con interior polar, no pasas frío con ellos, un poco grandes de talla , yo me quede con una M, pero como uso secadora se encogen un poco y quedan perfectos.</t>
  </si>
  <si>
    <t>Capacidad / rapidez. Buena capacidad añadida a dispositivos móviles. Está respondiendo muy bien a las necesidades de del teléfono y tableta.</t>
  </si>
  <si>
    <t>Funcionamiento correcto Funcionan bien, el adhesivo no es el mejor del mundo y se puede terminar soltando (cables, etc) pero en general están bien por el precio que tienen.</t>
  </si>
  <si>
    <t>Gran capacidad al mejor precio Es una tarjeta de memoria de 128 gigas. De la marca  Arcanite.  He de decir que no había oído hablar de esta marca, y en temas de informática y electrónica soy más partidaria de ir a lo seguro, pero aún así decidí probarla por su buen precio.  Tengo que decir que la lectura por el dispositivo fue instantánea, rápida y a la primera. Tiene una capacidad elevada, por lo que te aseguras almacenamiento de sobra.  Es una tipo SD y trae adaptador. En general, cumple bien su función y es económica. Una buena compra.</t>
  </si>
  <si>
    <t>Buen producto para cuidar nuestro cuerpo Este masajeador tiene varias velocidades lo cuál te permite ajustarlo a tus necesidades. Junto al calor permite reducir las contracturas del cuello y de la espalda, ayudándome a reducir el dolor que se me produce en el cuello al trabajar. No es ligero, pero es cómodo de usar y los beneficios que produce contrarrestan este inconveniente. El cable de alimentación podría ser un poco más largo, ya que tienes que tener muy cerca un enchufe donde alimentarlo. Muy recomendable si tienes problemas de cervicales y de contracturas.</t>
  </si>
  <si>
    <t>Gran calidad y sonido La verdad es que está muy muy bien, se siente robusto y de calidad tanto visual cómo al tacto, todos los complementos que puedes pedirle, soporte, brazo, antipop, esponja...  Y la calidad de sonido es excepcional, claro, nítido, sin ruidos ni extraños.  Merece la pena sin duda.</t>
  </si>
  <si>
    <t>Comodísimas! Pedir un número más que de zapato Segundo par que compro. Tenía miedo de que me quedaran pequeñas pero como en todas las deportivas un número más que de zapato es perfecto. Combinan bien con todo, chándal , vaqueros, chinos... Además, son las más cómodas que he probado.</t>
  </si>
  <si>
    <t>ESPECTACULAR Hay pomadas y aceites que funcionan muy bien, pero si quieres algo que sea inmediato y que valga para todos los dolores musculares y articulares este es tu remedio- Mis lumbalgias duran un par de días cuando antes duraban una semana. Mi padre la usa para la artrosis de las manos y mi madre para la rodilla. Éxito total!! Cunde muchísimo, y totalmente natural. Ya no faltará en casa. Gracias!!</t>
  </si>
  <si>
    <t>Muy buena relación calidad-precio Recomiendo la compra de estos auriculares para aquellos que no quieran pagar mucho dinero. El sonido es muy bueno y se adaptan muy bien a las orejas (vienen 3 tamaños de adaptador para el oído). Se pueden contestar las llamadas al smartphone simplemente presionando un boto que tienen los auriculares y que viene quedar junto al cuello. No tiene control de volumen (la única pega) a menos que descargues un determinado software de Sony en el Smartphone. Además viene con una funda muy útil para cuando no los usas y no quieres que se enrolle el cable. Yo estoy muy contento con la compra.</t>
  </si>
  <si>
    <t>zapatilla mujer Son super bonitas y prácticas, muy cómodas y se adapta muy bien a la forma del pie. Son realmente como me esperaba que fuesen.</t>
  </si>
  <si>
    <t>Muy buena relación calidad-precio He utilizado estas cintas para fabricar casas para gatos de colonias, callejeros. Estas casas se colocan en exterior y tienen que soportar lluvias, vientos, fríos helados. Por ahora el resultado está siendo fantástico, aguantan sin problemas.</t>
  </si>
  <si>
    <t>LO MEJOR Compré estas memorias RAM para sustitutirlas en mi PC ASUS de sobremesa, don un i7 y 6gb de RAM Kingston. Cambiar la memoria RAM es lo más sencillo del mundo. Busca en google. Con estas carácterísticas, me resulta de lo mejor del mercado ahora mismo. Excelente disipación de calor, velocidad a raudales y compatibilidad plena. Consulta tu placa madre para saber si es compatible con sus características. Mi pc arrancaba rápido, pero ahora es una bestia parda en todo. Lo próximo será comprar un SSD para el sistema operativo. Si antes era rápido, ahora un tiro. Otra recomendación es un SSD a vuestro PC.</t>
  </si>
  <si>
    <t>Me gusta porque soy fan La parte de abajo no queda muy bien enganchada y en el Mac no funciona pero me encanta</t>
  </si>
  <si>
    <t>Correcto Tal como se describe; la esfera y las horas se ven con mucha  claridad. Quizás como único inconveniente hay que ajustar la correa al tamaño de la muñeca.</t>
  </si>
  <si>
    <t>Ana El reloj vino en perfecto estado. Embalado perfectamente por Amazon. Era para mi novio y el tamaño es ideal. Parece que tiene un acabado mejor que otros modelos de casio más tradicionales. Lo recomiendo bastante para hombre.</t>
  </si>
  <si>
    <t>Muy suave El tamaño es muy bueno, la suavidad que tiene hace que prácticamente parezca una manta normal y corriente. Había tenido mantas eléctricas y siempre eran más tiesas y cableadas, esta destaca por la flexibilidad y suavidad, a demás de que el calor que da es fuerte y reconfortante, lo cual es lo más que se le puede pedir a este producto. Para mí ha cumplido su cometido totalmente.</t>
  </si>
  <si>
    <t>Cómodos, pequeños, bien aislados y con un audio bueno por el precio por el que están. Un chollo. La caja donde se guardan y que sirve para cargarlos está muy bien, es más pequeña de lo que me esperaba (aprox. unos 6 cm de diametro). Tiene un botón para abrir la taba y acceder a los auriculares. Los auriculares son super sencillos de emparejar con el móvil. En cuanto a comodidad están muy bien, pues no pesan prácticamente nada y no son muy grandes (no sobresalen de la oreja como otros). Para salir a correr, ir al gimnasio y alguna actividad deportiva más son totalmente validos, pues no se mueven y el peligro de que se caigan es prácticamente nulo. La calidad del audio es buena para el precio que tienen: los bajos están bien, las frecuencias medias balanceadas y las altas no chirrian en el oído como otros. El aislamiento también es un punto a favor de estos auriculares. Por otro lado lo que no me termina, es que si que tiene algo de ruido de fondo al estar sin reproducir nada. Otro aspecto es el tema del "touch control", no es demasiado intuitivo, está bien, pero no es intuitivo.</t>
  </si>
  <si>
    <t>Tal cual la descripción Estupendo ,buen embalaje y en perfecto estado un regalo genial .</t>
  </si>
  <si>
    <t>Luck Perfecto. No se puede pedir mejor servicio posventa. Se me dormía el pie derecho por qué lo tengo ancho, me puse en contacto con Luck y me mandaron las zapatillas a medida. Gracias Luck España.</t>
  </si>
  <si>
    <t>Los amo Son Superga originales. Me han encantado. Tenía tiempo queriéndolos, y el precio está demasiado bien. Su único problema es que se ensucian fácilmente pero al ser blancos, es normal. De resto, en calidad, color, lavaods, comodidad, a todo le doy 10/10. Súper recomendados.</t>
  </si>
  <si>
    <t>Diseño maravilloso Es una maravilla de auriculares diseño espectacular buen tamaño se puede poner el estuche en el bolsillo sin notarlo la compré para mi hermana y me ha encantado a mi también muy chulos el sonido de muy buena calidad y para hacer llamadas lo que habla contigo se escucha perfectamente muy cómodos se conectan rápido y en la oreja se encajan bien se puede hacer ejercicio sin miedo de que caigan estuche viene con una pantalla que indica el nivel de carga La batería aguanta muchísimo  no se puede pedir mas recomendable 100%</t>
  </si>
  <si>
    <t>Todo, No la uso yo, se la envié a mi hija.</t>
  </si>
  <si>
    <t>No me Valle Ay comprado para llevar una camiseta y una pantalón pero no me cabe muy pequeño !!! Sirve más para una carteira !!!</t>
  </si>
  <si>
    <t>Demasiado bajos Son muy elasticos, pero los encuentro muy bajos, quedarian mejor si llegasen a los tobillos.</t>
  </si>
  <si>
    <t>Aceptable Esperaba que fuera de mejor calidad pero despues de dos meses de uso,los picos del archivador estan muy deteriorados. Creo que es muy recomendable que tuvieran un refuerzo de metal en las esquinas. Por lo demas esta bien ya que la goma es muy practica y las anillas de momento no han tenido ningun problema</t>
  </si>
  <si>
    <t>Malísima calidad Me parece impresionante que después de un mes de uso se hayan hecho un agujero en la puntera de la zapatilla. La calidad es nefasta. Estoy muy descontento con la compra. Intentaré ponerme en contacto con el vendedor.</t>
  </si>
  <si>
    <t>Parecen unas Puma falsas que puedas comprar en cualquier mercadillo. Son de malísima calidad, parecen unas Puma falsas que puedas comprar en cualquier mercadillo, las suelas son de broma.</t>
  </si>
  <si>
    <t>Mala compra Lo compre para un regalo y la verdad que viene muy bien empaquetado pero no solo vale la presentación. A pesar de echar muchas gotas del aceite no huele a nada por lo tanto no lo recomiendo para nada</t>
  </si>
  <si>
    <t>Perfecto para llevar encima Buen USB para incorporar a un llavero y llevarlo siempre encima. Ahora ya está un poco desfasado puesto que no es 3.0. pero hace su función perfectamente. Recomendable</t>
  </si>
  <si>
    <t>una buena compra una buena compra. no me equivoque con la compra, la entrega buena y de el producto también es muy bueno</t>
  </si>
  <si>
    <t>calidad precio bien</t>
  </si>
  <si>
    <t>tal y como viene en la foto Wonderful nunca defrauda</t>
  </si>
  <si>
    <t>Bueno, son Converse. Nunca me han gustado por su diseño, materiales, falta de resistencia... Pero mi hija quería esa marca porqué "mola" ;-D</t>
  </si>
  <si>
    <t>¡¡¡ES UN TABLERO DE CORCHO!!!!! HOMBRE, ME ENCANTA,  A FIN DE CUENTAS ES SOLO UN TABLERO DE CORCHO, PERO .......ES LO QUE TENIA QUE SER.</t>
  </si>
  <si>
    <t>Pega muy fuerte. Es muy fuerte. La mejor que he probado</t>
  </si>
  <si>
    <t>Calidad indiscutible Magnifica presentacion. Incluso viene acompañdo de una herramienta e instrucciones para acortar la cadena de acero inoxidable. Muy recomendable como recambio para las correas de silicona.</t>
  </si>
  <si>
    <t>Muy ligeras Ligerísimas, bonitas y modernas. Se ajustan perfectamente al pie y parece que vuelas con ellas. El color gris pega perfectamente con todo</t>
  </si>
  <si>
    <t>Regalo Bueno bonito barato. De buena calidad y perfecto para regalar</t>
  </si>
  <si>
    <t>Todo correcto. Todo correcto,  tal y como esperaba , me han gustado mucho , muy contenta con la compra , muchas gracias.</t>
  </si>
  <si>
    <t>Zapatillas sin cordones skechers. Era lo que buscaba y a buen precio.Muchas gracias.</t>
  </si>
  <si>
    <t>Impresionante Para el precio que tiene no se puede pedir más. Fue sacarlo de la caja y las manecillas ponerse a girar para señalar la hora, luego sólo tuve que seleccionar la zona horaria para que fuese la correcta. De aparciencia está muy bien, más grande de lo que esperaba.</t>
  </si>
  <si>
    <t>Veracidad y profesionalidad Es tal cual lo muestran me sorprendió que tardara tan poco en llegar</t>
  </si>
  <si>
    <t>Auriculares originales LLegaron en plazo y funcionan correctamente</t>
  </si>
  <si>
    <t>Genial Genial como siempre Casio es estupendo está perfecto de tamaño y es bonito al estilo antiguo y con la calidad habitual quedó encantado con la compra. La caja también es de acero inoxidable.</t>
  </si>
  <si>
    <t>Cumple! La tarjeta es preciosa aunque cualquier otra tarjeta vale para la switch, el extra de precio es solo por el diseño.</t>
  </si>
  <si>
    <t>Muy buena opción Muy barato y con bastante calidad, le he dado múltiples usos: móvil, cámara de video, proyector y ordenador, y en todos los casos el resultado es óptimo.</t>
  </si>
  <si>
    <t>Brazalete precioso El brazalete lo recibí antes de lo que esperaba, así que me fué genial para llevármelo de vacaciones este verano. Se adapta perfectamente ya que es elástico, hasta una noche me lo puse en el brazo. El vendedor muy amable resolviendo las dudas que tenía, seguro que le vuelvo a comprar</t>
  </si>
  <si>
    <t>Surface Pro 4 Cumple su función en una Surface Pro 4. Por la salida HDMI también sale el audio ala TV (hay que seleccionarlo en los dispositivos de reproducción de Windows). Diseño compacto y muy versátil con tantas salidas.</t>
  </si>
  <si>
    <t>Espectaculares Tenía el modelo inferior y di el salto a estos que además son una edición limitada en color gris oscuro. El sonido como siempre en Audio Technica más que aceptable. Yo los uso para grabar podcast y van de lujo. Aislan bastante del ruido también y no son agobiantes, se pueden tener varias horas puestos que no te cansan. Estos en gris traen, a diferencia de los negros, una caja rígida para guardarlos cuando no los usas. Compra recomendable.</t>
  </si>
  <si>
    <t>Cumplen Todo okey. No se rompen a los dos días como otros.</t>
  </si>
  <si>
    <t>Producto con materiales de buena calidad. Gran calidad de sonido. Buscaba unos buenos auriculares para hacer running y la necesidad está cubierta. Fácil configuración y funcionamiento muy intuitivo. Es fácil cambiar de canción o descolgar una llamada sin tener el móvil a mano. El ajuste de los auriculares a la oreja es perfecto no se mueven ni se salen mientras corres y son muy cómodos. La calidad del sonido es muy buena, los bajos son impresionantes. Y por último la caja de carga es una maravilla, la función de carga mientras no les estás usando es perfecta. Recomendables sin duda.</t>
  </si>
  <si>
    <t>No sé corresponde con las imágenes y anuncio. El producto no se corresponde con lo anunciado ni con la fotografía que aparece con forro interior y otro color en la correa. En la realidad no trae forro y la correa es blanca como el resto del zapato.</t>
  </si>
  <si>
    <t>Grandes con buen sonido Son muy grandes y al cabo de unos minutos duele la oreja. Sonido muy bueno</t>
  </si>
  <si>
    <t>No está mal pero algo plasticosa El color es más brillante que en la foto. Eso junto con el tacto me da la impresión de ser una correa de plástico (aunque no he hecho la prueba de fuego). Por el precio está bien y cumple su función para el día a día pero no me la pondría para una ocasión más formal.</t>
  </si>
  <si>
    <t>Calidad bien a un precio genial. Funciona a la perfección, la única pega es la calidad y que es muy sensible a los golpes y roces, pero por ese precio está muy bien y encima es muy cómodo. Bastante contento</t>
  </si>
  <si>
    <t>Huele a lo que vale.... Los olores no se parecen en nada a lo que anuncian, huelen a ambientador barato o mata mosquitos, comparado con esencia naturales, solo huelen a química. Directos a la basura. La verdad, huelen según valen.</t>
  </si>
  <si>
    <t>No son NIKE Pensé que eram NIKE, la foto me engañó.</t>
  </si>
  <si>
    <t>Pizarra bastante util Es un pizarra con gran utilidad para cualquier lugar con una superficie lisa, como un armario, una puerta, una pared.  He estado buscando una pizarra para poner en la pared y poder hacer anotaciones de los objetivos que me voy proponiendo y progresos de diferentes cosas. Es de gran utilidad tener una pizarra de estas si se realizan proyectos de diversos tipos para ir marcando los pasos que se van consiguiendo.  Incluye los tres rotuladores para este tipo de pizarra con sus respectivos borradores, aunque recomiendo un trapo o cualquier otra cosa para borrar puesto que no se queda demasiado limpio si se utilizan estos borradores.  Por ahora no he tenido ningun problema.</t>
  </si>
  <si>
    <t>Economicos Son igual que la descripcion pero deberian de poner que pinchan de verdad. Son incomodos para dormir y se clavan en los dedos al ponerlos. Material bueno y buen precio.</t>
  </si>
  <si>
    <t>Bien Relación calidad precio</t>
  </si>
  <si>
    <t>Vale la pena Buena calidad. Cómodas y calidad precio bastante bien</t>
  </si>
  <si>
    <t>Dios me han mandado un gato muerto! Me han mandado un gato muerto!!! Dios!!!  Bromas a parte, no está mal como filtro de viento pero si hace viento, ni gato ni niño muerto que valga.</t>
  </si>
  <si>
    <t>Nostalgia Que puedo decir de las zapatillas que llevaba de pequeño, me trae recuerdos y las puedes conjunta con una gran variedad ropa.</t>
  </si>
  <si>
    <t>Muy buena para el móvil Una de las marcas de confianza en memorias de todo tipo, fiable y perfecta. La recomiendo para expandir la capacidad de cualquier móvil. Esta lleva un adaptador para poder usarla como una tarjeta SD normal.</t>
  </si>
  <si>
    <t>Muy buena batidora!!! Llevo 1 mes con esta batidora, y de momento solo puedo decir cosas buenas...ESTOY ENCANTADA!!!la uso todos los días y va genial!!!!Totalmente recomendable 100%.Sin duda la volvería a comprar.</t>
  </si>
  <si>
    <t>Esta genial Muy bueno</t>
  </si>
  <si>
    <t>Recomendable Potente, la volveria a comprar</t>
  </si>
  <si>
    <t>Perfecto Queria un reloj igual que el tenia, funcinal, pequeño y con todos los componentes que no yo necesitaba. Muy bueno para mi</t>
  </si>
  <si>
    <t>me encantan me gustan un momtom el envio  correcto y el precio mas</t>
  </si>
  <si>
    <t>Igual que la foto No utiliza pilas, va con el movimiento. Es muy chulo y por ahora no ha cambiado de color</t>
  </si>
  <si>
    <t>Buena Buena calidad como siempre con esta marca</t>
  </si>
  <si>
    <t>Buena compra Me ha impresionado lo bien que funciona y lo firme que es, he pegado a paredes de concreto tanto en interior como en exterior sin duda lo compraría de nuevo</t>
  </si>
  <si>
    <t>Me encanta ME ENCANTA. Tal y como se muestra en la foto. Sienta de maravilla. La talla perfecta en mi caso. Tejido fuerte. Repetiré de esta marca sin duda. Muy buena relación calidad - precio.</t>
  </si>
  <si>
    <t>Útiles y económicas Las bridas de velcro son la mejor forma de organizar y recoger cableado. Al llevar diferentes tamaños se puede organizar el puesto de trabajo de una manera más eficiente, tanto para el empleado como para el técnico de mantenimiento. Son fáciles de abrir y cerrar, para añadir o quitar cables del cierre. Las bridas de plástico suelen ser de un sólo uso y contaminan muchos más.</t>
  </si>
  <si>
    <t>Perfectos Son las zapatillas más cómodas que he tenido. Además, no pesan nada y son muy calentitas. Muy satisfecha con la compra.</t>
  </si>
  <si>
    <t>Queda perfecto Tal y como indica, quedan muy bien y son comodos</t>
  </si>
  <si>
    <t>Teresa Son las mejores bambas que he comprado, comodas y geniales. En un principio pedi medio numero mas de mi talla por los comentarios pero no tuve que pedir mi numero real.</t>
  </si>
  <si>
    <t>Muy recomendable Perfecto articulo. Gran calidad de sonido a un precio muy razonable. Ademas son bastante cómodos y parecen resistentes. La diadema aprieta un poco si los tienes mas de horas puestos, es lo unico. La entrega, rapidisima. Muy recomendable todo.</t>
  </si>
  <si>
    <t>Marina Estoy super feliz😍 una zapatilla increible tengo el empeine ancho y son ideales no me apretan por ningun lado super comodas, un gran diseño y agarre! Son las segundas lasportiva que tengo y la mejor zapatilla que he llevado en mi vida</t>
  </si>
  <si>
    <t>Es muy bonita Compré la chaqueta en negro de Talla E 38 (europea) pues es la que suelo usar, sin embargo me queda algo larga de mangas y ancha. Por tanto si quieres que te quede justa o entallada compra una talla menos; y si no te importa que quede desahogada pues compra la talla que normalmente llevas. Es de algodón, muy cómoda.</t>
  </si>
  <si>
    <t>Empresa seria, producto muy recomendable calidad precio e rápido en el envío lo recomiendo 100%. Empresa seria, producto muy recomendable calidad precio e rápido en el envío lo recomiendo 100%.</t>
  </si>
  <si>
    <t>Carmen No valen absolutamente para nada (mejor un cepillo dental duro). Según la publicidad, quita lo difícil. No es verdad. Nunca mas.</t>
  </si>
  <si>
    <t>No vale para nada No se nota mucho el olor del aceite asi que como difusor de aromas no es muy eficiente y como humudificador se queda excaso. No recomiendo su compra</t>
  </si>
  <si>
    <t>se rompe facilmente la compre y me la puse dos veces y ya se me han soltado los eslabones y no puedo volver a conectarlos... osea que la pulsera ya ni me sirve...para lo que vale, ya podría sujetar mejor...</t>
  </si>
  <si>
    <t>Demasiado pequeño El producto era como tres tallas menos de lo que figura en la etiqueta.no pude ni introducir el pié ahi</t>
  </si>
  <si>
    <t>Nueva vida para el PC Es mi primera experiencia con discos SSD y la verdad es que ha mejorado mi pc del 2011 de manera importante. Lo tengo instalado para el S.O. junto a un HDD y sobre todo el inicio es fulgurante y el rendimiento general a mejorado tambien. He tenido que actualizar algunas cosas más, como las conexiones SATA, etc. Porque 4*?, Porque SRS. De SANDISK su aplicación se ha actualizado y ahora ya no detecta el SSD. Y tampoco puedes ir hacia una versión anterior, muy mal.</t>
  </si>
  <si>
    <t>Bien Todo correcto, aunque los cordones ya se han roto:(</t>
  </si>
  <si>
    <t>Parece verde Pone gris pero es casi verde ... es bonita pero un fallo lo del color , hay que ser más preciso</t>
  </si>
  <si>
    <t>Herramientas que facilitan trabajo Herramientas prácticas y útiles que permiten realizar trabajos con la calidad del profesional a un precio justo</t>
  </si>
  <si>
    <t>Estaba genial cuando lo compré. la principal razón que lo compré es porque estaba más barato, ahora lo he vuelto a mirar y está un poco más caro.... cambios raros la verdad.  En sí el producto es bueno, pero he analizado porque lo compré por aquí anteriormente.</t>
  </si>
  <si>
    <t>Buen relojes Buen reloj, era lo que describía, de buena calidad y muy resistente, la iluminación es alucinante, se ve muy bien de noche.</t>
  </si>
  <si>
    <t>Bueno Bueno</t>
  </si>
  <si>
    <t>Es perfecto Me decidí, por el modelo más pequeño y la verdad es que va Fenomenal, buena calidad y muy amplio</t>
  </si>
  <si>
    <t>Todo ok Cumple con lo descrito, compacto y cómodo</t>
  </si>
  <si>
    <t>Perfectas Le número es perfecto y son muy bonitas, ya las tenía en granate asique no había problema con la numeración.</t>
  </si>
  <si>
    <t>Todo bien Tardo un dia mas, pero no es la direccion habitual, por lo demás todo muybien</t>
  </si>
  <si>
    <t>Perfecto Tenenemos en casa varios biberones de Dr. Browns y sin problemas. El crio lo coge bien, se limpia con faciliad, en resumen, producto recomendable.</t>
  </si>
  <si>
    <t>Comodo Cómodo y bueno para trabajar</t>
  </si>
  <si>
    <t>Perfecta por ahora va perfecta, tritura muy bien y lo deja todo súper suave, cremas, purés, salmorejo, etc. Recomendable 100%</t>
  </si>
  <si>
    <t>Muy recomendable Ha llegado rápido y en perfecto estado. Estoy muy satisfecho con esta compra. El producto parece de buena calidad. Es posible que compre algún cable más.</t>
  </si>
  <si>
    <t>Superó las expectativas Genial! Es más bonito y elegante que en las fotos! Sin duda lo volvería a comprar!</t>
  </si>
  <si>
    <t>Estupenda calidad La compré de esta marca por que otra de taurus no me duró ni 8 meses (y con poco uso). Se nota muy sólida y el resultado por ahora estupendo.</t>
  </si>
  <si>
    <t>Perfecto Cumple perfectamente con lo establecido, el Casio de toda la vida pero con unos colores muy renovados y estilo sport.</t>
  </si>
  <si>
    <t>LO MEJOR Solo voy a decir dos cosas .... SON FANTÁSTICOS .... cómodos , preciosos , calidad estupenda ... yo trabajo de camarera y los llevo cada día ... pq no sé ir zapatillas planas ....los amo ... lo único que tarda más o menos un mes ... los recomiendo de pleno .... a todos les gustan hasta me preguntan por la calle</t>
  </si>
  <si>
    <t>Aíslan bastante bien, buena reproducción de graves. Compré un micro de esta misma marca y me sorprendió gratamente descubrir que esta firma cuenta también con buenos auriculares en relación calidad-precio, por unos 50€ puedes acceder a estos auriculares que aíslan bastante bien del sonido y tienen buena respuesta en reproducción de graves, lo que los convierte en una herramienta de trabajo imprescindible en cualquier estudio de grabación.</t>
  </si>
  <si>
    <t>Comodo Es comodo y suena bien</t>
  </si>
  <si>
    <t>Muy duro Todo ok</t>
  </si>
  <si>
    <t>Muy bien Muy bien</t>
  </si>
  <si>
    <t>Lucía La verdad es que me lo esperaba más grande por los comentarios positivos, dando entender que es.grande y que cabe muchas cosas, si q cabe, pero es para meter como mucho una tablet.folios no caben. Osea que es como un bolso o bandolera normal.</t>
  </si>
  <si>
    <t>Esta bien, pero hay otras mejores y mas baratas Necesitaba una fregona mas avanzadas que las normales... y estuve dudando entre las normalitas sin marca y esta. Me decante por la marca Vileda, aun siendo mas cara y la verdad que me decepciono un poco. Va bien, hace lo que promete, peor no tiene nada que envidiar a una de las sin marca que estan por Amazon. Pero vamos, que no las desrecomiendo, que es buena, pero a mi en lo personal, me decepciono un poco. Recuerda #HazleCasoAlFriki y saldras ganando.</t>
  </si>
  <si>
    <t>Buenas Muy comodas</t>
  </si>
  <si>
    <t>la foto engaña este pendiente pesa tanto que no se coloca nunca en su sitio sino que se cae. No lo compreis porque solo vale para tirarlo</t>
  </si>
  <si>
    <t>Artículo defectuoso y ruidoso Artículo defectuoso, hace demasiado ruido para tenerlo en cualquier estancia, es como tener un frigorífico encima de la encimera, la luz que indica que ha llegado a la temperatura correcta nunca cambió a color verde.</t>
  </si>
  <si>
    <t>Relación calidad precio perfecta Me ha encantado el material y la calidad. Queda perfectamente ajustado, sin apretar ni quedarse con efecto 'colgante'. Uso una 40/42 y esta talla es genial</t>
  </si>
  <si>
    <t>Discreta y elegante Bien acabada, algo más fina de lo esperado pero elegante igualmente. Un regalo acertado. Diseño muy original.</t>
  </si>
  <si>
    <t>Revitalizará un ordenador desfasado Este disco duro SSD es idóneo para revitalizar un ordenador desfasado, donde notaremos notablemente más agilidad tanto al cargar el sistema operativo como al movernos ya dentro del propio sistema, y las operaciones con archivos en el propio disco ya directamente volarán, en comparación con los discos mecánicos de toda la vida.</t>
  </si>
  <si>
    <t>Recomendable El bolso es lo que esperaba. La calidad es correcta. Llegó en tiempo y hora Solo espero que sea duradero</t>
  </si>
  <si>
    <t>perfecto segun lo esperado y segun descripcion</t>
  </si>
  <si>
    <t>Llegó antes de lo.esperado El color varía un poco pero es bonito</t>
  </si>
  <si>
    <t>Entrega rapida Rapido y precio muy bajo, ideal para ponerle a todos los ordenadores viejos k tengas</t>
  </si>
  <si>
    <t>Muy cómodos Son muy cómodos y de talla me los pedí al número que me correspondia.</t>
  </si>
  <si>
    <t>Volveré a comprar Super comodos</t>
  </si>
  <si>
    <t>Botas Me ha encantado y son supercomodas</t>
  </si>
  <si>
    <t>Comodísimo. Es muy comodo, a mi novio le encanta.</t>
  </si>
  <si>
    <t>Buena adquisición :) Lo tengo instalado en un Lenovo B590 (in 8 Gb de ram) y se ha agilizado muchísimo. Ya no se queda minutos bloqueado recuperando información del disco duro para ejecutar los programas. Por ejemplo en 5 segundos se carga el Sketch Up y puede manejar modelos muy complejos sin demasiados problemas y el arranque de Windows 10 ha pasado de varios minutos a 20 segundos. No puedo opinar en la durabilidad. Esperaría un año para poder valorarlo.</t>
  </si>
  <si>
    <t>Calidad precio muy buenl Muy cómodos y los colores como los quería. La talla escogí la 46 y me va perfecto. Ahora a utilizarlas y a ver cuanto duran... Pero estoy muy contento con la compra. Calidad precio muy recomanable</t>
  </si>
  <si>
    <t>Vans skeight. Perfectas. Las zapatillas mas clasicas de Vams nunca defraudan. Aun siendo altas siguen siendo comodas. Muy  recomdablles si buscas una zapatilla con personalidad.</t>
  </si>
  <si>
    <t>Genial Está súper bien me encanta.</t>
  </si>
  <si>
    <t>Encantada Buenos, llegaron antes de tiempo son tal como se anuncian y fácil de poner y sacar</t>
  </si>
  <si>
    <t>Buena pasta térmica Perfecto cumple su función perfectamente, pasta termica de calidad, con la jeringuilla se aplica muy facilmente. Ha bajado la temperatura del procesador unos cuantos grados.</t>
  </si>
  <si>
    <t>Su calidad. Perfecto. Todo fenomenal.</t>
  </si>
  <si>
    <t>Bien Como en la foto , muy prácticos.</t>
  </si>
  <si>
    <t>Timberland, zapatos para toda la vida. Excelente regalo para mi esposo, quedó encantado. El material es buenísimo.</t>
  </si>
  <si>
    <t>Su operatividad y fácil majejo. El Kingston DataTraveler de 32 GB lo he empleado para guardar  almacenadas fotografías familiares actuales y de los abuelos. Tenerlas en un mismo sitio supone un ahorro de tiempo y de espacio. Realmente estoy muy satisfecho con la compra.  Juan Manuel.</t>
  </si>
  <si>
    <t>Cumple con lo que se busca en unos cascos Son el tamaño perfecto, no se caen fácilmente, se ajustan perfectamente a la oreja, el emparejamiento es súper fácil y rápido, la batería dura bastante, viene súper bien presentado con su caja de cuero y trae su cable para cargarlo, el envío fue rápido y sin problema, estamos súper contentos con el producto y mi hijo que es el que lo utiliza también, lo volvería a comprar</t>
  </si>
  <si>
    <t>Geniales No les doy uso profesional, pero otras reviews se encargan de este aspecto. Para uso diverso con música, películas y videojuegos son fantásticos, resistentes y muy cómodos. Los compré tras tener problemas con los Bose Soundtrue over-ear y nada que ver, no sólo en la calidad de sonido, también en la de fabricación que además sigue siendo europea.</t>
  </si>
  <si>
    <t>Producto correcto El producto no está mal para lo que vale y la calidad del audio es bastante buena, sin embargo de vez en cuando y cuando el cable se mueve se escucha un chisporroteo molesto.  Por cierto, si eres de llevarte el cable a la boca, ten cuidado que este te va a dejar un regusto a plástico radioactivo brutal.</t>
  </si>
  <si>
    <t>BUENA VALORACION Tiena buena calidad con relación al precio aunque el color varia al de la foto y no resulta ser el mismo</t>
  </si>
  <si>
    <t>Engaño Es un engaño al consumidor</t>
  </si>
  <si>
    <t>No lo recomiendo La Valvula anti cólicos no vale para nada</t>
  </si>
  <si>
    <t>Tetillas perfectas. No hay mucho que decir las tortillas de philips son las más recomendables, yo he usado siempre estas y can genial.</t>
  </si>
  <si>
    <t>La calidad Es bastante útil al ser largo te permite más liberdad de movimiento</t>
  </si>
  <si>
    <t>Un sonido decente, materiales acorde con el precio No es un producto de xiaomi pero esta muy bien para el precio, el sonido sorprende no son unos cascos de estudio pero para el mortal medio van perfentos, para gente algo descuidada mejor romper unos cascos de 11 euros que unos de 60-200 euros</t>
  </si>
  <si>
    <t>Muy buen producto a muy buen precio En nuestra casa se ha convertido en un artículo de uso diario, quizá algo más grande de lo que esperaba, pero muy satisfecho.</t>
  </si>
  <si>
    <t>Muy comodas Son muy ligeras, transpirables y muy cómodas.</t>
  </si>
  <si>
    <t>Son super comodas Me las volveria a comprar de nuevo por su comodidad ,pedir el numero de siempre yo las compre un pelin mas grande porque no habia medios pero aun asi son perfectas y sobre todo para los que tengan los pies cansados o delicados,las recomiendo 100%</t>
  </si>
  <si>
    <t>Elegante aromatizador Compré previamente a este dos aromatizadores más básicos y pequeños de “iniciación”, pero vi que se me quedaban cortos para estancias más grandes como pueda ser el salón. Estéticamente me parece muy elegante el efecto madera que tiene (aunque es plástico, eso sí, libre de BPA). Es de tamaño mediano con una capacidad de 250 ml. Permite emplearlo de dos formas en cuanto a la expulsión del vapor: de forma continua o de forma intermitente (cada 30 segundos). Yo particularmente prefiero emplearlo de forma intermitente. Con este aromatizador, rápidamente se llena la estancia de un aroma agradable y duradero (si bien es cierto que esto depende más de la esencia que emplees que del propio aromatizador). Por otro lado, dispone casi en la base de 7 colores led para crear ambiente o para dar una mínima iluminación. Esta iluminación se puede dejar fija en un solo color o bien alternar los siete. A mi esto sinceramente me sobra y lo tengo siempre sin luz. Finalmente decir que no es 100% silencioso, pero tampoco ruidoso. De dia ni te enteras que hace ruido, pero si lo pones en la habitación en la que vayas a dormir en el silencio de la noche si se oye (a mi llega a molestarme, pero mi pareja por ejemplo considera ese ruidito relajante)</t>
  </si>
  <si>
    <t>Rápido y fiable Desde que lo instalé en un portátil lo he usado poco, pero es impresionante como ha mejorado la velocidad. Lo he puesto en un portátil muy viejo, un hp compaq con 11 años que tardaba muchos minutos en arrancar y otros tantos en apagarse, además de la lentitud en la apertura de programas o internet. Un portátil desesperante que estaba infrautilizado porque nadie lo usaba. Ahora arranca totalmente en unos 2`20", se apaga en menos de 1 minuto, los programas se abren inmediatamente, los videos van fluidos y se puede navegar por internet o por YouTube sin problemas. Después de intentar usar otros programas sin éxito para clonar los datos del disco viejo al ssd, terminé usando el software que recomienda la marca y que se puede bajar de forma gratuita. Muy contento porque el portátil está totalmente operativo.</t>
  </si>
  <si>
    <t>Cómodas y bonitas Tal y como las describían, estoy encantasima con ellas, calzo un 41 y pedí un número más por si venian algo chicas, pero la verdad que calzan bien, pero vaya q me gusta que me esté desahogadas</t>
  </si>
  <si>
    <t>eva m todo muy bien me llegaron rapido son muy bonitos suaves y lo del bosillo trasero perfecto el tejido es mas bien fino de verano pero para deportes muy bin</t>
  </si>
  <si>
    <t>Buena relacion calidad precio. Muy buena relación calidad precio. Muy bonitos y coloridos. Dibujos bien definidos.</t>
  </si>
  <si>
    <t>Muy buena compra. Perfectas y súper económico.  Son las auténticas.</t>
  </si>
  <si>
    <t>Duración y olor Soy una fan total de cualquier cosa que sirva para dar buen olor en casa, ya sean velas, ambientadores tradicionales, mikados... asique cuando me regalaron el humidificador con difusor de esencias me volví loca. Me lo regalaron con un par de esencias de diferentes marcas para que probase, y una de ellas (la de naranja) me encantó y no la encontraba por ninguna tienda física, hasta que vi este pack aquí y no dude en comprarlo.  El pack viene genial tanto para uso propio como para regalar a alguien ya sea por primera vez para que pueda probar varias esencias cómo para alguien que ya las use habitualmente, seguro que le va a encantar. Viene en una cajita con flores en tonos morados muy mona, y los botecitos dentro puestos en línea en un blister de plástico.  Traen unos 10ml de líquido, lo que es bastante ya que no es necesario utilizar mucho para que notemos el olor (como pasa con otros tipos de aceites que son más líquidos y diluidos) la cantidad a usar va en función de cada uno, de la intensidad que queramos conseguir y de la capacidad de nuestro difusor, yo suelo ponerle unas 10 gotitas.  Los botes vienen perfectamente cerrados, con cierre de seguridad, y una vez abiertos vuelven a cerrar estupendamente sin ningún tipo de fuga. Además en el tapón tiene una muesca para que encaje en él la boca del gotero, por lo que nos evita sí o sí el tener fugas.  Los olores son todos muy buenos y reales, ya sabemos que sobre gustos no hay nada escrito y cada uno tiene sus preferencias, pero realmente huelen todos muy bien, y sobretodo duran y se notan en el ambiente.  Los olores del pack son: Árbol de té (quizás el que menos me guste) , Lavanda, Lemom grass (muy rico), Naranja dulce (me encanta), Peppermint y Eucalipto, geniales estos dos últimos cuando tenemos catarro o constipado, que ayuda a respirar mejor y abrir las fosas nasales.  Se pueden mezclar entre ellos o con otros para conseguir otras mezclas y olores, aunqie personalmente prefiero ir usando cada uno sólo. Pero la posibilidad de mezclarlos la tenemos al ser 100% puros.</t>
  </si>
  <si>
    <t>Muy bueno Muy bien, no hay olor en la habitación.</t>
  </si>
  <si>
    <t>Sudadera Esta bien El emblema no es cosido</t>
  </si>
  <si>
    <t>Producto adecuado para tarjeta de empresa La funda es de plastico duro y protege bastante bien a la tarjeta, que ademas encaja perfectamente. La cinta se desliza muy bien, mucho mejor que otras que he tenido, y esta muy bien la posibilidad de engancharla al pantalon porque tiene varias maneras, a gusto del consumidor.</t>
  </si>
  <si>
    <t>perfecto perfecto</t>
  </si>
  <si>
    <t>Buen funcionamiento El precio adaptado al producto, 3 modos de temperatura, y controles independientes del lado derecho/izquierdo de la cama, es un gran punto a favor, por otro lado, como inconveniente es que no llega a los pies en una cama de 1.50  podía haber sido un poco más grande :(</t>
  </si>
  <si>
    <t>Económicas Zapatillas económicas y muy cómodas. Inicialmente parecía que me quedaban algo justas en el ancho, pero una vez puestas se me han adaptado (tengo el pié un poco ancho). Por poner una pega, que no son de piel, pero estéticamente son muy bonitas.</t>
  </si>
  <si>
    <t>Perfecto Genial</t>
  </si>
  <si>
    <t>Muy bonito Se lo regalé a mi mujer y quedó encantada</t>
  </si>
  <si>
    <t>Regular De contorno bien y grande de copa</t>
  </si>
  <si>
    <t>Perfecto Es perfecto, facil de ajustar a la muñeca que sea sin necesidad de ir a una relojeria, comodo, practico y fácil de poner todo en orden, muy contenta con la compra</t>
  </si>
  <si>
    <t>Tarjeta memoria SD Clase 10 La he comprado por recomendación de la página donde compré una camara para el coche donde además tambien decia que fuera de 32 Gb.Es una tarjeta de calidad, y es especial para dispositivos, que se requiere un alto nivel de seguridad y eficiencia. La recomiendo 100%. (Acordarse de formatearla antes de introducirla en el dispositivo.)</t>
  </si>
  <si>
    <t>Mal diseño Calienta super rápido. No es nada pracrico porque el cable es muy corto y no se saca. Para lavarlo aún es peor...por el cable y porque es complicadísimo limpiar leche quemada.</t>
  </si>
  <si>
    <t>No es igual Compre esta mochila para un regalo a mi chico porque hace unos días había adquirido la misma mochila en gris y al el le gustaba pero en negro. Al recibirla comprobamos que no es igual. La gris tiene compartimentos y enganches que esta no tiene. 😞😞😞</t>
  </si>
  <si>
    <t>Zapatillas casi perfectas. Son las segunda del mismo modelo. Las primeras fueron perfectas. Estas segundas, mismo número, mismo modelo... y me van un pelin más justas de lo que me gustaría. En plano bien pero a la que fuerzas un poco en ruta, se nota la punta. Al haberlas usado ya no las puedo cambiar. Fallo importante para ser Salamon y tener el precio que tienen.</t>
  </si>
  <si>
    <t>No bate Metí los ingredientes para batir y se quedaron todos arriba, no hubo forma de batir nada. Inmediatamente la devolví.</t>
  </si>
  <si>
    <t>Insatisfecha No era lo que me esperaba</t>
  </si>
  <si>
    <t>Horrible Ha durado menos de un mes y el vendedor no tramita garantía. Ya me parecía bastante mala en cuanto a velocidad de transferencia y el programa para android. Muchas veces no se detectaba la señal. Pero ahora para más inri ha dejado de funcionar y ni siquiera deja formatear, con menos de un mes de uso...</t>
  </si>
  <si>
    <t>Buen precio y calidad Muy bien, buen precio y calidad.</t>
  </si>
  <si>
    <t>ok Buena calidad pero no encajaba</t>
  </si>
  <si>
    <t>Tarjeta de Memoria Cumple al 100% con lo esperado tanto en fotografía con la Nikon D5200,  tanto en fotografía como en tomas de vídeo... Buena tasa de transferencia y muy buen rendimiento y capacidad. Nada que objetar sobre el producto. Recomendaría su compra sin dudarlo</t>
  </si>
  <si>
    <t>Encantada con el regalo Le ha encantado a mi sobrina, ha llegado un poquito tarde para su cumple pero se lo ha puesto nada más verlo</t>
  </si>
  <si>
    <t>Muy útil Imprescindible para los iniciados en cocina. Sin tener mucha experiencia, es muy sencillo de usar.</t>
  </si>
  <si>
    <t>muy util Es muy practico para sujetar toda clase de libros o folios sueltos, las pinzas sujetan los libros a la perfección y el soporte tiene varias posiciones. El material es de buena calidad</t>
  </si>
  <si>
    <t>Como el de los profesionales Masajeador muy logrado. Comparado con el que usan los fisios no tiene mucho que envidiarles, la verdad es que no esperaba que fuera tan potente. Tiene dos modos, uno normal y otro fuerte. También tiene la opción de que las almohadillas se calienten, nunca había visto esta opción y es muy agradable. Incluye tres juegos de almohadillas, las normales, unas mas puntiagudas para masajes más fuertes y otras que se calientan mejor que las demás. Para darle caña a las contracturas le pones las puntiagudas y va genial. La comparación calidad-precio con el que usan los profesionales gana este de calle. Muy buena compra.</t>
  </si>
  <si>
    <t>Genial Es un paquete muy completo y perfecto para organizar el escritorio</t>
  </si>
  <si>
    <t>Buena compra Después de unos meses funciona muy bien. Café bueno y servicio rápido. El depósito de agua, generoso y la recogida también. Se limpia fácilmente. Estoy contento.</t>
  </si>
  <si>
    <t>Bonito y resultón El "cristal" es de plástico pero para el precio que tiene es bonito y merece la pena. Merece la pena.</t>
  </si>
  <si>
    <t>Tallan grandes La talla tira un poco a grande.  Normalmente utilizo un 40 en deportivas y de este modelo tengo el 39. Muy cómodas y ligeras.</t>
  </si>
  <si>
    <t>Muy buena compra Buscaba un reloj de diario, que fuera duro y protegido y este cumple con este cometido. La función del bluetooth es interesante para ajustar hora, aunque no determinante, usandola solo de vez en cuando. La pantalla oscura pensaba que me daria algún problema, peró todo lo contrario, con luz solar se ve perfectamente solo cuando hay oscuridad total hace falta pulsar la iluminación o bien activar la luz automática con el giro de la muñeca. Queda la duda de la duración de baterias, espero que cumpla con lo indicado en el manual del usuario.</t>
  </si>
  <si>
    <t>Cumple las espectativas... Estupendas, tal y como lo anuncian... Muy bien la verdad. Lo unico que son muy duras quando son nuevas.</t>
  </si>
  <si>
    <t>Impresionante calidad &lt;div id="video-block-R1DXVPZTA33AM2" class="a-section a-spacing-small a-spacing-top-mini video-block"&gt;&lt;div tabindex="0" class="airy airy-svg vmin-unsupported airy-skin-beacon" style="background-color: rgb(0, 0, 0); position: relative; width: 100%; height: 100%; font-size: 0px; overflow: hidden; outline: none;"&gt;&lt;div class="airy-renderer-container" style="position: relative; height: 100%; width: 100%;"&gt;&lt;video id="15" preload="auto" src="https://images-eu.ssl-images-amazon.com/images/I/91XtyCyQpuS.mp4" style="position: absolute; left: 0px; top: 0px; overflow: hidden; height: 1px; width: 1px;"&gt;&lt;/video&gt;&lt;/div&gt;&lt;div id="airy-slate-preload" style="background-color: rgb(0, 0, 0); background-image: url(&amp;quot;https://images-eu.ssl-images-amazon.com/images/I/81wdVIaJC6S.png&amp;quot;);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center;"&gt;0:11&lt;/div&gt;&lt;div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 style="width: 60.1185%;"&gt;&lt;/div&gt;&lt;div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value="https://images-eu.ssl-images-amazon.com/images/I/91XtyCyQpuS.mp4" class="video-url"&gt;&lt;input type="hidden" name="" value="https://images-eu.ssl-images-amazon.com/images/I/81wdVIaJC6S.png" class="video-slate-img-url"&gt;&amp;nbsp;En mi opinión es un micro de muchísima calidad, yo lo utilizo para grabar vídeos y hacer streams y se nota muchísimo el cambio de calidad del micro al de los cascos, el brazo que trae se nota que esta fabricado de muy buenos materiales, la fijación que tiene para la mesa es impresionante ya que lo fija a la perfección y ademas no estropea la superficie de la mesa. El micro también te viene con dos antipop uno que se coloca en el micro y otro que es externo, ademas lo puedes dejar recogido y no ocupa nada como se puede apreciar en las imágenes. Otro punto a favor es su instalación, el micro te viene con un cable USB bastante largo lo que te permite mucho juego, ademas el PC detecta el micro a la primera. Lo recomiendo</t>
  </si>
  <si>
    <t>Impresionante Me ha llegado bien y sin ninguna, problema a jugar toda la noche!</t>
  </si>
  <si>
    <t>Exceletente compra Exceletente compra, además con la oferta Flash de Amazon me han salido muy bien de precio. Es para uso casi exclusivo en un TV Samsung. Necesitaba que tuviera conexión por Bluetooth y para un uso esporadico el poder conectarlo mediante cable, en este apartado cumple con creces. Necesitaba que la batería durara el máximo de horas posible, con un uso médio diario de 2 a 3 horas, me llegó el 7 de Octubre, lo cargué y no lo he vuelto a cargar hasta el 19 octubre, casí dos semanas sin cargarlo, ha durado la batería entre 24 a 36 horas, con un volumen bajo. Creo es una buena duración de batería para el uso le voy a dar. El sonido, en una TV, es bastante bueno, teniendo en cuenta que mucha parte del sonido es voz, o tonos medios, cuando hay efectos especiales suena muy bien, y cuando se escucha musica en la Serie o Pelicula de turno, creo que es bastante aceptable, tirando a buen sonido. Creo ha sido una muy buena compra, si no queremos unos auriculares con sonido HIFI de super alta calidad.</t>
  </si>
  <si>
    <t>Buena correa Mejora las expectativas que tenía sobre esta correa, incluso superando a originales, tanto de la marca Garmin como Polar</t>
  </si>
  <si>
    <t>Recomendable Las botas son muy cómodas.. Ligera.. Las recomiendo.. Aparte duran mucho.. Recomiendo la marca es de calidad y buen precio</t>
  </si>
  <si>
    <t>Grande y de muy buena calidad!! ⌚️ La verdad es que está realmente bien por las siguientes razones:  Pros: 😉 ✔️ El material es muy bueno, se nota que es de calidad. ✔️ Parece robusto y tiene un peso moderado de 132 gramos. ✔️ Viene en una caja pequeña muy bien presentado para protegerlo en el envío. ✔️ Es analógico y digital al mismo tiempo. Por lo que podremos ver la hora y la información de la manera que más nos guste. ✔️ Es resistente al agua, pero no recomendaría bañarse con él, ya que los botones pueden ir perdiendo efectividad. ✔️ Puede realizar las siguientes acciones: marcar hora y fecha, luz led en el botón superior izquierdo, alarma y cronómetro. ✔️ La correa es de buena calidad, resistente y cómoda. ✔️ Es un reloj que podemos utilizar para realizar actividad deportiva y para llevar en la vida cotidiana. Pega con todo. ✔️ Es realmente barato para un reloj de este tamaño y calidad aparente. ✔️ Tiene garantía de un año y 90 días para devolverlo, así que si se nos estropea o lo que sea, no nos pondrán pegas. ✔️ Al ser la esfera tan grande se puede ver todo con mucha claridad. ✔️ Tiene un uso bastante intuitivo y viene con un pequeño manual de instrucciones. ✔️ Trae un pequeño colgante con forma de corazón.  Contras: 🤔 ❌ Es demasiado grande para mí, en las fotos no lo parece tanto. ❌ Al hacer deporte, sí es uno donde hay contacto, puede resultar muy aparatoso y dificultar bastante el movimiento. Lo más recomendable es para salir a correr.  Conclusión: 😋 Si lo que estás buscando es un reloj grande, vistoso, de buena calidad y además de ello barato, esta es una excelente opción. A mí personalmente no me gusta que sea tan grande, pero la verdad que no puedo decir nada malo acerca de los materiales, son de primerísima calidad. Lo recomiendo al 100%.  ╔════════════════════╗ ║ Espero haber sido de ayuda ✌️ ║ ╚════════════════════╝  &lt;a data-hook="product-link-linked" class="a-link-normal" href="/Reloj-Relojes-Hombre-Reloj-analógico-digital-Moda-deportiva-multifunción-a-prueba-de-agua-fecha-de-la-alarma-de-goma-negro-reloj-de-pulsera/dp/B06Y2BVR2K/ref=cm_cr_arp_d_rvw_txt?ie=UTF8"&gt;Reloj,Relojes Hombre, Reloj analógico digital Moda deportiva multifunción a prueba de agua fecha de la alarma de goma negro reloj de pulsera&lt;/a&gt;</t>
  </si>
  <si>
    <t>Perfecto de precio Producto con precio por debajo de mercado, estupendo</t>
  </si>
  <si>
    <t>Compra TOP, Casio nunca defrauda. Nada que objetar respecto al reloj, funcionamiento correcto y funcional como es de esperar en un Casio. De aspecto es muy bonito. El envío 1 día fenomenal. Este modelo no viene en caja, trae un estuche tipo terciopelo de color azul turquesa que le queda que ni pintado. Una compra TOP!</t>
  </si>
  <si>
    <t>Genial, lo que buscaba Exprime con muy poco esfuerzo y rapido. Muy facil de limpiar. Comparada con mi antigua exprimidora es muy silenciosa.</t>
  </si>
  <si>
    <t>Genial Genial, en casa solo estamos deportistas y nos salva de muchas sobrecargas, nos ayuda a reducir molestias y tan solo en unos minutos. Muy fácil de usar y muy cómodo. Sin duda una herramienta que hay que tener en casa para cuidar de nuestro cuerpo.</t>
  </si>
  <si>
    <t>Fruitof the Loom sweater The product is not as described . It is a specific summer weight . Delivery took three weeks as opposed to 3/4 days of  another one ordered at the same time . One came one supplier , this one from a different one.</t>
  </si>
  <si>
    <t>Ni bien ni mal. El producto en sí está bien. Pero se sale bastante la leche.</t>
  </si>
  <si>
    <t>Botas un poco pesadas Es una bota muy pesada, deberia ser mas lijera para poder practicar senderismo de montaña sin ninfunn tipo de problema</t>
  </si>
  <si>
    <t>Pedí una talla 39'5 y me trajeron una 38. Tres veces. Tal y como dice en el título, encargué una talla 39'5 y me trajeron una 38. Pero lo realmente alucinante es que tras devolverlo y pedir un reemplazo me volvieron a traer una 38. ¡Y tras devolverlo, el reemplazo del reemplazo era otra 38! Al final he tenido que desistir y devolver el producto.</t>
  </si>
  <si>
    <t>Saber utilizarlo No lo uso, no se como funciona, las instrucciones no sirven para nada.</t>
  </si>
  <si>
    <t>regalo un regalo para mi hija y muy satisfecho</t>
  </si>
  <si>
    <t>Agradable y práctico Sorprende la fuerza con la que da los masajes. De hecho, si no se tiene un poco de cuidado, resulta hasta doloroso en función de cómo se tengan las contracturas. Pero en definitiva es un masaje similar al de unas manos potentes y descansa considerablemente el cuello.</t>
  </si>
  <si>
    <t>Bastante bueno Me ha sorprendido bastante la calidad que tiene y los acabados,  eso si, tiene un olor que para mi es desagradable y he tardado semanas en quitarlo.</t>
  </si>
  <si>
    <t>Buen apaño para ver peliculas sin pasar por itunes. Me ha valido para lo q quería q es ver peliculas sin necesidad de itunes. El reproductor de la app de omars es bastante malucho así q copio las peliculas al ipad rapidamente desde el "pincho" omars y lo muevo a la carpeta del vlc y listo.</t>
  </si>
  <si>
    <t>de momento buen producto. de momento y hasta que no pase un tiempo para ver su durabilidad el producto parece bueno. Buena calidad de sonido; a un volumen medio alto, falla un poco los bajos, pero muy aceptable. La batería no la he agotado nunca pero su carga dura por encima de las 4 horas que es el tiempo máximo que los he tenido funcionando. en fin, contento.</t>
  </si>
  <si>
    <t>Bonitas , cómodas a un precio fantástico Muy cómodas. Yo pedí mi número y me va a la perfección. Tb es verdad qie tengo un pie finito y no me suele dar problemas a la hora de escoger. Estoy contenta y el precio fue genial ya que fueron 44'46€.</t>
  </si>
  <si>
    <t>Cepillo pelos mascotas Mi perra suele tirar mucho pelo y con los cepillos normales no se quita ni la mitad que con este. La verdad que estoy muy contento, además que se puede quitar los pinchos para limpiarlo con mayor facilidad.</t>
  </si>
  <si>
    <t>Muy bonitos Son de buena calidad y por lo que valen son perfectos para un detalle de compromiso!!</t>
  </si>
  <si>
    <t>Practico Fácil de usar, llego a tiempo indicado</t>
  </si>
  <si>
    <t>Bien de precio Es tal como en la foto</t>
  </si>
  <si>
    <t>Justo lo que esperaba Buen producto</t>
  </si>
  <si>
    <t>Perfectas Me quedan como un guante desde el primer día. Comodísimas e impermeables. La mejores botas que he tenído hasta el momento. Encima son de fabricación española...</t>
  </si>
  <si>
    <t>Perfecto para regalar Perfecto para regalar</t>
  </si>
  <si>
    <t>Perfecta Es comodísima y fresquísima. A parte éste tipo de tegido cuando lo lavas prácticamente no hay que plancharlo</t>
  </si>
  <si>
    <t>Cliente Amazon Muy buen despertador funciona a la perfeccion, mi madre tiene uno desde hace muchos años y nunca la ha fallado por eso me decidí por este y la verdad que hasta ahora no tengo ninguna pega, tiene un funcionamiento muy sencillo y ya te viene con dos pilas,lo recomiendo sin duda</t>
  </si>
  <si>
    <t>No los cambio Muy buen biberón. Cómodo y de tamaño justo. Lo uso desde que nació mi hija y es perfecto</t>
  </si>
  <si>
    <t>Perfectas, buena calidad. Son una deportivas muy buenas para el día a día, de gran calidad y perfectas para la ciudad. Bonitas y cómodas, muy ponibles.</t>
  </si>
  <si>
    <t>Alegria Me comieron dos cachorros que tengo el cable y pensé que no lo iba a encontrar igual,y como un guante</t>
  </si>
  <si>
    <t>Perfectas Tal y como las esperaba. Muy cómodas al no llevar cordones, perfectas para el verano, muy básicas y elegantes al ser completamente negras.</t>
  </si>
  <si>
    <t>auriculares inalambricos Me han gustado mucho, la batería dura bastante y se escucha con buena calidad, el bluetooth da bastante distancia. Yo los uso para correr y me van bien. Además vienen con el cargador, repuestos y un estuchito para guardarlos</t>
  </si>
  <si>
    <t>Talla pequeña respecto a otras marcas. Las he tenido que devolver a pesar de ser una buena oferta. Esta marca talla pequeño respecto a otras marcas como pueden ser Reebok o Nike. Hay una diferencia aproximada de medio centímetro. El modelo en concreto también es más estrecho que unas Reebok Classic por ejemplo así que hay que tenerlo en cuenta antes de lanzarse a la compra.</t>
  </si>
  <si>
    <t>Muy, muy satisfecho Será por el calor que hace estos días, pero la única pega que le encuentro es la humedad en los pads en contacto con la oreja al cabo de un rato de uso. El resto, muy buen sonido, excelente cancelación de ruido (probado en un avión, elimina el zumbido de los motores) y muy buena duración de la batería.  Para entendernos, tiene tres modos de uso:  -Con cable y apagados: funcionan sin gastar batería, con un sonido ligeramente apagado y no funciona ninguno de los controles táctiles. -Con cable y encendidos: gastan batería y el sonido es el esperado, claro y preciso. Funciona el modo escucha rápida tapándolo el auricular pero no los controles táctiles. Se puede usar con y sin cancelación. -Sin cable: igual que el anterior pero con los controles táctiles funcionando. No hay diferencia apreciable entre las dos últimas opciones a nivel de sonido.  También tiene tres modos de escucha en cuanto a la cancelación:  -Cancelación apagada. Como unos auriculares tradicionales. -Cancelacion encendida. Elimina gran parte de los sonidos graves constantes como motores, zumbidos y demás, pero no los agudos, por lo que pueden escucharse las voces más agudas. -Modo sonido ambiente. Mezcla el sonido de ambiente con la música, simulando unos auriculares abiertos.  En definitiva, muy satisfecho con la compra.</t>
  </si>
  <si>
    <t>A mi no me gusta Calidad precio, yo no la recomiendo. Se que no es una plancha cara, pero no es comoda y se tiene que hacer bastante presión.</t>
  </si>
  <si>
    <t>Esta bien para proteger de rotura Si se usa para l biberón de cristal es buena proteccion para golpes y caídas ( sin esta funda, el otro biberón al caerse se me rompió). No mantiene el calor de los alimentos, aunque el biberón de cristal los aguanta mas tiempo que el de plástico. El velcro se abre fácilmente.</t>
  </si>
  <si>
    <t>MATERIAL UN POCO FINO El vendedor excelente pero el producto es muy fino. Tengo esta marca desde hace años pero cada vez que la compro se nota que la calidad baja. SOn prendas economicas pero de la ultima vez hace pocos años a hoy, la calidad ha bajadado mucho mucho, prenda muy fina.</t>
  </si>
  <si>
    <t>Deja de funcionar al año. Al año de la utilización ha dejado de funcionar correctamente, casi ni se oye, encima no me han dado ningún tipo de solución.</t>
  </si>
  <si>
    <t>CALIDAD MALA Compré unos zapatos de seguridad iguales pero en color gris y al cabo de 2 meses se rompieron por la mala calidad de la zapatilla. Adjunto imagen.</t>
  </si>
  <si>
    <t>Me gustan Un poco grandes pero muy bonitos</t>
  </si>
  <si>
    <t>Se oyen bien Buen aspecto, cable largo pero muy fino, no creo que sean muy duraderos, con las almohadillas entran en mi oreja un poco apretados</t>
  </si>
  <si>
    <t>Buena nota para nieve buena impermeabilización Mantiene pies secos y calientes en la nieve</t>
  </si>
  <si>
    <t>Parece de calidad Es algo gordo el cable y cuesta doblarlo en comparación con otros que tengo, por eso da sensación de robustez.</t>
  </si>
  <si>
    <t>Bien para la limpieza diaria &lt;div id="video-block-R1GCBZ3X1Q62QT" class="a-section a-spacing-small a-spacing-top-mini video-block"&gt;&lt;div tabindex="0" class="airy airy-svg vmin-unsupported airy-skin-beacon" style="background-color: rgb(0, 0, 0); position: relative; width: 100%; height: 100%; font-size: 0px; overflow: hidden; outline: none;"&gt;&lt;div class="airy-renderer-container" style="position: relative; height: 100%; width: 100%;"&gt;&lt;video id="7" preload="auto" src="https://images-eu.ssl-images-amazon.com/images/I/C1t46gYgL3S.mp4" style="position: absolute; left: 0px; top: 0px; overflow: hidden; height: 1px; width: 1px;"&gt;&lt;/video&gt;&lt;/div&gt;&lt;div id="airy-slate-preload" style="background-color: rgb(0, 0, 0); background-image: url(&amp;quot;https://images-eu.ssl-images-amazon.com/images/I/91fz+TWDdBS.png&amp;quot;);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center;"&gt;1:24&lt;/div&gt;&lt;div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 style="width: 25.4032%;"&gt;&lt;/div&gt;&lt;div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value="https://images-eu.ssl-images-amazon.com/images/I/C1t46gYgL3S.mp4" class="video-url"&gt;&lt;input type="hidden" name="" value="https://images-eu.ssl-images-amazon.com/images/I/91fz+TWDdBS.png" class="video-slate-img-url"&gt;&amp;nbsp;La compramos porque tenemos mascotas y se hace fundamental la limpieza diaria, incluido el fregado del suelo. Compramos esta marca porque tenemos una roomba, estabamos contentos con ella y elegimos a su hermana para completar la limpieza diaria. Las conclusiones son que falla en lo mismo que la roomba, aunque tiene el cubo para "guiarla por gps" es erratica y encuentra los obataculos a base de golpes. Las ruedas estan revestidas de una goma que constantemente se despega y solo hay dos opciones, o las pegas (cono en nuestro caso) o compras unas nuevas, porque sino va dando saltitos y no puede fregar. El nivel de ruido es minimo. La limpieza es correcta pero no en profundidad. Es muy facil de limpiar. Al final es una limpieza con mopa. Como conclusion, al igual que cualquier otra maquina automatica de limpieza el fregado de esquinas y recovecos deberas hacerlo a la vieja usanza. Pero esta bien para mantener la limpieza diaria y poder dedicar todo ese tiempo a otras labores. El tiempo de fregado es largo... Para 45 metros necesita 1 hora. Quizas tiene un precio elevado para las prestaciones que ofrece.</t>
  </si>
  <si>
    <t>Buen producto Es exactamente la tarjeta de memoria que andaba buscando para mi Canon 750D. Me admite mas de 5000 fotos a máxima resolución, es rápida con lo que los Vídeos HD así como las fotografías en ráfaga funcionan a placer y no presenta ninguna limitación. Relación calidad-precio muy adecuada. Ha sido una fantástica compra.</t>
  </si>
  <si>
    <t>muy comoda La tengo desde hace una semana, y el resultado es el esperado, el vaso es super comodo para transportarlo no pesa mucho y cierra de manera hermética, permitiendo transportar mis batidos de fruta con total normalidad. Su uso es super sencillo, solo apretar un botón. Es super limpia solo necesitas fregar el vaso que uses, la batidora queda aislada y no se mancha. Se la recomiendo a todas las personas que quieran aprovechar su tiempo al máximo.</t>
  </si>
  <si>
    <t>Tal cual se anuncian... Perfecto, son preciosos los calcetines, se adapta la talla, buena adherencia al suelo (madera)... Encantada con él producto...</t>
  </si>
  <si>
    <t>Cumplen con su función Tras unas semanas usándolo en mis zapatillas del gimnasio, puedo decir que cumplen con su función. Las zapatillas ya no huelen</t>
  </si>
  <si>
    <t>Muy Cómodos Sin perfectos para anda mucho en lugares con asfalto</t>
  </si>
  <si>
    <t>Sin trampa, ni cartón Llegó muy rápido con transporte amazon. Descripción tal y con se indicaba. Pesa poco, al contrato de lo que leí, la correa es larga. Todo  parece funcionar bien, es bonito. Y la relación calidad precio es muy buena.</t>
  </si>
  <si>
    <t>Es muy duradero Calidad precio perfecto</t>
  </si>
  <si>
    <t>Capacidad, comodidad y acabados Perfecto para lo que yo necesitaba</t>
  </si>
  <si>
    <t>Imprescindible para el trabajo con grupos de gente Fácil montaje, perfecta sincronización a través del jack. Funciona en cualquier equipo, y con gran calidad de sonido. Te permite alejarte bastante del amplificador, y la facilidad de no tener que estar sujetando el micro. Lo usamos con casi 300 personas y se escuchaba perfectamente</t>
  </si>
  <si>
    <t>Muy contento con la licuadora. La compré para sustituir a las batidoras de mano comunes y ha superado mis expectativas. A parte de la facilidad y comodidad tanto para usarla y para limpiarla, ya que se puede desmontar y quitar las cuchillas, tiene mucha potencia, probé a echarla hielos uno a uno por miedo y nada, los aguanta perfectamente.  Por ponerle alguna pega, diría que el olor a almacén tarda en irse, aunque al menos no deja ningún sabor extraño.  De momento para preparados fríos no tengo ninguna queja, pero para alimentos calientes no puedo opinar porque no creo usarla, aunque el cristal tanto del vaso principal como de los apliques se ven muy muy resistentes.  En definitiva, una buena compra que complace mis expectativas.</t>
  </si>
  <si>
    <t>Perfecto Hay que pedir minimo una talla mas o talla y media, pero por lo demas perfectos muy buen, buen agarre, parece que estas volando por su amortiguacion  Un buen producto</t>
  </si>
  <si>
    <t>Excelente calidad Necesitaba unos auriculares bluetooth, así que decidí tenerlo todo en uno. El peso es bastante bueno, la batería es perfecta para un par de cargas. Carga rápido y tiene un indicador con el porcentaje de batería. No le falta un detalle: también trae una funda para guardarlo y recambio de las gomillas de los auriculares.</t>
  </si>
  <si>
    <t>Un reloj clásico renovado a lo hipster Para todos los amantes de los relojes clásicos el F91W es un ícono de todos los tiempos. Pues bien, Casio ha decidido renovar toda su línea retro de relojes con colores dorados. El turno del F91W ha llegado y casi ha decidido cambiar la carátula negra por una dorada. Una decisión que a mi parecer le da un toque diferente.  Si bien el reloj sigue siendo de plástico el contraste del dorado con la correa negra hace ver al reloj muy guay. Que no cambia nada en funcionalidad solo en aspecto.  El único punto que le veo en contra es que el empaque en el que venía era una vergüenza y demerita mucho. Un sobre con el manual y una especie de funda de tela cutre.</t>
  </si>
  <si>
    <t>Excelente! Excelentes para el invierno! Mantienen el calor el tiempo suficiente para aliviar el frío. Son fáciles de usar, súper suaves y muy cómodas.</t>
  </si>
  <si>
    <t>Parece zapatos de gimnasio Muy cómodo Io le tengo todo el día... el pie no me duele están perfecto</t>
  </si>
  <si>
    <t>Muy ligeras y cómodas Son muy ligeras ya que no pesan nada,me encanta su plantilla que se adapta perfectamente a mi pie. Viene con una tiras a los laterales las cual hace que el pie esté bien sujeto. Tienen un estilo muy moderno y bonito.</t>
  </si>
  <si>
    <t>Cómodos y ligeros Es el segundo par que le regalo a mi marido,que , por su trabajo ,está muchas horas de pie, y le encantan.</t>
  </si>
  <si>
    <t>Guay ¡Perfectas! Son exactamente lo que esperaba, son cómodas y no he tenido ningún problema con la talla. Estoy muy contenta.</t>
  </si>
  <si>
    <t>Calidad Precio Perfecto para organizar los cables</t>
  </si>
  <si>
    <t>Mas o menos Producto tal cual lo describe la pagina muy buena calidad. Una pena que amazon o rebook no esten sincronizados con los pedidos y llegentarde de y no cumplan con lo de Prime.</t>
  </si>
  <si>
    <t>Bueno no es muy allá pierde pelo en cuanto lo metes</t>
  </si>
  <si>
    <t>BUEN PRODUCTO LO HE TENIDO QUE DEVOLVER POR QUE CON MI EQUIPO EN EL EXTERIOR SE ESCUCHABA FATAL Y JUSTO LO NECESITABA PARA ESO. PUDE PROVARLO EN OTRO EQUIPO QUE ME DEJARON Y MUCHO MEJOR. SUPONGO QUE EL FALLO LO TENDRIA MI EQUIPO</t>
  </si>
  <si>
    <t>Lo probé 2 veces y no iba. No funciona.</t>
  </si>
  <si>
    <t>Descontento absoluto. Lo devuelvo Es para regalar y en las fotos Del producto viene con una cajita blanca.  Este formato es muy feo y se ve muy cutre</t>
  </si>
  <si>
    <t>Botas Dr. Martins Llegaron antes de lo esperado , son tal y como quería .</t>
  </si>
  <si>
    <t>Funciona Es muy pequeño y discreto, y funciona muy bien</t>
  </si>
  <si>
    <t>Muy cómodos Es el segundo par de zapatillas Merrell que compro y perfecto.Estoy deseando ponerlas a prueba en su hábitat que es el campo.Seguro que repito.</t>
  </si>
  <si>
    <t>Bonitos pero delicados. Bien hace justo ya un año que los compré para mi chica y después de un año solo tengo que decir que son preciosos pero las perlas se terminan despegando. Así que espero que cambien de pegamento señores, porque estas opiniones no creo que ayuden.</t>
  </si>
  <si>
    <t>Un clásico moderno Andaba detrás de un G Shock que no fuese gigante, y me encotré con este modelo que es un clásico, pero actualizado en su interior (solar, radiocontrolado...) a un precio imbatible. Defectos...los botones son difíciles para apretar, la alarma apenas se oye, y lo de la sincronización depende mucho de la ubicación. Por lo demás es un gran reloj.</t>
  </si>
  <si>
    <t>Perfecto El articulo perfecto para organizar tu mesa gaming, los cables quedan super bien recogido y es muy barato lo recomiendo.</t>
  </si>
  <si>
    <t>Reloj casio Entrega en la fecha indicada y buen funcionamiento del reloj.</t>
  </si>
  <si>
    <t>👍 👍</t>
  </si>
  <si>
    <t>Muy útil! Cumple perfectamente su función y cuando quieres cambiar de bolso nada más tienes que sacarlo y lo llevas todo ahí ordenado! Calidad precio perfecta!</t>
  </si>
  <si>
    <t>Muy cómodas Muy cómodas y frescas</t>
  </si>
  <si>
    <t>Perfecta Perfecta , súper bonita y bien acabada , fue para un regalo y gusto mucho</t>
  </si>
  <si>
    <t>facil de usar me a gustado la calidad sobretodo, muy bueno</t>
  </si>
  <si>
    <t>Muy cómodo y fácil de usar Utilizo este tipo de productos desde hace tiempo para ayudar a la musculatura a recuperarse de los entrenamientos. Es un complemento que me recomendaron mucho los entrenadores y que finalmente me decidí a comprar, ya que hasta ahora utiliba los que me proporcionaba el club.  Me decidí por este electrestimulador por los tipos de "masaje" que permite y por la cantidad de electrodos que trae (6). Me sorprendió el tamaño reducido que tiene todo el conjunto y sobretodo lo ligero que es el aparato, lo que hace que resulte muy cómodo llevármelo a mi lugar de entrenamiento. Todos los componentes vienen bien separados y ordenados, por lo que no tiene pérdida ponerlo en funcionamiento. Además una parte de las instrucciones viene español, cosa a favor que no me esperaba la verdad.  Lo he utilizado ya unos cuantos de días en sesiones de 15 minutos (pre-entreno) y 30 minutos (post-entreno) y la verdad es que estoy bastante contento. Lo que más me gusta quizás sean los propios electrodos y el adhesivo que tienen, que funcionan realmente bien.  La calidad del producto va acorde al precio del mismo, no es de calidad profesional obviamente, pero para nivel usuario que es el uso que le doy yo es más que suficiente.</t>
  </si>
  <si>
    <t>Mejor de lo que esperaba! Cómodas y, aunque no parezca, más duradera de lo que pensaba. Son un par de meses que las usos casi a diario sin ningún problema. Son ya 5 años que uso zapatods barefoot. Estaba enamorada de los primereros 'merrell pace glove' pero ya que con cada nuevo modelo han ido empeorando he elegido probar una marca nueva e incluso más barata y estoy encantada de haberlo hecho!</t>
  </si>
  <si>
    <t>Buen precio | Calidad óptima | Nombre del producto erróneo. Ojo! El nombre del producto es erróneo. No son 2 paquetes de 125 hojas, sino un paquete de 100 láminas, cada lámina tiene 250 micras y es compuesta por dos hojas de plástico de 125 micras, cosa que pueden ver en la descripción y en las fotos del producto. Cualquiera podría darse cuenta que es un error lo de "2 paquetes de 125". He probado el producto y el resultado fue satisfactorio.</t>
  </si>
  <si>
    <t>Magnífico Gran diseño, calidad precio excelente.</t>
  </si>
  <si>
    <t>Perfectas Llegaron muy bien como lo esperaba Le encantaron a mi hijo Gracias</t>
  </si>
  <si>
    <t>Fran Cabello Parece de buena calidad... ya os lo dire que tal mas adelante pero pinta bien calidad precio. materiales buena calidad</t>
  </si>
  <si>
    <t>Justo lo que buscaba Buscaba un reloj algo mejor que el típico F91w y me decidí por este debido a ciertos comentarios , sin duda estoy encantada con mi elección ya que mi gran duda era el tamaño de la pulsera y es lo suficientemente grande para cualquier muñeca , por lo demás es un reloj fácil de usar y como de llevar</t>
  </si>
  <si>
    <t>Aspiradora de muy buenas prestaciones, buen precio , totalmente recomendable. Aspiradora con buenas prestaciones, calidad y precio, totalmente recomendable, he adquirido otra para un familiar que la probó y le encantó su maniobrabilidad, botón de encendido y apagado muy cómodo, no hace falta tenerlo pulsado para su funcionamiento como en otros modelos, recambios económicos y de fácil adquisición, muy contento con la marca,</t>
  </si>
  <si>
    <t>Rápido y buen producto Perfecto muy bien todo</t>
  </si>
  <si>
    <t>Calidad precio 👍🏼 Es finito pero resulta muy cómodo y está bastante bien</t>
  </si>
  <si>
    <t>Muy buena opción Es tal y como se describe. Muy pequeño y ligero. Eso si, al ser tan pequeño (no como otros discos duros más aparatosos) da la impresión de que no es muy resistente, así que mejor protegerlo con una funda o algo similar. A favor que no necesita alimentación aparte del cable USB.</t>
  </si>
  <si>
    <t>compra regular practico reloj,aunque pequeña esfera,tipico para regalo de comunion</t>
  </si>
  <si>
    <t>Es pequeño, excelente atención al cliente Lo devolví porque era muy pequeño, no sirve para un adolescente en el colegio, aunque puedo confirmar que el servicio de atención al cliente, fue muy diligente y siempre estuvo presente para resolver y atender en tiempo récord el cambio. Así que los recomiendo.</t>
  </si>
  <si>
    <t>AC Excesivamente caro. Me parece q este producto no vale el precio q cuesta, esta de moda x eso el precio</t>
  </si>
  <si>
    <t>Nada recomendable y peligroso Compré una a principios de enero y me gustaba, pero a la semana dejó de funcionar. Decidí dar una segunda oportunidad y pedí el cambio. Me llegó una de reemplazo y ha funcionado genial hasta ahora, que volvió a dejar de funcionar el cable de conexión y como sorpresa, al enchufarla salto una chispa del enchufe y saltaron los plomos. Por falta de tiempo, se me pasó el plazo de devolución de la primera, por lo que contaré en una segunda opinión como me ha ido con el servicio técnico al que me remiten, que está a 600km de mi domicilio, por lo que supongo que tendré que enviarla y correr con los gastos. Lo dicho: nada recomendable. Durante los meses que funcionó, una maravilla, pero no ha durado ni un año, teniendo en cuenta que en los meses de verano no la he usado a penas. Ya contaré como me ha ido con el servicio oficial en la segunda opinión que tengo derecho a dejar, ya que son dos productos iguales los que adquirí.</t>
  </si>
  <si>
    <t>La camilla mejor que los accesorios La camilla es bastante firme y cumple perfectamente su función.Por ese precio no se puede pedir más. Después de meses de uso estoy muy contento y la volvería a comprar. El hueco para colocar la cara es un poco estrecho y el material del tapizado tiene unas costuras muy marcadas en ese hueco que poniendo un paño suave evitan que se marquen en los pómulos. Para un uso no profesional va genial.</t>
  </si>
  <si>
    <t>Buena calidad y diseño La calidad del producto es muy buena. El tejido es muy suave y cálido. Quizás es un poco larga para mi gusto pero es una opinión personal.  Lo que no me gustó es que dejaran el paquete a un vecino sin yo pedirlo.</t>
  </si>
  <si>
    <t>CASIO Collection MTD-1053D Un buen reloj de cuarzo aunque algo clasico, water resist 200m,corona roscada,caja y correa de acero inoxidable,la correa es de 20mm. Si tuviera un poco más de lumen en agujas y dial, y unas agujas más modernas con más contraste tipo (plongeur), me gustaría todavía más. Buena compra desde mi punto de vista.</t>
  </si>
  <si>
    <t>Compacto Si, era lo que estaba buscando hace tiempo y me va perfecto,con buena capacidad,,apdactavilidad. Contento.gracias</t>
  </si>
  <si>
    <t>Muy contento Trás una semana de uso, puedo recalcar lo siguiente: -Calidad muy buena para su precio -Bateria que me ha sorprendido. Me ha durado 3-4 dias usandolo unas 4-5 horas. -Materiales muy logrados. -Conectividad muy rápida -Muy cómodos y adaptable -Quizás algo decepcionado con la cancelación de sonido. -Microfono se escucha flojo En resumen, si buscas unos cascos bluetooth baratos solamente para escuchar música o jugar a videojuegos son perfectos, pero si buscas unos para comunicarte o por el aislamiento del sonido quizás tengas que optar por otra opción. En mi caso, muy contento.</t>
  </si>
  <si>
    <t>Un artículo 5 estrellas Después de mucho tiempo algo incómodo pero perfecto de batería y sonido. Un artículo cinco estrellas</t>
  </si>
  <si>
    <t>Cómodas desde el primer uso Caja original. Recibido antes de lo previsto. La talla corresponde perfectamente. Super cómodas desde el primer uso ♡</t>
  </si>
  <si>
    <t>Buena compra Me encantan y me resultan comodisimas</t>
  </si>
  <si>
    <t>Sudadera savage Perfecto</t>
  </si>
  <si>
    <t>Muy buenos Su presentación es mu buena, viene en un estuche redondo con cremallera pequeñito muy mono, de buena calidad y presencia,  Los auriculares en sí lo más importante que reseñar es que tienen una gran calidad de sonido, por lo menos para mis oidos van excelentes, además me quita mucho ruido de fondo y eso que tengo a mis hijos siempre armando ruido, me van muy bien y se ajustan estupendamente con sus almohadillas extras que traen, puedes poner los que mejor ase adapten a tus oidos.  La conexión bluetooth es excelente, de gran calidad y los conecté en pocos segundo, por lo que quede satisfecha, ya que los que tenía hasta ahora tardaban una eternidad en conectar y poder volver a usarlos.  Otra cosa que me gusta que sus adaptaroes que van por detrás de las orejas no se caen, la verdad esta sujeción es muy recomendable ya que los otros están siempre cayendo como no se te ajusten perfectamente. Totalmente recomendable la compra.</t>
  </si>
  <si>
    <t>Contento Todo como se describe</t>
  </si>
  <si>
    <t>Muy muy bien. Son cómodos al tacto, no presionan con exceso las orejas (otros que he tenido sí lo hacían y resultaban molestos después de un rato). El sonido es nítido. El cable es fuerte y robusto. Los uso para la tablet bq edison 3 que saca el sonido en dolby digital. Es espectacular y aún más, si cabe, por menos de 11€. Altamente recomendable. El servicio Amazon, como siempre, estupendo.</t>
  </si>
  <si>
    <t>Perfecto Tal cual lo publicitan Me ha ido genial.</t>
  </si>
  <si>
    <t>Una gran artesania. Son perfectas y de una gran calidad.</t>
  </si>
  <si>
    <t>Escelente Muy bueno</t>
  </si>
  <si>
    <t>Barato y fácil Enchufé el IN al OUT de mi  edrum y el usb al PC. Lo reconoció al instante. Luego me bajé el dtxmania y a drumear ;)</t>
  </si>
  <si>
    <t>Muy útil y original Para motivar a los niños es perfecta les encanta</t>
  </si>
  <si>
    <t>De lo mejor Posiblemente la mejor camiseta tecnica que he comprado. Ceñida al cuerpo cumple perfectamente con lo que se espera de ella. No produce rozaduras y elimina el sudor completamente de la parte interior de la camiseta.</t>
  </si>
  <si>
    <t>Compra satisfactoria Con la tetina puesta correctamente, es perfecto, no coge aire, no atragantamientos, la succión parecida al pecho. Apto para microondas. Calidad excelente. Los mejores que he tenido.</t>
  </si>
  <si>
    <t>Perfecto! Es perfecto y está bien aislado del suelo.</t>
  </si>
  <si>
    <t>BUENA TOSTADORA Tuesta muy bien, al ser de una sola ranura larga, es más ancha y cabe todo tipo de pan. No tuesta uniforme del todo, pero creo que es por el tipo de pan que he estado tostando. la estética es bonita. Cumple su función correctamente</t>
  </si>
  <si>
    <t>Perfect! It looks smart and works well. After four months of use it still looks like new. I love the magnetic function of it too! Highly recommended! 5/5 stars!</t>
  </si>
  <si>
    <t>todo perfecto son ideales para trabajar, cómodos y práticos. Me encantan.</t>
  </si>
  <si>
    <t>Llego 2 semanas tarde No esperaba mucho por su precio, pero realmente la pulsera me sorprendió, es muy bonita, pero ha llegado dos semanas más tarde de lo que estaba previsto.</t>
  </si>
  <si>
    <t>Consume hasta la última gota de la pasta de dientes Muy útil. Gasta hasta la última gota de pasta de dientes.  Lo único en contra es que es muy incomodo por la forma que tiene, si fuera plana sería mucho mejor</t>
  </si>
  <si>
    <t>Me gusta En un comentario anterior ya expuse que me llegó con una pequeña rayadura en el cristal y ahora con el uso, me doy cuenta que su funcionamiento deja mucho que desear, se atrasa una barbaridad. En suma diré que vistos los resultados , en mis compras futuras me lo pensaré dos veces ántes de realizarlas por este medio.</t>
  </si>
  <si>
    <t>Especificaciones y características erróneas Pone 60w y tiene 50w. Pone lavable y en la etiqueta pone no lavar ni en seco ni en mojado. La he enchufado 30 minutos al máximo y calienta muy poco. La he devuelto</t>
  </si>
  <si>
    <t>Sin su caja original y sin etiqueta, parecían copias no originales... Hay que pedir un número menos por que vienen grandes, quedan geniales! y son muy cómodas...La manera que me llegaron no me guato nada, casi las devuelvo...me llegaron en una caja Blanca, no en su embalaje original, sin etiquetas y sin los cordones negros que se que trae este modelo. Por parte de Amazon muy mal...me pensaré para la próxima hacer un pedido.</t>
  </si>
  <si>
    <t>Casio Edifice Lo mejor de este reloj para mi es la relación calidad precio.Creo que hice una buena compra.Es mejor que en la foto.</t>
  </si>
  <si>
    <t>Mi mas honesta rewiev Tengo ya varios micrófonos de la misma gama de precios prácticamente. Vi muchas otros análisis en Internet y decidí en aventurarme a probar este micrófono. Mi objetivo principal es la creación de pequeños proyectos, maquetas y vídeos relacionados con la música. No os voy a engañar el micrófono en sí no es profesional es decir la calidad de audio no se asemeja a una producción de alta calidad o profesional ahora también digo que en relación de calidad preció por lo que estamos pagando por el diría que si le podría dar un 10. Respecto a la comparación con otros micrófonos este Neewer en sí está bien construido de aspecto atractivo aun que para mi gusto pequeño . Respecto al audio resaltan un poco más los agudos teniendo algo más de brillantez  y nitidez que los otros micrófonos que tengo del mismo rango de precios aun que esta diferencia diría que es muy discreta sin llegar a destacar por todo lo alto aun que si es verdad que lo he notado con algo más de calidad (tampoco le vamos a pedir peras al olmo y con eso me refiero al precio y lo que compramos por ese precio), Sobre los graves casi que brillan por su ausencia y si le ponemos algo más de ganancia que sobre pase del 45 % aproximadamente empezará a distorsionar en algo los sonidos los otros micrófonos en torno al 35 % de ganancia ya me comenzaban a distorsionar (por eso digo que hay diferencia pero muy discreta referente a otros micrófonos del mismo rango de precios). Sobre la calidad de audio en general para grabaciones musicales con algún programa de mejora y edición de audio se pueden hacer bastantes mejoras aun que nunca equiparable a una producción profesional aun que sí grabaciones con un sonido algo decente. Respecto al resto de componentes simples pero cumplen salvo el anti pop  pienso que es mejor el que se coloca con una especie de brazo y va suelto en vez de este que trae. Mi conclusión final es que esperaba algo más de calidad o quizás que fuera algo más grande aun que por lo que cuesta sigue siendo una opción a valorar para muchos que no queremos invertir demasiado en aficiones o en cosas que por el momento hablando directamente no nos dejan dinero es decir para hobbies y aficiones. Si tienes otros micrófonos del mismo rango piensa que este tiene algo más de brillantez y nitidez con poca respuesta o ninguna a grabes aun que esta diferencia es muy pequeña aun que se nota. Si por el contrario no tienes micrófono y te planteas tener uno para aficiones y producir algunas cosas sin invertir demasiada pasta este puede ser tu micrófono si por el contrario buscas la profesionalidad el sonido la buena respuesta de grabes, agudos, nitidez con ganancia etc. Entonces descartaría automáticamente este micrófono y probablemente todo el que este por debajo de 70-80€(tirando le corto) más bien empezaría a mirar a partir de 100€ en adelante para micrófonos más profesionales. La última cosa es que este micrófono requiere alimentación 48v si no tampoco me plantearía de comprarlo.  Saludos a la comunidad y espero que os sirva. Yo por el momento me quedaré con este hasta el día en que quiera invertir en algo mucho más gordo.</t>
  </si>
  <si>
    <t>Bonito estampado pero color mas oscuro que en foto El estampado es muy bonito y esta bien hecho. El color es mas oscuro siendo piedra gris en lugar de blanco pero digue gustandome. La calidad supera lo esperado y son calientes y de licra bastante gruesa. Se retrasaron mucho en la entrega y respondieron inmediatamente ofreciendome otros nuevos. No fue necesario porque llegaron dos dias mas tarde de la reclamacion. Buena compra por ese precio</t>
  </si>
  <si>
    <t>Chusa Fantásticas zapatillas para caminar y el día a día. Comodísimas y de muy buena calidad a precio de ganga. La única pega es que vienen grandes. Yo uso una 38 y me queda un poco grande. El próximo par lo pediré de una talla menos. De resto, todo fenomenal.</t>
  </si>
  <si>
    <t>Extraordinaria Rigidez. Son más grandes de lo común para un número 47. Las tiras ajustables quedan algo cortas al abrocharlas.</t>
  </si>
  <si>
    <t>Correctas para uso infantil Se trata de unas tijeras escolares de la marca APLI. Son pequeñitas, de 13 centímetros de largo.  Están fabricadas en acero inoxidable y los aros para los dedos son de plástico en colores rojo anaranjado y amarillo. Tienen forma ergonómica, por lo que resultan bastante cómodas de utilizar sin que a lis niños les moleste en los dedos.  Obviamente como son tijeras escolares las puntas son redondeadas, para evitar o minimizar posibles accidentes.  La verdad es que para el precio que tienen están más que correctas.</t>
  </si>
  <si>
    <t>comodos y con buen sonido La verdad es que me a sorprendido su calidad ya que ademas de tener un gran sonido aislan bien del exterior y asi poedes disfrutar mucho mas de la musica Tambien son muy comodos por que ademas de estirarse las orejeras se pueden mover adaptandose mucho mejor a tu cabeza</t>
  </si>
  <si>
    <t>Muy fina pero parece resistente. Entrega puntual Buena relación calidad precio, no resulta facil encontrar cadenas de plata largas. Han entregado puntualmente, llega en una caja con buena presentación</t>
  </si>
  <si>
    <t>Práctica Es muy practica y haces el mínimo esfuerzo con las manos</t>
  </si>
  <si>
    <t>Perfecto y sobre todo la ayuda del vendedor Todo perfecto la verdad, vino estopeado el enganche de 1 de los microfonos, funcionaban perfectamente, aun asi se lo comunique al vendedor y el me envio otro totalmente gratis y rapido, la verdad impresionante muy agradecido y recomendados al 100% no son unos grandes microfonos pero solucionan la papelete de tener 2 en 1, y se escuchan bien en calidad/precio.</t>
  </si>
  <si>
    <t>Perfecta De momento funciona de maravilla y es muy fácil de limpiar. No puedo pedir más por lo que pagué. Buena compra.</t>
  </si>
  <si>
    <t>Elegante, discreto y económico Excelente calidad a muy bien precio. Casio no defrauda nunca</t>
  </si>
  <si>
    <t>Un precio muy económico para un accesorio que creo que vale la pena tener por casa Es un buen accesorio para tener en la cocina y aunque no lo utilizo cada día estoy satisfecho con los resultados hay que decir que tampoco soy un profesional sino que se le da un uso más de andar por casa</t>
  </si>
  <si>
    <t>Botas Hunter Comodidad</t>
  </si>
  <si>
    <t>me encanta estoy feliz con mis reebok, son cómodas, y el diseño freestyle noventero me recuerda a mi adolescencia, llegue a tener unas blanas, y deseaba tener unas negras.</t>
  </si>
  <si>
    <t>Muy prácticos Suenan muy bien. Lo que más me gusta es que dura mucho la batería y se puede usar el estuche de transporte como cargador para el móvil...</t>
  </si>
  <si>
    <t>Cómodos y claridad en sonido Compré estos auriculares porque estoy cansado de que se me enrolle el cable de los auriculares que no son inalámbricos. Es muy cómodo llevarlos, se adaptan bien a la oreja y como ya he dicho , el hecho de que no haya cables es genial.Se escuchan bastante bien. El diseño es muy bonito En general estoy contento con todo así que los recomiendo totalmente, por el precio que tienen merecen la pena.</t>
  </si>
  <si>
    <t>Relacion calidad precio insuperable. Las tenia ya echado el ojo en otras webs y este es sin duda el mejor precio , envio incluido. La marca en si ya es garantia de calidad.</t>
  </si>
  <si>
    <t>Genial para estancia pequeñas Se trata de un producto ideal para ayudarnos a mantener el buen olor en nuestras estancias eliminando los malos olores. Presenta un diseño muy bonito, hecho en madera, por lo que además de funcional nos sirve para dar un toque decorativo en nuestro hogar. Una vez encendido, el difusor emite en luces de distintos colores, siendo la transición entre ellos tranquila y relajada y creando un efecto visual muy bonito.  A la hora de rellenarlo, hemos de fijarnos en las marcas que hay dentro del difusor que nos indican la cantidad de líquido que podemos introducir. Una vez rellenado (nunca debemos de superar la línea del máximo) basta con echar unas 4-5 gotas de nuestra fragancia favorita para que esté listo para funcionar. Durante su funcionamiento, es bastante silencioso, escuchándose solo en el momento en que se evaporiza el perfume, por lo que podemos tenerlo en nuestras estancias sin temor a que sea demasiado ruidoso.  En general, creo que se trata de un elegante y bonito difusor aromático, que nos será de gran ayuda para mantener a raya los malos olores en nuestro hogar. Estéticamente, es muy bonito ya que por su diseño podría pasar perfectamente por un jarrón.</t>
  </si>
  <si>
    <t>Buena relación calidad precio Totalmente recomendable, ya que que se adaptó perfectamente a mis necesidades</t>
  </si>
  <si>
    <t>Ajustable a cada tamaño Es igual que en la imagen. Los mismos colores. Me encanta que se pueda ajustar al tamaño de mi muñeca. Pensaba que eran piedrecitas, creo que es de plástico, pero aún así por el precio que tienen súper contenta.</t>
  </si>
  <si>
    <t>Muy buena Esta crema es una pasada cuando tienes los musculos hechos polvo. Es decir despues de haberte metido una buena paliza de deporte o bien un día de esos de estar todo el día de pié, te hechas esta crema y te deja como nuevo.</t>
  </si>
  <si>
    <t>optimo Nos encantó: es potente, de muy buena calidad, tiene todas las opciones necesarias, se lava bien, muy resistente y optimo precio.</t>
  </si>
  <si>
    <t>buen calzado Es un zapato clasico muy bonito y de buena calidad, es una buena compra, a mi me gustan cada día más y además son muy duraderos, te durarán muchos años.</t>
  </si>
  <si>
    <t>¿es original? Tras poco tiempo de uso se está borrando el logotipo de la marca (Moulinex). Me parece un poco extraño y me hace dudar de la originalidad del producto. ¿Hay algún certificado que garantice la procedencia del producto? Si lo hubiera le daría 5 estrellas, pues el funcionamiento es aceptable.</t>
  </si>
  <si>
    <t>Marca la hora. La misma marca hace relojes mejores por un precio igual</t>
  </si>
  <si>
    <t>Pedro Bien</t>
  </si>
  <si>
    <t>Vaso roto en menos de 6 meses Producto de mala calidad, mientras el motor sí sigue funcionando. El vaso se ha rajado de punta a punta haciendo un uso normal de la batidora. No lo recomiendo en absoluto</t>
  </si>
  <si>
    <t>NO DURAN NI UN MES Duran 1 mes como mucho, en un principio funcionaban bien pero pasado un mes empiezan a fallar, en mi caso los botones de controlar el volumen, pausar, o pasar a la siguiente canción, han empezado a funcionar por si solos. Es decir no les toco pero de repente salta de canción, o se pausa y asi repetidamente sin parar, y eso acaba molestando.</t>
  </si>
  <si>
    <t>Mal funcionamiento El cabezal se puede girar y tiene una pestaña que se desliza para mantenerlo en una posición determinda. Esa pestaña se baja sola y, por tanto, el cabezal se queda suelto cuando se está empleando en posición vertical de arriba abajo (casi siempre). Para fijarlo, hay que hacer algún apaño como meter un alambre para que no se deslice la pestaña. El precio es muy alto para las prestaciones que da. Lo compré para poder usarlo con el mango telescópico Leifheit, ya que el sistema de anclaje sólo sirve para los productos de esta marca. Pero no lo recomiendo.</t>
  </si>
  <si>
    <t>La recomiendo totalmente Aspira genial. Muy recomendable para casas grandes y con mascotas. El inconveniente, que para mi no lo es, es que pesa un poquito mas de lo normal.</t>
  </si>
  <si>
    <t>Pulsera Cumple las expectativas,, ahora a comprar adornitos de esos q so q son para mi opinión algo caros para lo q es</t>
  </si>
  <si>
    <t>Cumple Cumple su uso</t>
  </si>
  <si>
    <t>Es perfecto Es un producto de calidad; la única pega que le veo, es que la correa es larga, larga, como para el puño de Hulk. A una persona normal le queda la punta por encima de la muñeca.</t>
  </si>
  <si>
    <t>Todo correcto Todo correcto</t>
  </si>
  <si>
    <t>Calidad y precio muy bueno Rapidez en la entrega y muy buena calidad a un buen precio</t>
  </si>
  <si>
    <t>Perfecto para animar tus fiestas incluye 2 microfonos, el amplificador y todos los cables necesarios para conectarlo a tu equipo de sonido y a una pantalla. suena bien</t>
  </si>
  <si>
    <t>Muy bien Correcto lo del agua no lo sé no lo intento</t>
  </si>
  <si>
    <t>buena compra Llego rapido y cumple sobradamente mis espectativas, muy conteno y satisfecho con esta batidora, la utilizo varias veces al dia y perfecto, por eso le doy cinco esrellas.</t>
  </si>
  <si>
    <t>Perfecta Mucha potencia,pica muy rapido y sencilla de limpiar, sin más. Montar nata no lo he hecho, pero supongo que pasara igual, aunque yo la compre par picar y estoy encantanda. nota sobre diez, un diez.</t>
  </si>
  <si>
    <t>Todo perfecto. Los tuve antes y me gustaron.</t>
  </si>
  <si>
    <t>Perfectos Súper bonitos y prácticos, ideales y comodísimos, me han sorprendido. Los compré para mi hija y después le regalé otros a mi sobrina</t>
  </si>
  <si>
    <t>Son Timberland originales No hagáis ni caso a los que dicen que son falsas. No hay ninguna duda. Son originales y de mucha calidad. Muy cómodas y bonitas.</t>
  </si>
  <si>
    <t>Buena tarjeta e memoria Esta marca no defrauda nunca, buen empaquetada, la tarjeta sd tiene una lectura y escritura muy rapida, capacidad mas que suficienta para el uso  en una camara compacta, compra recomendable y buen precio</t>
  </si>
  <si>
    <t>Excelente producto Envío y entrega impecable, producto bastante recomendable para principiantes en el mundo del sonido/producción. Sin problemas, fácil uso/instalación y de muy buena calidad.</t>
  </si>
  <si>
    <t>Buena calidad Buenos rollos esta vez acerte</t>
  </si>
  <si>
    <t>Comodidad y diseño Ha llegado como se había solicitado. Queda súper!! Te puedes hacer una idea sabiendo que el elástico de la cintura ayuda bastante a las mujeres con caderas pero en forma, es decir cuerpo fitness, se amolda a la silueta y son muy cómodos!!! Un 1o!!! La calidad no es de Louis Vuitton pero calidad precio está bastante bien.</t>
  </si>
  <si>
    <t>Justito de numero Lo he devuelto porque me apretaba mucho en el empeine. No lo iba a llevar cómodo aún siendo mi número, de largo me quedaba bien</t>
  </si>
  <si>
    <t>Sensación agradable! &lt;div id="video-block-R13SYKUT7MOSZA" class="a-section a-spacing-small a-spacing-top-mini video-block"&gt;&lt;div tabindex="0" class="airy airy-svg vmin-supported airy-skin-beacon" style="background-color: rgb(0, 0, 0); position: relative; width: 100%; height: 100%; font-size: 0px; overflow: hidden; outline: none;"&gt;&lt;div class="airy-renderer-container" style="position: relative; height: 100%; width: 100%;"&gt;&lt;video id="39" preload="auto" src="https://images-eu.ssl-images-amazon.com/images/I/A1OruJrv6RS.mp4" style="position: absolute; left: 0px; top: 0px; overflow: hidden; height: 1px; width: 1px;"&gt;&lt;/video&gt;&lt;/div&gt;&lt;div id="airy-slate-preload" style="background-color: rgb(0, 0, 0); background-image: url(&amp;quot;https://images-eu.ssl-images-amazon.com/images/I/C1ciyiEKJMS.png&amp;quot;);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center;"&gt;0:00&lt;/div&gt;&lt;div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value="https://images-eu.ssl-images-amazon.com/images/I/A1OruJrv6RS.mp4" class="video-url"&gt;&lt;input type="hidden" name="" value="https://images-eu.ssl-images-amazon.com/images/I/C1ciyiEKJMS.png" class="video-slate-img-url"&gt;&amp;nbsp;Llevo una semana utilizando una media hora al día porque no se recomienda mucho más su uso diario, pero a veces hay momentos en los que me paso de tiempo. Lo compré para el uso de toda la familia y no lo vamos turnando a la hora de estar sentados en el sofá. Es una sensación agradable y placentera, lo suelo usar a la altura del cuello y hombros pero también en los lumbares y la sensación de cosquilleo es agradable.</t>
  </si>
  <si>
    <t>Lo que queria. Guapo</t>
  </si>
  <si>
    <t>Buena calidad Tela de buena calidad, me encanta</t>
  </si>
  <si>
    <t>Perfectas. Calidad/precio ideales. Cumplen.</t>
  </si>
  <si>
    <t>Correcto Un producto correcto</t>
  </si>
  <si>
    <t>Existiendo otras opciones en el mercado, no los recomendamos. Los compramos por recomendación y la verdad q nos arrepentimos, los avent de philips desde nuestra experiencia le dan mil vueltas a este, boca ancha, rosca hermética en media vuelta, mucho más sencillo a la hora de limpiarlos, y las tetinas que esto si q es muy personal le gustan más a nuestro bebe. Además la escala de medida por ejemplo no tiene los 30 ml ni los 60 ml que son los que hemos de darle a nuestro recién nacido, así que aunque sea una tontería me cuesta más tiempo realizar las tomas con estos biberones.</t>
  </si>
  <si>
    <t>cumple su función Pensaba que al llevar dos entradas para tarjeta minisd se comportaría como una doble unidad, pero no es así. Coge por defecto la que esté enganchada, y si lo están dos, la que está en la parte inferior. He probado con 64GB en una psp antigua y aunque tarda unos segundos en reconocer la tarjeta, la maneja con soltura.</t>
  </si>
  <si>
    <t>Son muy rígidos Los zapatos son hermosos. Sin embargo son súper duros. Me lastimaron la parte de atrás del pie, por lo menos las primeras tres veces que me los puse. Tuve que usar banditas y de verdad no fue agradable, incluso molestaban con medias gruesas. He coincidido con varias personas sobre que son muy duros recién comprados.</t>
  </si>
  <si>
    <t>Engaño No funciona la cerradura...un completo engaño</t>
  </si>
  <si>
    <t>No funcionaba, lo devolví El ordenador lo reconocía pero no captaba sonido</t>
  </si>
  <si>
    <t>Muy comodas Son muy comodas, eso si, hay que pedir un numero menos La unica pega es que se cala un poco el agua</t>
  </si>
  <si>
    <t>Buen regalo Buen regalo y de buena calidad, pero por su sistema de cierre, se necesita la ayuda de otra persona.</t>
  </si>
  <si>
    <t>Economico y muy bueno Estupendo disco SSD de Kingston de 240GB. Estupenda calidad y muy rapido. Una compra totalmente recomendada y mas a este precio</t>
  </si>
  <si>
    <t>Tamaño ideal si dispones de poco espacio Destaco el tamaño, ya que ocupa muy poco espacio en la cocina, parece que tarda un pelin mas en calentar el agua pero apenas se aprecia la diferencia, así que genial porque asi ahorramos energía.</t>
  </si>
  <si>
    <t>Buena compra Lo esperado, buen producto calidad/precio Me ha sorprendido lo bien que suenan, y eso que estaba acostumbrado a unos sennheiser.  Lo único que no me gusta es la unión del cable con el jack, tiene pinta que se romperá por ahi. Eso si, espero que sea dentro de mucho.</t>
  </si>
  <si>
    <t>Casio forever! Reloj en perfecto estado, tal como aparece en la descripción. Muy comodo i facil de usar, un clásico. La correa metálica se ajusta fácilmente con un destornillador, aunque yo tuve que mirarme un tutorial en youtube, se ajusta enseguida. Tiene varios modos de alarma que no uso para nada, cronometro y doble uso horario. Parece que va a durar mucho, muy contento conla compra.</t>
  </si>
  <si>
    <t>Justo lo que buscaba Excelente pack de aceites con los aromas que más me gustan. Los uso en el quemador de aceites de porcelana porque me gusta más que usar un humidificador y el salón queda con aroma por varias horas.</t>
  </si>
  <si>
    <t>Buen tejido. Tiene buen tejido,un algodón fuerte y suave al mismo tiempo,es muy cómodo,yo mido 1.70 y de largo me viene más bien justo pero me gusta así,</t>
  </si>
  <si>
    <t>Calidad. Perfecto.</t>
  </si>
  <si>
    <t>Muy bien Buen producto</t>
  </si>
  <si>
    <t>Estupendo Por fin botellitas con USB en pack y a buen precio. Venía muy bien embalado y precintado.</t>
  </si>
  <si>
    <t>Calgon 75 pastillas Después de 6 usos se nota que olor de la lavadora a empezado a desaparecer La foto corresponde con lo descrito por el fabricante</t>
  </si>
  <si>
    <t>Estan bien Fue un regalo para mi madre y ha quedado muy contenta.</t>
  </si>
  <si>
    <t>Óptimo para los bebés que le guste este tipo de tetina Biberón de buena calidad. No se amarillea con el tiempo y esta fabricado con materiales no peligrosos para los peques. La tetina le gusta mucho a mi hija. Se limpia fácilmente con un cepillo.</t>
  </si>
  <si>
    <t>Justo lo que necesitaba Necesitaba una tarjeta nueva para mi nuevo cámara. De momento genial. Es muy rápido copiando las fotos al ordenador (en RAW) y por lo que me costó (21,99) no he visto uno mejor.</t>
  </si>
  <si>
    <t>Muy bueno Muy buena calidad. No se despega. Exacto a la descripción</t>
  </si>
  <si>
    <t>Calidad insuperable Poco que decir de la calidad de Timberland, magníficas, cómodas, y gran calidad en todos los aspectos.Repetiré compra con esta marca.</t>
  </si>
  <si>
    <t>genial, gran audio el disño esta genial se puede mover y colocar como quieras y que puedas ajustar el nivel de la voz desde el mismo microfono me encanta, y con un precio increible.</t>
  </si>
  <si>
    <t>Muy útil Lo compré,y me ha llegado hoy sobre las,envío muy rapido! Y va perfecto.Además el bol,gira a la vez que gira giran las varillas,  y eso va perfecto ya que se mezcla todo fenomenal</t>
  </si>
  <si>
    <t>Almacenamiento y portabilidad Perfecto sin ningún fallo</t>
  </si>
  <si>
    <t>Perfecto!!!! Es idéntico a la descripción, muy bien , cómo inconveniente .....al ser la carcasa brillante se quedan todas las huellas</t>
  </si>
  <si>
    <t>Mejores Creo que con el tiempo de ablandaran... Porque son muy duros.. Pero eso sí mantienen al pie en su sitio... Muy buenos la verdad</t>
  </si>
  <si>
    <t>Diseño y calidad. Muy contenta con la pulsera...es plata..y queda genial...es la segunda que os compro  y muy satisfecha .</t>
  </si>
  <si>
    <t>No tiene potencia ni para una remolacha!! La compré porque la vi muy recomendada en blogs y tal, por la marca que me daba confianza y porque decía que pica hielo, lo cual indicaría potencia suficiente para picar vegetales... pues no! Ni una remolacha puede picar. Una vergüenza, la verdad. Especialmente considerando el precio, vamos, un timo.</t>
  </si>
  <si>
    <t>Buen acabado del producto pero se queda corto en algunos detalles El bolso en líneas generales está bien, me gusta su estética y sus acabados. El material del que está hecho da  la impresión (subjetivamente)  y, leyendo algunos comentarios, de no ser bastante resistente. Otra pega que lo pongo es la longitud de la correa. Es demasiado corta para personas como yo que tenemos una estatura normal. Por lo demás está bien, tiene bastantes apartados y es cómodo de llevar.</t>
  </si>
  <si>
    <t>Top para cuerpos más grandes En sí la tela y los acabados está muy bien lo único que son un poco anchos y parecen mini camisetas más que tops</t>
  </si>
  <si>
    <t>Buena manera de perder el tiempo Lo compré para la oficina y ya de por sí me daba algo de "miedo". Al sacarlo de la caja todo pintaba bien, pero al abrirle la tapa ya salía un olor extraño. Lo probé a calentar un café y se pego parte de él en la base metálica. Se quedó ahí desde entonces con nada salía. La junta de dicha base es de plástico dándole un sabor único a tus cafés. Lo devolví al día siguiente y Amazon se portó devolviendome el dinero integro del producto.</t>
  </si>
  <si>
    <t>Buen reloj. Malos eslabones de correa. Los eslabones de la correa son de presión y son tan malos que no salen lo suficiente para poder sacarlos para acortar la correa</t>
  </si>
  <si>
    <t>Funciona Lo uso para emulsionar cremas, aceites cosméticos, etc... funciona muy bien a pesar de su calidad (baja), q más se le puede pedir por el precio q tiene.</t>
  </si>
  <si>
    <t>Lectura y escritura Va muy bien tanto al escribir como al leer cualquier archivo</t>
  </si>
  <si>
    <t>Disco duro  SSD M.2 Perfecto para mi nuevo portátil e instalar en él el SO w10  y  los programas que uso. Ha llegado en buenas condiciones y la relación calidad precio es lo mejor.</t>
  </si>
  <si>
    <t>Cómoda y durabilidad Cómoda y gran duración</t>
  </si>
  <si>
    <t>Perfecto El reloj llegó perfectamente envuelto para que no llega estropeado. Además el reloj es de muy buena calidad, ha pasado el tiempo y sigue como nuevo.</t>
  </si>
  <si>
    <t>Relación calidad precio. Muy cómodas, transpirables y con camara de aire. La calidad es bastante buena, el precio no esta nada mal. Recomendadas 100%.</t>
  </si>
  <si>
    <t>Todo perfecto Perfecto</t>
  </si>
  <si>
    <t>Buena calidad precio Buena calidad precio.</t>
  </si>
  <si>
    <t>Cascos Perfectos para estrenar en el gym , correr ok</t>
  </si>
  <si>
    <t>Muy bien de precio Tardaron en llegar pero están muy bien. Hay de todos los colores y están bastante bien. Si tejes a menudo estos marcadores vienen perfectos.</t>
  </si>
  <si>
    <t>Cómodos Cómodos y a buen precio</t>
  </si>
  <si>
    <t>perfecto El envío fué como acostumbra Amazon perfecto y el producto cumple las espectativas a un precio razonable. A ver ahora si dura unos cuantos años porque ya sabemos todos los electrodomésticos están hecho para durar lo justito para la garantía. El anterior de la misma marca nos duró cerca de 4 años.</t>
  </si>
  <si>
    <t>Buen reloj Un must-have de la relojería. Ya de pequeño tenía el primer modelo y ahora tengo la actualización. Por ponerle una pega, quizás los botones son algo duros. Por lo demás, súper chulo</t>
  </si>
  <si>
    <t>Lo esperado Me ha gustado mucho el sonido que hace aunque debes acercartelo bastante para oírlo, como debe ser claro, no es un cencerro. Por lo demás todo como en la descripción del anuncio</t>
  </si>
  <si>
    <t>muy bien esta batidora es muy bien...Es muy útil y fácil para hacer postre...y sólo con precio tan barato, me gusta mucho.</t>
  </si>
  <si>
    <t>Calidad superior y tállele lo esperado Calidad superior y tallaje lo esperado</t>
  </si>
  <si>
    <t>Perfecto para ambientes amplios. Buena recepcion a larga distancia Kit de 2 emisores a los quales se les puede adaptar el microfono, el kit viebe con 2 juegos de microfonos para cada emisor, uno de diadema y otro con pinza. Volumen ajustable de cada canal recibido.</t>
  </si>
  <si>
    <t>Calidad-precio excepcional Lo que buscaba! Ni mas ni menos que etiquetas de carton. Muy buena calidad!</t>
  </si>
  <si>
    <t>Sonido perfecto Son perfectos. Se oyen genial. Volveria a comprarlos. Los recomiendo</t>
  </si>
  <si>
    <t>Funciona bien sin ser un experto El caso es que yo andaba buscando un disparador de flash Elinchrom series 500/600 de los años 90 ya que una vez me vino un comercial con uno con la forma de éste y no requería del otro aparato de los canales, lo probé sin el aparato y no funcionaba, con él puesto en el cable de sincronización, sí. El aparato de la zapata usa dos pilas AAA, no os puedo hablar usando flashes cobra pues ni lo he probado y no creo que vaya a hacer, pero si tienes una cámara que no tiene para enchufar un cable sincro, como la Canon EOS 600D o la 6D, por citar algún ejemplo, pues aquí tienes este aparatejo de precio ridículo que funciona bien.</t>
  </si>
  <si>
    <t>Cazadora mujer Es muy cómoda aunque más clara de lo que parece en la foto</t>
  </si>
  <si>
    <t>Rapidez de entrega y comodidad Todo perfecto</t>
  </si>
  <si>
    <t>Very Happy Muy buena compra. Me encanta lo bien que coge este biberón mí bebe. Y la entrega rapidísima. lo recomiendo a todo el mundo.</t>
  </si>
  <si>
    <t>El interior es de plastico El interior es de plastico , mejor si fuera de inoxidable en la foto no se visualiza bien el interior, no se detalla el tipo de plastico utilizado si está libre de bpa</t>
  </si>
  <si>
    <t>Resultados aceptables La batidora en sí cumple lo prometido, no está mal, lo bate todo bastante bien y sin problemas. Varios problemas importantes que debéis tener en cuenta antes de comprar este producto: 1: las cuchillas salen hacia arriba y están muy expuestas, desaconsejo este tipo de productos si tenéis algún peke suelto por casa. puede que se lleve algún corte en el proceso. (miren las fotos de algunos de los clientes y lo entenderán)  2: hace bastante ruido, así que no hagáis batidos por la noche si tenéis vecinos.  3: a experiencia personal, al tercer uso se me bloqueó la cuchilla y no pude sacarlo, tuve que cambiarlo y hasta ahora lleva 6 usos sin dar problemas. Si es os engancha no intentéis sacarlo y devolverlo u os llevaréis unos cuantos cortes  por el camino (experiencia propia)</t>
  </si>
  <si>
    <t>no funciona ni un poco tardé tiempo en probar el micrófono y no funciona.</t>
  </si>
  <si>
    <t>Izzycasta8 Muy malo . Hace unos das que lo compre y ya produce ruidos y falla. No lo recomiendo ya que lo venden como artículo de alta calidad y anti enredos y por mi experiencia no es cierto. Se enreda más que los de goma y es difícil de guardar. Lo venden como cable profesional pero deja mucho que desear .</t>
  </si>
  <si>
    <t>a gusto con la compra La calidad es importante. sin problemas se puede hacer pasteles y cupckake.  excelente.  puedes disfrutar haciendo pasteles rapudo y sin complicaciones</t>
  </si>
  <si>
    <t>que funcione falta probarla espero que no me de problemas</t>
  </si>
  <si>
    <t>Buena compra Es una marca conocida, eso da seguridad, uso este tipo de tarjetas para la Raspberry, uso otras marcas como Samsung y SanDisk. Al usar esta me he dado cuenta que de todas es con diferencia la que menos espacio tiene, unos 62Gb por lo que al intentar pasar la imagen de la SanDisk, que de las dos anteriores es la que menos tiene (un poco menos que Samsung Evo) no me ha dejado. El problema es que faltan 2gb y es mucho espacio para gitarlo de la imagen, para el uso que le doy prefiero las otras. Ahora bien, si vas a partir de cero o la quieres para el móvil por ejemplo, es una gran compra, yo la pille por 7€ y algo así que muy bien.</t>
  </si>
  <si>
    <t>Son como la foto Son muy bonitos</t>
  </si>
  <si>
    <t>Tetinas del número 4 No pone que las tetinas son del 4. Más de 6 meses. Hola tenido que comprar tetinas del 3. Por lo demás, come muy bien con ellos.</t>
  </si>
  <si>
    <t>Práctico y compatible con lactancia materna Empecé a darle refuerzo de leche de fórmula a mi hijo usando otros biberones y de pronto él dejó de engancharse al pecho. Al cambiar a este biberón él ha vuelto a engancharse al pecho sin problemas. Además este pack nos permite almacenar biberones. Llevamos más de 1 mes usándolo y están nuevos como el primer día. Creo que al sólo venir una tetina podría ser un poco más barato.</t>
  </si>
  <si>
    <t>son muy practicas hola, para guardar cosas de valor  pequeñas que tengas en casa, añillos, relojes dinero, algun documento, etc. recomiendo su compra por ser muy practica</t>
  </si>
  <si>
    <t>El mejor loctite Para mi es el mejor Loctite dentro de sus pegamentos y formatos, a parte del producto en sí que lo pega todo sin mayor problema, el envase es rápido, limpio y no se seca en el interior como pasa en la gran mayoría de formatos. Lo recomiendo.</t>
  </si>
  <si>
    <t>limpieza fácil y varias botellas Ya conocía este tipo de productos, pero nunca me decidía a comprar  uno hasta que vi éste que traía dos botellas.  Potente, de momento no hya fruta o verdura con la que no haya podido. Encaja perfectamente con un simple click y en unos de 30 segundos tienes un batido de lo que quieras bien cremoso y rico. Fresas con plátano, arándanos y frambuesas con yogur...Cierre totalmente hermético, para mí esto es fundamental. Puedes meter las botellas con total tranquilidad en la bolsa del gimnasio o en una mochila, y llevarlo donde quieras.  Los botes son libres de BPA por lo que no  coge olor ni sabor y no son tóxicos. Muy fácil de limpiar, como pero estaría bien que trajeran unas cuchillas de recambio, pero entiendo que quizá es pedir demasiado por el precio que tiene la máquina.  En cuanto al ruido es más o menos igual que el molinillo del café, pero al ser poco tiempo no resulta molesto. Es perfecto también para hacer una macedonia de fruta cremosa para los más peques de la casa.  Yo estoy muy satisfecha con la compra. LLegó a casa en un día y desde entonces he dado salida a toda la fruts de la nevera.</t>
  </si>
  <si>
    <t>La comodidad Todo perfecto son super cómodas y ligueras me tiro 8 horas haciendo picking y parece que lleve unas zapatillas de deporte muy recomendables</t>
  </si>
  <si>
    <t>Lo mejor para el cólico, buen precio Los biberones nos ayudaron muchísimo con los cólicos. ésta versión es mucho mejor que la más nueva "options", no pierde líquido. Ojalá hubiera comprado el kit de 5 desde el principio, me hubiera ahorrado levantarme por la noche a lavar algún biberón.</t>
  </si>
  <si>
    <t>Carmen Simplemente geniales y comodísimas. Versátiles. Caminas muy cómodo.  Talla siempre algo más de lo esperado pero no me las quito en todo el verano</t>
  </si>
  <si>
    <t>Julian Son unas mallas fantásticas, con una excelente relacion calidad y precio. Las utilizo para correr y el gimnasio, son muy flexibles y el ancho elastico evita que se escurran hacia abajo.</t>
  </si>
  <si>
    <t>Botas perfectas. Tallan grande Las botas preciosas y a un precio inmejorable. Las recomiendo 100%. Estas botas son un cambio de talla, antes había comprado un 39 que es mi número habitual y me iban muy grandes. por lo que puedo afirmar que estas botas tallan grande.</t>
  </si>
  <si>
    <t>Perfectos Lo que esperábamos.</t>
  </si>
  <si>
    <t>Encantado con esta compra Dada mi afición a tomar infusiones mientras estoy trabajando, tenía ganas de hacerme con una kettle al estilo de las que sueles encontrar en las habitaciones de los hoteles cuando viajas al extranjero. Dada mi confianza en la marca Aicok, pedí este modelo que además de buenos comentarios de compradores, estaba con un precio muy atractivo y un buen descuento.  Una vez probada unos cuantos días, no puedo decir más que cosas buenas de esta Kettle con control de temperatura. Tiene una potencia bestial de 2.200W, bastante mayor que las de otras que he visto de marcas más conocidas en centros comerciales.  Lo primero que llama la atención es su aspecto sólido y de calidad, se ve que estamos ante un artículo bueno, en el que se ha cuidado la calidad. Es de acero inoxidable, y pesa en la mano, no es ni mucho menos un producto endeble. De hecho, está fabricado en&amp;nbsp;una moderna capa interior y exterior de acero inoxidable 304 cepillada. Fácil de servir con un mango cómodo plástico y mecanismo de palanca anti-derrame.  Gracias a su doble pared de vacío aislada con tapa a prueba se puede usar también a modo de termo, ya que mantiene el agua caliente por encima de 60℃ durante 6 horas sin gastar nada de energía eléctrica. Tiene una construcción de doble pared, por lo que la capa exterior y las asas de plástico se mantienen fresca al tacto, incluso cuando el agua hierve dentro.  El funcionamiento es muy sencillo. Simplemente se llevan de agua, por encima de la señal de mínimo y por debajo de la de máximo, se cierra la tapa, se presiona el botón de ON y en 2 minutos tienes hasta 1,7 litros de agua hirviendo.  Con el selector de temperatura puedes calentar el agua a menor temperatura, pudiéndose seleccionar 40, 50, 60, 70, 80, 90 y 100 grados. Por ejemplo, 70°C es lo recomendado para tés delicados, 80°C para té verde e té blanco, 90°C para té corriente o café y 100°C para té negro e infusiones.&amp;nbsp;</t>
  </si>
  <si>
    <t>Como esperado Para IPhone 8 perfectos</t>
  </si>
  <si>
    <t>Calidad precio buena Pesa poco y abriga bastante.</t>
  </si>
  <si>
    <t>Genial Esta genial, justo lo que buscaba, barato y de buena calidad.</t>
  </si>
  <si>
    <t>No se seca Llevo meses con el mismo envase y a diferencia de otras marcas no se seca y limpia muy bien la suciedad de las manos</t>
  </si>
  <si>
    <t>Zapatillas muy cálidas. Se tratan de unas zapatillas tipo botines para ir por casa ideales para los meses de frío. Disponen de un recubrimiento interior que las hacen muy cálidas e impiden que traspase el frío. En mi caso, se me adaptan perfectamente a los pies y son muy cómodas de utilizar. Hasta la fecha estoy muy satisfecho con ellas y no pasó nada de frío.</t>
  </si>
  <si>
    <t>su poco peso. El producto es lo que esperaba, muy satisfecho.</t>
  </si>
  <si>
    <t>Me ha resultado inútil No sé si es que estoy haciendo algo mal o qué, pero no le saco ningún provecho.  Me considero un usuario bastante avanzado de la tecnología, y no he conseguido que suene bien ni en un Galaxy S6 con distintas apps ni en un PC de especificaciones top con distintos programas incluyendo Amplitube. El retardo es insufrible.  Aunque no es mucho, he desperdiciado mi dinero. No os equivoquéis, comprad una interfaz con salida digital.</t>
  </si>
  <si>
    <t>Producto normalito La calidad es justa, son acolchadas por dentro y calientan algo, de tamaño un poco anchas. El envío un desastre, tardaron dos días más de lo establecido</t>
  </si>
  <si>
    <t>disco duro ruidoso Es un disco USB 3.0, pero la velocidad máxima de lectura a la que llega es de unos 90 mb/seg y 70 en escritura.  cuando lo desenchufas ( aun habiendolo quitado con seguridad) se oye como se apaga de golpe el disco, da la sensación de que es algo brusco.  de momento no me ha dado ningún problema.  Lo recomendaría para todo aquel que quiera tener un disco duro a un buen precio, pero teniendo en cuenta que no se van a conseguir grandes velocidades de transferencia.</t>
  </si>
  <si>
    <t>Defectuosos Son enormes, encima me vinieron defectuosos y tuve que devolverlos, porque encima no te los descambiaban por otros....  Una marca muy chapucera</t>
  </si>
  <si>
    <t>Decepcionante Me esperaba otra cosa. Cogen mucha porquería y el relleno, se aplasta fácilmente y ya no se recupera. Me han durado muy poco y al final, he comprado otras distintas</t>
  </si>
  <si>
    <t>Incompleto Muy bonito pero no lo he podido probar. Venía sin cable y no lo he podido cargar. Lo he devuelto a pesar de que me gustaba mucho. Una pena. Deberían comprobar que los pedidos vengan completos.</t>
  </si>
  <si>
    <t>Buena relacion calidad precio Es necesario coger una talla mas de la talla habitual. (Cogi mi talla habitual y tuve que devolverla porque me quedaba pequeña) Adecuada relacion calidad-precio</t>
  </si>
  <si>
    <t>Coger un número más Aunque luego con el tiempo seguro que se adaptan a tu pie, creo que es aconsejable coger un número más</t>
  </si>
  <si>
    <t>Buena elección Lo escogí después de leer las opiniones y no me ha decepcionado en absoluto. Tiene todo lo que deseaba,  tamaño grande, bonito, ligero, la hora se ve bien, tiene alarmas y es de buen programar. Para poner un pero, que ya sabía por otro parecido que tuve, la luz no sirve para nada y la alarma suena poco. Llegó según lo previsto, como siempre Amazon muy bien.</t>
  </si>
  <si>
    <t>Bastante bueno  y barato Lo único malo sería que la parte exterior de la zapatilla viene con algunas arrugas blancas pero obviamente solo se notan cuando te acercas.</t>
  </si>
  <si>
    <t>Bonito, ligero y resistente Sé que hay muchos discos duros externos con mucha más capacidad pero yo quería uno pequeño y ligero así que este cumple perfectamente su función. Eso sí el cable que tiene no es universal, o sea que sólo funciona con el que trae.</t>
  </si>
  <si>
    <t>👍🏼 Esta muy bien</t>
  </si>
  <si>
    <t>Perfecto Me ha encantado</t>
  </si>
  <si>
    <t>Genial Lo compre un poco pequeño aun asi es lo q necesitaba</t>
  </si>
  <si>
    <t>Maravilloso Ha superado mis expectativas.</t>
  </si>
  <si>
    <t>Buen producto Cumple su objetivo y calidad aceptable</t>
  </si>
  <si>
    <t>Sólida, funcional y excelentes acabados Versátil, potente y funcional. Puede con todo. Sólo hay que respetar los máximos que te indican en las instrucciones. Gran capacidad, potencia y ratio de giro. La consistencia final es lo más homogénea que se pueda concebir y tritura tan fino, que en el caso de batidos con semillas, ni un colador fino puede recoger el poso resultante, siendo necesaria una estameña o un chino de tela.  Se limpia en un periquete y no podría ser más sencillo usarla.  Como todas, algo ruidosa.</t>
  </si>
  <si>
    <t>Genial Súper ligeras!!!y cómodas!!!</t>
  </si>
  <si>
    <t>Que no defrauda Magnifica compra¡¡¡. Se limpia de maravilla, aspira a plena potencia y la duración de la batería es mas que suficiente para un piso de mas de 100 metros. Ligera, versátil, manejable, silenciosa. La recomiendo, compre una mas barata y fue un chasco. La tengo desde hace mas de seis meses, creo que mi opinión tiene algún fundamento.</t>
  </si>
  <si>
    <t>Excelente!! Tengo una réflex antigua y quería una tarjeta del mayor tamaño posible... Justo este modelo cumple con mis preferencias, es rápida en lectura y escritura, una gran capacidad, viene cada una con su estuche protector y, encima, el precio es imbatible.</t>
  </si>
  <si>
    <t>Practico,pequeño y comodo Bolso super como pequeño confortable y con la medida justa para todo, ideal para viaje y con varios compartimientos super apropiados para meter todo tipo de cosas.</t>
  </si>
  <si>
    <t>Perfecto &lt;div id="video-block-RGGNL7RJ7BJCU" class="a-section a-spacing-small a-spacing-top-mini video-block"&gt;&lt;div tabindex="0" class="airy airy-svg vmin-unsupported airy-skin-beacon" style="background-color: rgb(0, 0, 0); position: relative; width: 100%; height: 100%; font-size: 0px; overflow: hidden; outline: none;"&gt;&lt;div class="airy-renderer-container" style="position: relative; height: 100%; width: 100%;"&gt;&lt;video id="7" preload="auto" src="https://images-eu.ssl-images-amazon.com/images/I/A1wgdSQaTxS.mp4" style="position: absolute; left: 0px; top: 0px; overflow: hidden; height: 1px; width: 1px;"&gt;&lt;/video&gt;&lt;/div&gt;&lt;div id="airy-slate-preload" style="background-color: rgb(0, 0, 0); background-image: url(&amp;quot;https://images-eu.ssl-images-amazon.com/images/I/91YqCFkn43S.png&amp;quot;);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center;"&gt;0:00&lt;/div&gt;&lt;div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value="https://images-eu.ssl-images-amazon.com/images/I/A1wgdSQaTxS.mp4" class="video-url"&gt;&lt;input type="hidden" name="" value="https://images-eu.ssl-images-amazon.com/images/I/91YqCFkn43S.png" class="video-slate-img-url"&gt;&amp;nbsp;Llego exactamente el dia previsto y la pulsera es una pasada,estoy encantada con ella,superomis espectativas gratamente.</t>
  </si>
  <si>
    <t>Cómodos Me han resultado muy cómodos estos auriculares, no esperaba mucho por el precio pero me gustó el diseño y los pedí.  Los he usado durante unas 4 horas y no me han molestado al tenerlos puestos, esto con otro tipo de almohadillas hubiese sido imposible pero con estos los he notado muy cómodos.  La conectividad es buena y el sonido es decente, nada del otro mundo, pero aceptable. La batería dura lo suficiente como para escuchar un día entero de forma intermitente.</t>
  </si>
  <si>
    <t>Duran bastante Huelen fenomenal, hay que echar varias gotas si te gusta el olor un poco más intenso. Yo lo he usado con un humidificador y el olor dura varias horas, incluso si lo apagas y lo enciendes al día siguiente sigue oliendo.</t>
  </si>
  <si>
    <t>Recbot Amplificador de Voz portátil Diadema Es justo lo que esperaba y cumple perfectamente la función de ayuda a que se oiga a las personas que lo utilizan. El vendedor cumplió con el tiempo de entrega y en perfecto estado.</t>
  </si>
  <si>
    <t>BUEN PRODUCTO TODO OK</t>
  </si>
  <si>
    <t>Auriculares buenos Encantado con el producto, el envío ha sido correcto y los auriculares son cómodos y tienen un sonido bastante aceptable</t>
  </si>
  <si>
    <t>perfecto para ipad Puedes ver las películas o documentos directamente desde la memoria, únicamente hay que descargarse un programa gratuito. Las instrucciones vienen dentro del mismo pen en varios idiomas. Totalmente recomendable.</t>
  </si>
  <si>
    <t>Muy buen pendrive Es un muy buen pendrive a un precio económico, la marca es muy conocida. Además a mi me gusta que se pueda dejar el capuchón en la parte de atrás del pendrive mientras lo estás usando.</t>
  </si>
  <si>
    <t>Muy bien Buena calidad</t>
  </si>
  <si>
    <t>estrechos El zapato en sí, está bien. El problema para mí, es que, al tener el empeine ancho, la horma es muy estrecha y lo tuve que devolver.</t>
  </si>
  <si>
    <t>No salen las Islas Canarias EL producto está bien en si, calidad precio, pero no se adhiere muy bien a la mesa, mas bien es un cubremesa que una alfombrilla para pc, igualmente funciona, por 9 euros no está mal.</t>
  </si>
  <si>
    <t>Demasiado pequeño Bonito pero muy pequeño</t>
  </si>
  <si>
    <t>Ni pega ni sujeta ni nada Lo compré para pegar una tira led detrás del monitor del pc. Creo que con un par de mocos se sujetaría mejor. Hace exactamente lo mismo que una tira de papel, no hace falta que sea extrafuerte, con que hubiera sido adhesivo me hubiera conformado.</t>
  </si>
  <si>
    <t>Una lastima... al final devuelto por demasiados fallos...😓 Correcion: al final, la he devuelto... pensaba que con las actualizaciones se habia arreglado todo, pero sigue yendo a lo loco a veces... demasiadas... y de repente se para sin motivo aparente (y no por falta de bateria) una pena.... pero al final he devuelto y mirare otras opciones de similar precio, que las hay muy buenas, pero era por darle oportunidad a un producto español..... una pena....  La verdad, sorprendidos por su funcionamiento.... conexión al wifi sin problemas (tiene q ser una red de 2,4 ghz) y control total desde el movil (aunque trae un mando para los nostálgicos jeje) la primera vez, quitar todo lo que no tenga que estar por medio (una bolsa, una caja, una silla,... ) de manera habitual y dejar que el robot haga un mapeo completo se la casa (recomiendo ponerlo en modo eco, aguanta más la bateria y la mayoria de las veces en una sola pasada te mapea toda la casa) en mi caso, una casa de unos 74 m2, ha tardado 50 minutos en mapear sobre 39 m2 (quitando muebles, armarios, electrodomesticos,...) una vez hecho el mapa, lo guarda en memoria y a partir se ahi, a usar los diferentes modos..... cada pasada te guarda un registro y te dice lo que ha pasado y no sobre el mapa base (si en ese momento habia una puerta cerrada, un objeto en medio,...) lo hace todo de manera ordenada, sin pasar dos veces por el mismo sitio (salvo que le pongas una de las opciones x2 que tiene), sin chocarse contra los muebles (la roomba que teniamos se daba golpes con todo)...... y luego ya, ir mirando las diferentes opciones que tiene unas cuantas, la verdad..... de momento encantados..... para mi, una de la más completas del mercado... si es verdad que no hemos probado lo del fregado, más que nada porque tienes que andar recogiendo las alfombras (porque si no pasa por encima y las deja mojadas).... pero lo demás, va a lo que va y no se queda dando vueltas en un sitio como hacia la roomba......</t>
  </si>
  <si>
    <t>Muy útil Es muy practica, viene con su maletin y se monta en segundos! Sin duda, una buena mesa para alguien que esta empezando.</t>
  </si>
  <si>
    <t>Buen producto Van genial. Por poberle slguna oega deberian tener algun respiro pars que cuando sndo el bebe succiona no se retraiga la tetina. Con mi bebe teníamos k estar sacandole el bibe de la boca cada poco por q se emcogia la tetina al quedarse el bibe sin aire. Por lo demas estupendos.</t>
  </si>
  <si>
    <t>Suenan bien y no se mueven nada. Muy buen sonido, rápida reacción a la interacción con los botones. NO se mueven nada, ni al saltar, estar de lado ni nada. Eso sí, los aritos que sujetan son un poco duros y molestan un poco al principio. Por lo demás muy satisfecha con el producto.</t>
  </si>
  <si>
    <t>Muy práctico Como esperaba, tiene multitud de bolsillos para guardar de todo. Su tamaño permite guardar las cosas básicas que suelen llevar los hombres hoy en día (cartera, móvil, llaves de casa y coche, pañuelos, ...) cómodamente.</t>
  </si>
  <si>
    <t>Regalo perfecto para cualquier ARMY La calidad y precio del producto están muy bien, la tela y calidad del estampado son correctas y las tallas se adecuan muy bien. Recibí el envío antes de lo que se esperaba.</t>
  </si>
  <si>
    <t>Precioso Me encanta</t>
  </si>
  <si>
    <t>Varios modo y buena sensación de prueba He usado con mi mujer y estamos muy contento con esta máquina te deja los pies muy a gusto tiene varios modo de masaje no pesa mucho puedes llevar cualquier sitio.</t>
  </si>
  <si>
    <t>Adidas falcon Quedan perfectas</t>
  </si>
  <si>
    <t>buena compra Necesitaba una batidora y esta estaba de oferta express. Buen precio, tiene muchas velocidades de potencia y parece más que de sobra la potencia... Un par de toques al turbo en velocidad 12 te dejan la cebolla casi líquida. Importante dice no lavar al lavavajillas las piezas que hacen de acople de los utensilios con la batidora.</t>
  </si>
  <si>
    <t>Muy comodas Como todas las Merrell, muy comodas. Pesan poco y la suela es bastante elastica. En cuanto al numero, como esperaba.</t>
  </si>
  <si>
    <t>Buena calidad Compre una talla menos por los comentarios y resulta que en mi caso necesitaba la talla normal.</t>
  </si>
  <si>
    <t>Perfecto La talla es la correcta , son muy cómodos ,todo el día andando con ellas y genial , el producto esta bien.</t>
  </si>
  <si>
    <t>Buen sonido, nitido y claro. Sonido bastante bueno,comodos una vez q te acostumbrad, de los mejores en relación calidad precio.</t>
  </si>
  <si>
    <t>Buen producto Buena calidad. Pega perfectamente.</t>
  </si>
  <si>
    <t>Cómodas y bonitas Me encantan, y quedan muy bien hasta para ir a la oficina con una americana. En mi trabajo se lo han comprado ya dos personas.</t>
  </si>
  <si>
    <t>Excelente articulo! A mis niñas les ha encantado, pasamos muy buenos ratos haciendo de karaoke! Es muy sencillo y merece la pena para las peques, lo cogí de oferta y eso también ayuda!</t>
  </si>
  <si>
    <t>El tamaño, su poco peso y el diseño...me gusta. No he tenido tiempo suficiente para probar y poder contestar ciertas preguntas, como la precisión o la resistencia al agua. En general me ha sorprendido gratamente, relación calidad precio perfecta. Lo volvería a comprar.</t>
  </si>
  <si>
    <t>Mejor de lo que esperaba Buscaba un USB pequeño, muy rápido y de al menos, 32GB. Finalmente compré este de 64GB. Tras comparar con otros similares, compré este al ver en los comentarios la velocidad real de escritura y lectura. Tras una primera prueba, solo puedo confirmar lo rápido que es. El mejor en relación calidad-precio. Por sacarle un pero, pediría que fuera todo metal, incluyendo la anilla para poder llevarlo portable... pero por el precio que tiene, tampoco se le puede pedir más.  Totalmente recomendado. Actualizaré solo en caso de que me falle en el tiempo.</t>
  </si>
  <si>
    <t>Gracias Bonito producto...la señora muy contenta..calidad muy buena</t>
  </si>
  <si>
    <t>Me encantan Perfectas! Y muy bonitas</t>
  </si>
  <si>
    <t>Inmejorable recomiendo</t>
  </si>
  <si>
    <t>Satisfecho Todo perfecto</t>
  </si>
  <si>
    <t>la calidad del tejido regular- por el precio que vale no se puede pedir mas la calidad del tejido regular- por el precio que vale no se puede pedir mas</t>
  </si>
  <si>
    <t>Esperaba más... El material de este pantalón es correcto, aunque he de decir que es fino. Es parecido a unas mallas aunque no llega a tener tanta elasticidad como estas. Las tallas son grandes así que como consejo, compren una talla inferior a la que uséis.</t>
  </si>
  <si>
    <t>Pequeña decepción. Es más bonito en las fotos,en la realidad no luce tanto,aunque funciona bien y el precio no está mal. Esperaba algo más.</t>
  </si>
  <si>
    <t>pésima calidad No lo compreis, es de pésima calidad. No pega bien en la superficie deseada, no hay manera de limpiarla bien, ni con alcohol... es un auténtico fraude, una pérdida de dinero.</t>
  </si>
  <si>
    <t>Mala calidad Muy mala calidad. En una unica puesta se lleno de pelotillas. No lo compreis. Amazon, como siempre acepto la devolución sin problemas.</t>
  </si>
  <si>
    <t>Funcionamiento correcto De momento funciona correctamente, no lo he usado mucho, pero la guía del papel no ofrece mucha seguridad. También echo de menos una marca de centrado.</t>
  </si>
  <si>
    <t>Virgi Bonitos y elegantes tal y como en la foto</t>
  </si>
  <si>
    <t>Bonito Muy bonito, la única pega es que me gustaría que estuviera fijo en la cadena, el corazón se da vueltas y luego cuesta volver a centrarlo.</t>
  </si>
  <si>
    <t>Una escusa para parar un poco La utilizo para la espalda y cuello, cuando llegó del trabajo. Son unos minutos de relax,se aguanta bastante bien.</t>
  </si>
  <si>
    <t>Calidad precio para un uso moderado En mi caso tengo dos archivadores de este estilo (aunque de diferentes colores) y en mi caso estoy contento. En mi caso no les doy un uso muy frecuentes por lo que hasta ahora el mecanismo de palanca me ha funcionado genial, al igual que el sistema de retención para evitar que se muevan las hojas.  Por otro lado los materiales están bien, parece solido y con el uso que le doy, en mi caso espero que sea duradero. En comparación con otros archivadores, a mi me resulta grande así que no lo usaría para llevarlo en una mochila. Ademas tiene un par de detalles que me ha gustado y que no esperaba: el canto de abajo esta parcialmente cubierto de una tira metalica, supongo que para evitar el desgaste al colocarlo en vertical. Y por otro lado, la etiqueta que tiene en el lomo y que puedes personalizar para saber qué hay en él.  Bajo mi punto de vista y hasta la fecha, yo lo recomiendo.</t>
  </si>
  <si>
    <t>Felix terra Un reloj de prestaciones básicas pero que satisface plenamente mis necesidades. Lo he probado en piscina y mar una decena de veces y me funciona perfectamente. Muy visible y fácil de poner en marcha. Buena relación calidad y precio.</t>
  </si>
  <si>
    <t>Color original &lt;div id="video-block-R1AWFYVYHBU9W2" class="a-section a-spacing-small a-spacing-top-mini video-block"&gt;&lt;div tabindex="0" class="airy airy-svg vmin-unsupported airy-skin-beacon" style="background-color: rgb(0, 0, 0); position: relative; width: 100%; height: 100%; font-size: 0px; overflow: hidden; outline: none;"&gt;&lt;div class="airy-renderer-container" style="position: relative; height: 100%; width: 100%;"&gt;&lt;video id="7" preload="auto" src="https://images-eu.ssl-images-amazon.com/images/I/91KG93MV2JS.mp4" style="position: absolute; left: 0px; top: 0px; overflow: hidden; height: 1px; width: 1px;"&gt;&lt;/video&gt;&lt;/div&gt;&lt;div id="airy-slate-preload" style="background-color: rgb(0, 0, 0); background-image: url(&amp;quot;https://images-eu.ssl-images-amazon.com/images/I/910XaLS4SAS.png&amp;quot;);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center;"&gt;0:00&lt;/div&gt;&lt;div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value="https://images-eu.ssl-images-amazon.com/images/I/91KG93MV2JS.mp4" class="video-url"&gt;&lt;input type="hidden" name="" value="https://images-eu.ssl-images-amazon.com/images/I/910XaLS4SAS.png" class="video-slate-img-url"&gt;&amp;nbsp;Me encanta el color de esta pulsera, sus funciones son muy similares a otras pero me parece mas precisa a la hora de tocar el botón táctil, a través de la App del móvil puedes configurar todas las funciones del reloj y llevar un seguimiento detallado de tus actividades, no pesa nada así que no molesta llevarla.</t>
  </si>
  <si>
    <t>Comodisimos Me ha gustado todo, lo uso para trabajar, estoy casi todo el día de pie, cuidando de una persona mayor y tengo que hacer mucho esfuerzo.</t>
  </si>
  <si>
    <t>Set de 6 aceites esenciales de aromaterapia a buen precio como para difusor de calor o ultrasonido Este es un buen set de 6 aceites esenciales de aromaterapia de 10ml cada uno a un buen precio. Yo los utilizo para todos los difusores de casa: entre ellos, difusores de calor y de ultrasonido, y en ambos tipos funciona igual de bien. Vienen 6 aromas muy adecuados para estas fechas invernales y la verdad que tienen una intensidad muy buena, lo suficiente para llenar de olor mi apartamento de unos 80m2.  Sin embargo, lo que me convenció respecto de este set de aceites es que son 100% naturales, sin químicos, "adecuado[s] para vegetarianos y veganos". Ahora, yo no soy ni vegetariano ni vegano pero tengo un amigo nutricionista que me comentó que los aceites que yo compraba en el bazar de productos chinos de barrio están llenos de sustancias estrogénicas que, al parecer, al difuminarse en el ambiente, uno los incorpora y, en la mujer, esto contribuye a tener más apetito y retener líquidos e hincharse y, en el hombre, causa cansancio y pérdida de fuerza física. Desde que me dijo que —además de ciertos alimentos— casi todas las cosas que usamos en casa tienen esto: los jabones, los champús, las velas aromáticas y, sobre todo, los aceites aromáticos que no sean naturales, intento limitar el uso de estas cosas en lo posible. Sin embargo,  a veces es todo un presupuesto comprar aceites aromáticos con buenos olores y, lo que es peor, hay un aceite de naranja en los bazares de productos chinos que es muy rico! Pues bien, con alegría compruebo que este set cumple con estas dos necesidades.  Primero, me llamó la atención el aroma de Naranja Dulce. Y la verdad es que me ha gustado mucho. En general, me llamó la atención que todos los aromas incluidos son de tipo navideños, cosa que siempre busco alrededor de estas fechas. El de Menta y Eucalipto está muy buenos! Los estamos mezclando y la verdad que la casa está oliendo muy de fiestas estas fechas! El único aroma que nunca me gusta mucho es el de Limoncillo —que yo soy fanático de los cítricos y, sobre todo del limón, y el limoncillo siempre me ha parecido un limón chapucero! (Imagínense la amargura cuando como comida tailandesa, donde le ponen limoncillo hasta en la sopa... literalmente!) Pero debo decir que, a pesar de ello, el olor de este limoncillo no me molesta. Me han sorprendido los olores del Árbol de Té, pues nunca le he dado mucha bola y, sin embargo, está bastante agradable; y el de Lavanda, que suele olerme a líquido para limpiar y, sin embargo, este no huele así. De modo que quedo satisfecho con los olores que tiene este set. Muy navideños, como digo: mezclando los 6 juntos se logra un olor muy interesante.  Luego, el hecho de que cueste 15€ es excelente. Hay algunos que suben hasta precios ya irrisorios, y a menudo incluso por un aceite uno puede pagar eso! (Hay uno de naranja de una marca extranjera que aparentemente ya no está haciéndolo tampoco, que yo me hacía traer cuando alguien viajaba, y que me salía unos 30€ por 15ml; ese me duraba 6 meses usándolo con mucha moderación pero, igual, el precio es muy alto.) Pues bien, en casi de este set cada frasco de 10ml cuesta 2,5€, que es más o menos lo que pago yo por un frasco de 50ml en los bazares de productos chinos, solo que ese se tienen que poner más gotas para que huela fuerte y el olor suele irse pronto, mientras que con los de este set una o dos gotas en el difusor llena de olor la habitación entera y dura lo que uno espera que duren buenos aceites.  De modo que ha sido una muy buena inversión de 15€. Uno suele pensar que está gastando más por menos cantidad pero, al final, como con estos aceites super concentrados uno solo necesita usar una o dos gotas, si hace el cálculo, le termina saliendo a cuenta, pues a menudo duran incluso más que los más baratos. Y, lo que es mejor, uno no está respirando cualquier químico que puede estarle haciendo daño a su sistema.</t>
  </si>
  <si>
    <t>Bien Muy bien</t>
  </si>
  <si>
    <t>Buenas bambas Me quedan perfectas y son comodisimas,la única pega los cordones demasiado finos ,pero bien</t>
  </si>
  <si>
    <t>Perfecto Va muy bien y el tamano es perfecto. Es importante leer bien las instrucciones, ya q para poner la hora digital, no es facil y sino accedes a ella correctamente, parece q no funciona correctamente.</t>
  </si>
  <si>
    <t>Buena compra Producto de muy buena calidad. Está bien el sistema de apagado a las 3 horas para evitar consumo innecesario por olvido pero si se desea dejarlo encendido más tiempo estás obligado a desenchufar y volver a enchufar la manta. Lo mejor, el sistema dúo en el que cada uno regula la intensidad o sólo uno puede usarla.</t>
  </si>
  <si>
    <t>Perfectas Me encantan</t>
  </si>
  <si>
    <t>Perfecto Va mui bien</t>
  </si>
  <si>
    <t>Comodo 100% Llego super rápido, es muy cómodo y útil de usar tanto para escuchar música como para atender el teléfono mientras estás trabajando. Recomendable</t>
  </si>
  <si>
    <t>buen material es un producto muy bueno, para su precio está muy bien y quedan muy bonitas, la verdad que han tenido éxito y me las han pedido para saber dónde obtenerlas.</t>
  </si>
  <si>
    <t>Tal y como se ven!! Rapidez y calidad. Son lo q se ve. Número perfecto. Entrega ipsofacta. Cálida a buen precio. Genial! Muy muy bien!! Resistes al agua.</t>
  </si>
  <si>
    <t>Muy bueno Ya era hora de encontrar unos auriculares buenos y a buen precio que no me dierra problema la conexion, tanto con el PC como con el alagador, que siempre tenia que estar metiendolo un poc o sacandolo, me quedaba sin sonido o olo se ecuchaba uno. con estos hasta ahoa sin ningun problema, acierto con la compra</t>
  </si>
  <si>
    <t>Bien Son lo que se muestra en el anuncio, perfecto para recoger cables y dejarlos enrollados</t>
  </si>
  <si>
    <t>me gusta cantar con mi agmigos Tengo que cantar en casa con mis amigos el fin de semana, lo compré, es muy divertido, Bluetooth se puede conectar, es muy facil. Este precio es muy rentable.</t>
  </si>
  <si>
    <t>Bolso bonito y con muchos apartados Bolso bonito y con muchos apartados, tacto suave y elegante.Tamaño medio. De momento solo hace un mes que lo tengo veremos lo que dura aunque parace fuerte</t>
  </si>
  <si>
    <t>Me encanta el material Es de muy buena calidad, y muy limpio por el material que tiene, muy completa la verdad... Y el precio me parece barata para todo lo que tiene... La recomiendo sin dudarlo</t>
  </si>
  <si>
    <t>Empieza escrbiendo a 70 MB/s y se atasca quedando a 13 MG/s o menos Empieza bien escribiendo a unos 70 MB/s con un archivo grande, pero pronto baja de velocidad a unos 13 MB/s de mínima, oscilando entre 30 y 13. Esto lo he comprobado varias veces con discos de lectura distintos. Cuando lleva un tiempo escribiendo, se embarulla, cosa que no hacen otros pendrives. Además se calienta cuando trabaja y esto no es bueno Al final he terminado devolviendo los dos que compré de 128.</t>
  </si>
  <si>
    <t>Necesitan súper glu Son muy cómodas y quedan chulas pero se despegan rápidamente. No duran nada</t>
  </si>
  <si>
    <t>Mejorables Son muy cómodas pero resbalan mucho con el suelo mojado y las partes que son de tela se destrozan muy rapido</t>
  </si>
  <si>
    <t>Chatarra Ni me los he puesto de lo feos que son</t>
  </si>
  <si>
    <t>No vale para nada El día que lo recibí la expectativa de durabilidad era buena. El material no se ve malo, los compartimentos son correctos para un HD de 2.5" pero cuando intentas meter dos, la cosa ya cambia, va muy justo, así que la solución es meter uno por mucho espacio libre que quede. La funda es semirígida, está bien acolchada, pero la cremallera es lamentable. Quizá para guardar un HD de por vida sin abrir la funda es una opción muy buena pero en mi caso, en menos de una semana de uso, la cremallera se rompió y ahora tengo que llevar la funda cerrada con un par de gomas. No recomiendo este producto. Por poco más, hay otros mejores.</t>
  </si>
  <si>
    <t>Para invierno la mejor opcion.. Muy chulos</t>
  </si>
  <si>
    <t>Muy buena calidad/precio Es genial, se oye bien por el precio y son muy cómodos. Lo unico que no me gusta es que carga lento. Pero lo demás está genial.</t>
  </si>
  <si>
    <t>justo lo que esperas Al comprar zapatillas deportivas corres el riesgo de que tu talla no sea la misma que en otro producto parecido de otra marca. CONSEJO, probaos siempre unas zapatillas de esa marca que vais a pedir (si podeis) para estar seguros del tamaño, un familiar, un amigo e incluso la tienda de la esquina, que os los probeis no os obliga a comprar.</t>
  </si>
  <si>
    <t>Calienta rápido y gran capacidad, fácil de lavar. Me gustó el modelo, que tiene gran capacidad y que la jarra sea cristal. Calienta rápido y tiene para casi 2 litros. Tiene un peso normal para el tipo de producto que es. Siendo cristal suelen pesar más. Me gusta la integración de la base conectora también, queda muy uniforme. Es fácil de limpiar pero si es cierto que los hervidores de agua siempre retienen la cal del agua y es un poco tedioso. Pero en general buena adquisición.</t>
  </si>
  <si>
    <t>Vale lo que cuesta Muy buen micrófono para el precio que tiene, evidentemente no es profesional, para eso hay que gastarse mas pasta, pero se consigue unos resultados muy buenos. Yo lo quería para grabar unas demos vocales y alguna guitarra acústica y cumple de sobra, además su sistema de USB facilita mucho la conexión directa al pc. La presentación es genial, viene con un maletín donde viene todo guardado  y se hace muy cómodo llevarlo de un lado a otro o simplemente guardarlo cuando no se usa.</t>
  </si>
  <si>
    <t>Ok Queda perfecto</t>
  </si>
  <si>
    <t>Te hace sudar aunque estés sentado viendo la tele!!! Llevo poco más de una semana utilizándolo y es pronto para ver resultados pero sí que noto qué te hace sudar como jamás me ha hecho nunca antes ningún leggings.. al principio empezó a ponérmelo para ir al gimnasio.. y terminé por ponerme la pasta hasta por casa porque es cómoda y te hace sudar.. espero que con ayuda de una dieta gimnasio y estos leggins pueda perder el Michelín jaja.. lo que si os digo que hace sudar aunque estés sentado viendo la tele es genial!!!</t>
  </si>
  <si>
    <t>Muy buena calidad Excelente opcion para los que tocamos instrumentos eléctricos como guitarra o bajo. El cable viene revestido en tela lo que le da una protección extra que evita roturas al pisarlo en el escenario, los jack de 6,3mm son de muy buena calidad, son de metal duro y resistente. El cable lo uso con varias guitarras y en ningún momento tiene ruido parasito. Recomendable</t>
  </si>
  <si>
    <t>😍😍 Súper encantada me encanta 😍😍😍</t>
  </si>
  <si>
    <t>Me encanta Preciosa y tal cual se ve en la foto. Tiene su tapa dura. Compré primero una y luego volví a pedir otra para regalarsela a una amiga</t>
  </si>
  <si>
    <t>Lo bien que esta de precio y la Potencia que tiene La batidora viene bien empaquetada trae un basó medidor una varilla para batir con su adaptador, una cuchilla para picar y el basó para picar. Todo es perfectamente desmontable y muy fácil de limpiar la única pega es que tenía orar batidora Bosc y no es nada compatible con esta.</t>
  </si>
  <si>
    <t>Justo lo que esperaba Están muy muy muy bien ! Las aconsejo!! Tienen bastante succión</t>
  </si>
  <si>
    <t>Perfecto. Buena, calidad precio, en un mes, ni adelantos ni atrasos.</t>
  </si>
  <si>
    <t>A los peques les encanta y es genial para las fiestas. Muy divertido</t>
  </si>
  <si>
    <t>Buena calidad y muy cómodas Unas zapatillas versátiles además de muy cómodas y calentitas para el invierno. La talla es la que se espera. El borreguito se quita y pone fácilmente para poderlo lavar.</t>
  </si>
  <si>
    <t>Encantada Fueron para regalar. Buenísima compra</t>
  </si>
  <si>
    <t>Olor intenso a Lavanda Hace poco me compré un difusor de aromas e iba detrás de un aceite esencial de Lavanda, que es uno de mis aromas favoritos. Me decidí por este por el precio y el tamaño. Y ha sido una grata sorpresa, porque huele increíble. Lavanda puro. De hecho, en los ingredientes solo pone Lavanda y aceite 100% natural. Y me lo creo. Gracias.</t>
  </si>
  <si>
    <t>Normal Producto que se ajusta a su cometido</t>
  </si>
  <si>
    <t>Soporte muy apto para gaming Estupendo, es el primero que tengo y la verdad es que me parece súper cómodo y largo se me adapta perfectamente para usarlo cuando grabo las partidas online o cuando estoy jugando. En general muy cómodo, muy versátil y económico. Cosas a destacar: De fácil montaje, de amplia movilida.</t>
  </si>
  <si>
    <t>BBB Muy buen acabado y calidad</t>
  </si>
  <si>
    <t>Cómodos. Me encantan, los uso para trabajar, son muy cómodos.</t>
  </si>
  <si>
    <t>Útil Me ha servido a la perfección</t>
  </si>
  <si>
    <t>Buen suéter de entretiempo Talla correcta para mi. Queda muy bien puesto y está todo donde debería. Es de entretiempo y los colores y dibujos son muy chulos.  Volvería a comprarlo en otros colores.</t>
  </si>
  <si>
    <t>Bonita y hace buen café. Reloj analógico que le da un toque increíble Buena cafetera, diseño retro, con mezcla de acabados metálicos, plásticos y cromados, además del metal pintado, que hacen que sea muy atractiva visualmente en cocina.  El sistema de esta cafetera, saca un café bastante bueno y lo mantiene durante 40 minutos, y de todo ello, muestra el proceso en una aguja analógica que va a ser la envídia de quien la vea. Es realmente bonita.  Creo que es el atractivo mayor de la cafetera. La marca, ha incorporado los reloges analógicos en varios de sus productos para medir el tiempo que tardan cada uno en sus funciones, (o grados centígrados, según), y me parece precioso, particularmente a mí y a mi familia. Todo el que lo ve, se flipa un poco.  El resto de la cafetera, pues un buen vaso antigoteo fabricado en cristal de 1.2 litros, con bastante capacidad con mango de toque frío, que se mantiene en la bandeja hasta 35-40 minutos caliente.  Me parece una excelente cafetera si se busca algo que salga de los estándares digitales que tenemos a día de hoy, centrada principalmente en diseño, con la funcionalidad y calidad de los productos de hobbs.</t>
  </si>
  <si>
    <t>Muy decepcionante No sabría explicaros cuanto calor alcanza, pero para mí esto sería el nivel medio de un calientapiés ideal, por lo que siempre tengo que tenerlo al máximo...y solo estamos en octubre!. La funda donde metes los pies y que puedes extraer para lavar no está sujeta con absolutamente nada, por lo que se mueve constantemente, se retuerce y resulta muy incómoda. No estoy nada satisfecha y me arrepiento mucho de no haberla estrenado cuando la compré porque la hubiera devuelto. Aprended de mis errores 😉</t>
  </si>
  <si>
    <t>Bien Bien, me gusta.. Aunque podría ser más ligero</t>
  </si>
  <si>
    <t>Demasiados fallos. Completamente de acuerdo con las quejas de algunos usuarios: estas tarrinas de Verbatim fabricadas en China son de menor calidad y fiabilidad que las fabricadas en Taiwan o Singapur, y suelen contener un mayor número de discos defectuosos que provocan problemas de grabación y lectura.</t>
  </si>
  <si>
    <t>Sumiller Pésima calidad se desintegra sola con sólo tocarla parece de plastilina e tenido que reclamar la devolución. No la recomiendo</t>
  </si>
  <si>
    <t>Porquería. Se estropeó en 1 mes En menos de un mes han dejado de funcionar dos de los interruptores individuales por lo tanto, la utilidad de poder apagar solo algunos conectores no sirve. Es una porquería. No lo compres.</t>
  </si>
  <si>
    <t>🙂 Para los hombres el tamaño es correcto para las mujeres es grande pero.... Por el precio que tiene no puedes pedir mucho</t>
  </si>
  <si>
    <t>buena compra Tal y como le esperaba, estan como se ve en la foto.</t>
  </si>
  <si>
    <t>Barato Me ha gustado el diseño y el material, de aluminio. La base no muy estable pero contenta</t>
  </si>
  <si>
    <t>Son super comoda Son comodisimas</t>
  </si>
  <si>
    <t>Buen producto. Es rápido para ser la versión de 250GB y fácil de instalar con el software de la casa. Pero por un poco más, compra la de 500GB.</t>
  </si>
  <si>
    <t>Buenas, bonitas y baratas filo perfecto, muy comodas de empuñar y manejar.</t>
  </si>
  <si>
    <t>vuelvo a ver. Gracias a estas lentes vuelvo a poder reparar relojes, cuando lo compre pense que de algo serviría pero es mucho más de lo que imagine asi que no tengo que decir si lo recomiendo. CLARO QUE SI.</t>
  </si>
  <si>
    <t>Geniales. Calidad y precio lo mejor. Calcetines súper cómodos. La calidad es buenísima y el precio es muy bueno también. Los uso para entreno y son muy resistentes.</t>
  </si>
  <si>
    <t>Buena Sólo me la he dado una vez pero me queda la piel super limpia y suave. Viene, muy bien envasada y en un formato como en la foto. Aver que tal cuando la lleve un tiempo  usándolo.</t>
  </si>
  <si>
    <t>Piano musical Está muy bien cumple con las espectatibas funciona de maravilla ideal para los niños con bastantes canciones conocidas y divertida</t>
  </si>
  <si>
    <t>Genial. Son superligeros y se adaptan muy bien. Cuando no los llevas quedan plegadis en un espacio muy pequeño. El Bluetooth funciona perfectamente con mi movil android. Lo cargué a tope desde 0 y tardó unas 2 horas.</t>
  </si>
  <si>
    <t>Muy buena compra. Excelente bota para senderismo y excursionismo. Calidad extrema de materiales como la suela Vibram y la membrana de GoreTex. Totalmente recomendable con una relación calidad-precio excepcional.</t>
  </si>
  <si>
    <t>Lo recomiendo altamente. Lo he usado por más de una semana, que es el tamaño perfecto para mí. Cuando no use el humidificador, encenderé las luces para obtener una hermosa puesta de sol. Solo uso agua destilada en el humidificador, lo cual es bueno para mejorar la humedad en la habitación donde se encuentra. El botón funciona bien La cúpula completa de la luz, ya sea de un solo color o de un ciclo de todos los colores, emitirá un ambiente amplio y se verá más bella cuando se humedezca. Lo recomiendo altamente.</t>
  </si>
  <si>
    <t>Cómoda memória Aparte de la rapidez (15 horas) en la entrega, comprobando en otros lugares es casi igual de económico. Funciona a la perfección en mi Xiaomi A1, y se guarda en cualquier sitio. Comodísimo desde luego</t>
  </si>
  <si>
    <t>Rápido y supersilencioso Compré el producto como regalo para unos familiares y fue un acierto total. Es cómodo y fácil de usar. Supersilencioso. Además, como es de acero inoxidable, combina muy bien con el resto de la cocina.</t>
  </si>
  <si>
    <t>Vans u Sk8-hi LAS ZAPATILLAS!!!! con mayúsculas! La talla es la esperada, son las zapatillas perfectas, muy cómodas, ha sido un acierto de compra.</t>
  </si>
  <si>
    <t>Buena cafetera a buen precio La verdad es que el envío fue rapidísimo, la cafetera tiene muy buena calidad, el tanque de agua es muy fácil de llenar y el diseño es precioso (adjunto foto). El café que hace es rápido y tiene muy buena presión de vapor. ¡Estamos encantados! Lo malo que le puedo poner es que hace algo de ruido al principio pero luego está bien. Por el precio  que tiene, es una maravilla, de verdad</t>
  </si>
  <si>
    <t>Buen producto Producto que se ajusta a la descripción dada, fácil de usar, con el almacenamiento indicado en contraposición con otros, que por lo que se ve, son una estafa en cuanto al almacenamiento. En fin, un buen producto con una relación calidad/precio muy bueno.</t>
  </si>
  <si>
    <t>Me encantan!!!! Muy buen producto! Excelente producto relación calidad precio. He seguido la tabla de tallas y me queda como un guante. Son comodisimos y muy bonitos. Ya los he estrenado bailando 4 horas seguidas ajajaja Estoy muy contenta y de hecho me gustaría ver más zapatos del mismo vendedor. Me encantan!!!!</t>
  </si>
  <si>
    <t>MCarmen Las compre para regalar y he quedado.genial, son mas bonitas que en la foto, comodas y originales, yo cogi la talla 45,5 para un pié de talla 44 y le estan estupendamente</t>
  </si>
  <si>
    <t>Nacho Es un producto bastante robusto y aunque pese un poco, es muy bueno para tener a mano las monedas y ordenadas. Las monedas entran y salen perfectamente cada una en su sitio correspondiente. Para dar el cambio rapido a los clientes es muy recomendable y practico.</t>
  </si>
  <si>
    <t>Me hubiese gustado que me dieran la opción de cambiar de talla Muy liviano pero hay que pedir que na talla más de la que eres, y no me gusto que no me dieron la opción de cambiar de talla, solo la devolución</t>
  </si>
  <si>
    <t>Rapidez y el perfecto estado en que llegó Los uso a diario, porque tengo la espalda fatal y te da autonomía de movimientos</t>
  </si>
  <si>
    <t>. Se escucha muy bien, pero le falta algunas cosillas como más filtros.</t>
  </si>
  <si>
    <t>No es estable Parece útil, pero no mantiene la estabilidad con el micrófono rhode que tenemos.</t>
  </si>
  <si>
    <t>EL OLOR ES MEJORABLE OLOR NO ES DEMASIADO AGRADABLE PERO LIMPIA BIEN</t>
  </si>
  <si>
    <t>Hace muchas "bolas" El pantalón está bien, pero el tejido del que está hecho va dejando muchas pelusas por la casa. Igual algún día deja de hacerlo...</t>
  </si>
  <si>
    <t>Muy, muy bonitas Son muuuuy chulas pero he tenido que devolverlas porque me quedaban pequeñas. Cogí una 38 aunque mi talla es 37; me gusta llevar el pie suelto (o con dos pares de calcetines). Mi hija tiene la 38 y debía encoge los dedos para ponérselas. Pero bueno, esta ha sido mi experiencia.</t>
  </si>
  <si>
    <t>Poca potencia de succion y calidad baja Decepcionante la potencia de succión, y más después de leer otros comentarios. El aspirador a primera vista parece que pudiera ir bien, pero una vez lo pones en marcha  falta potencia de succión, calidad de los acabados muy justa y los accesorios lo mismo, una "imitación" de Dyson. Dependerá del precio, que la compra sea más o menos agradable, desde luego a mí por 300 euros me parece caro, porque si no tiene fuerza, prefiero un aspirador de cable y el dinero en el bolsillo. A mí no me ha gustado nada. La he reemplazado por una Dyson y nada que ver, como el día y la noche. La Dyson tiene más potencia que la antigua que tenía de cable, y la Roidmi solo tenía más potencia si la ponías al máximo, que parecía que iba a despegar un avión y encima duraba 5 minutos. La conexión bluetooth no llegué a usar, así que no puedo opinar sobre su funcionamiento. El único punto positivo de la Roidmi es la luz frontal en el cepillo del aspirador. Desde luego, para mi gusto no merece la pena cambiar un aspirador que ya se tenga en casa (aunque sea de cable) para comprar este, porque te gastas el dinero y encima pierdes efectividad, poco poder de succión y una batería muy justita</t>
  </si>
  <si>
    <t>Decepción. Las zapatillas se estrechan de forma excesiva a la altura del nacimiento de los dedos. Cuidado. Recomiendo si se compra probárselas meticulosamente y en caso de duda devolverlas, pues si quedan muy justas, provocarán dolor.</t>
  </si>
  <si>
    <t>Sencillo, rápido y bonito Nos encontramos ante un hervidor de agua, de estilo retro y color crema de la marca Russell Hobbs Os voy a contar mis impresiones y opiniones sobre este producto:  ►Qué me gusta Θ Muy rápido a la hora de hervir, una taza en menos de un minuto y, si llenamos el hervidor, no llega a 4 minutos. Θ Buena capacidad de 1.7 litros Θ Uso fácil y sencillo, no tardaremos ni un minuto en saber cómo se usa. Meter el agua, enchufar y esperar. Θ Dispone de ventana, con indicadores de nivel, que nos permite conocer el nivel de agua que hay en el hervidor Θ Incorpora un indicador de temperatura, muy útil si queremos asegurarnos de servir el liquido dentro de unos rangos determinados de temperatura Θ El color crema con estilo retro queda bien en cualquier cocina Θ Mango con buen agarre Θ La boquilla no gotea al servir Θ Muy rápido a la hora de hervir, una taza en menos de un minuto y, si llenamos el hervidor, no llega a 5 minutos.  ►Neutro Θ El hervidor es metálico, esto se traduce en que tenemos que ir con cuidado al poner la mano sobre cualquier parte que no sea el mango, ya que podríamos llevarnos un susto por el calor  ►Qué no me gusta Θ La limpieza no es algo trivial, ya que los indicadores dificultan su limpieza Θ Cable corto  ►Opinión final Un hervidor sencillo, con estilo retro y buenas prestaciones</t>
  </si>
  <si>
    <t>Tallaje grande El tallaje es grande. Las zapatillas son bonitas y cómodas.relación calidad precio correcta. A la próxima compraré una talla menos.</t>
  </si>
  <si>
    <t>Cómodos. Mal fabricados. Son muy cómodos. Las rayitas del diseño se despegaron el primer día.</t>
  </si>
  <si>
    <t>. Es muy bonita si y ideal para el frio. Habia leido que se quedaba pequena pero no es verdad. Mi novio tiene 1.83 y 85 kilos y la L le queda un poquito grande pero eso es al gusto de cada uno, a el le gusta más apertado.</t>
  </si>
  <si>
    <t>Fácil de limpiar En casa somos unos amantes de los smoothies y muchas veces ka pereza de limpiar la thermomix nos hacía no disfrutarlos tantas veces como nos apetecía.  Compramos la batidora con la idea de hacer 1 o 2 batidos y no tener tanto trasto para limpiar y el resultado no tiene nada que enviar a los de la thx.  En el vaso caben 2-3 piezas de fruta, basta con cerrar la tapa de la cuchilla y pulsar el vaso para que la cuchilla haga su función.  Tiene fuerza suficiente para dejarlo muy fino y no dejar trozos.  La limpieza es muy sencilla porque son solo 2 piezas (vaso y tapa de cuchillas) y como la boca es grande se limpia muy facilmente con un cepillo de biberones.  Nos ha encantado porque hasta los peques pueden usarlos sin ningún tipo de riesgo a cortarse o tirar el vaso.</t>
  </si>
  <si>
    <t>Buenos auriculares Muy buena presentación del producto. La caja donde vienen los auriculares está genial, mostrando en todo momento el nivel de batería de cada auricular. El sonido es muy bueno y son cómodos de llevar.</t>
  </si>
  <si>
    <t>Excelente Perfecto , excelente calidad , ajustado a la calidad precio , embalaje y entrega perfecto como siempre lo hace Amazon</t>
  </si>
  <si>
    <t>Muy elegante Es muy elegante viene bien presentada en una caja. Ideal para un detalle económico.</t>
  </si>
  <si>
    <t>Cómodas y calentitas La verdad es que son comodísimas y lo mejor es lo calentitas que son. Si eres de pies fríos, estas son tus zapatillas. Muy contento con ellas.</t>
  </si>
  <si>
    <t>Muy satisfecho con los cascos y la atención del vendedor Tenía mis dudas con estos cascos (las comparaciones son odiosas), pero estoy gratamente sorprendido. Desde el que abres la caja hasta el trato recibido por la tienda son excepcionales.  El sonido es francamente bueno, si bien en el tema de los graves tiene  margen de mejora, pero a las cosas hay que exigirles teniendo en cuenta también el precio. La comodidad y la facilidad de emparejamiento es perfecta.  Vienen perfectamente embalados con la caja de carga, un cable para cargar, unas fundas por si quieres ponerles un cordón  para colgartelos del cuello y un libro de instrucciones en varios idiomas (incluido el español). Traen además una tarjeta por si tienes algún problema te puedas poner en contacto con el vendedor.  Muy satisfecho con la compra.</t>
  </si>
  <si>
    <t>Fila leopardo Son preciosas y originales,cogí mi talla habitual y me están perfectas</t>
  </si>
  <si>
    <t>Ligera, de calidad y muy comoda Pantalon de deporte con el que yo en particular juego al padel. Cómodo, ligero y de buena calidad en los acabados.</t>
  </si>
  <si>
    <t>Tarjeta Drivers difícil de encontrar en internet mi pc no tiene lectura de cd</t>
  </si>
  <si>
    <t>XX SE AJUSTA  A LA DESCRIPCIÓN.</t>
  </si>
  <si>
    <t>Buen precio y buena calidad Calidad o que me lo esperaba más grueso pero no importa al ser yo caluroso a mí me va bien hasta para el invierno</t>
  </si>
  <si>
    <t>29 GB OTG muy práctico 29 gb reales, tamaño perfecto para llevarlo siempre en las llaves o similar. La única pega es que no se protege muy bien, ya que la carcasa de protección es hueca y le puede entrar tierra, pelusa, agua, etc. También decir que cuando vas a introducirlo en los dispositivos tienes que aguantar la carcasa con la otra mano, debido a que no se queda fija y tiende a retroceder. Por todo lo demas, está genial.</t>
  </si>
  <si>
    <t>Aceites Me lo regalo mi marido con un difusor aromático para el coche, lo que más me gusta es el olor natural que tienen los aceites, los he probado todos y  me encantan. Con unas cuantas gotas tienes por lo menos para una semana y me deja el coche con un olor natural y super agradable.</t>
  </si>
  <si>
    <t>Auriculares Bluetooth Los llevo usando toda la mañana y van a la perfección, son comodisimos y se sujetan bien a la oreja. Los usé tambiéb haciebdo deporte y no se caen como otros. Vienen con varios recambios de almohadillas, usb y el estuche para guardarlos muy práctico.</t>
  </si>
  <si>
    <t>Bisel original Lo compre con un poco de temor ya que tengo un iPhone. Y la verdad la mejor compra que he hecho nunca con respecto a Smartwatches. Vengo de un Apple watch de primera generación el cual la batería ya no le duraba nada y encima no lo actualizaban. Y la verdad q perfecto. Me encanta el rollito que le da el bisel y el menú del reloj. He conseguido contestar a las llamadas desde el reloj con su altavoz emparejandolo con el bluetooth y la única pega el tema de poder contestar a los WhatsApp pero por todo lo demás le doy un 10.</t>
  </si>
  <si>
    <t>buenos calcetines buenos calcetines adidas y autenticos son como me esperaba comodos, y de buena calidad repetire sin duda alguna gran producto</t>
  </si>
  <si>
    <t>bien compre la grapadora con estas grapas y perfecto, unas grapas a muy buen precio</t>
  </si>
  <si>
    <t>Me encanta Trabajo 8 horas caminando sin poder sentarme. Al llegar a casa solo pienso en los masajes que me alivian el dolor de piernas y pies sin necesidad de tomar pastillas</t>
  </si>
  <si>
    <t>Colgante Para mí parecer es muy muy pequeño nada que ver como vienen las fotos para regalárselo a una niña pequeña está bien pero no para una mujer</t>
  </si>
  <si>
    <t>PROFICOOK SM 1094 Es correcto. Para mi gusto, pesa demasiado y vibra bastante, imagino por su potencia. He probado batir fruta y solo ha quedado algo de naranja adherido en los orificios de la boquilla que se han ido al lavar. Según mi pareja, pesa porque es semi-profesional y durará toda la vida. Habrá que verlo.</t>
  </si>
  <si>
    <t>El sonido de la música con distorsiones y ruidos. Cuando suena la música no se oye la voz de los micrófonos. Este karaoke funciona muy mal. No sé si es por avería o por que es así de malo. No se la aconsejaría a nadie. Por supuesto no ha cumplido mis expectativas lo mas mínimo.</t>
  </si>
  <si>
    <t>No aguanta No engancha bien</t>
  </si>
  <si>
    <t>Colgante discreto El corazón es muy pequeño y se gira bastantes veces.</t>
  </si>
  <si>
    <t>Contentos Los biberones están bien, siguen la línea de los MAM que usamos con el peque cuando era más pequeño. Por ponerles un pero, estos no se desmontan por la parte de abajo y son más complicados de limpiar.</t>
  </si>
  <si>
    <t>Buen comportamiento Bien la relación calidad precio</t>
  </si>
  <si>
    <t>Buena chaqueta, no para excesivo frío. La parka es muy bonita, sienta bien y se notan buenos materiales.  Como defectos señalaría la ausencia de alguna cremallera de cierre en más bolsillos y creo que vendria bien algo más de acolchado en la propia chaqueta, no parece ser apropiada para temperaturas realmente bajas.</t>
  </si>
  <si>
    <t>Todo correcto menos una cosa Una de las plantas es algo más dura que la otra. Sí, es algo raro. Pero bueno, son cómodas y están en buen estado.</t>
  </si>
  <si>
    <t>Muy muy bueno Me encanta , es ideal</t>
  </si>
  <si>
    <t>Tan sencillo como útil Una idea sencilla y barata pero tremendamente efectiva para tener bien recogidos los cables cuando no se usan. Muy útil.</t>
  </si>
  <si>
    <t>Lo mejor para los cólicos Con estos biberones tomaba mucho menos aire. Con un agua la válvula del centro se limpia bien. Cuando se use cereal ya mejor no usar esta</t>
  </si>
  <si>
    <t>MUY BUENA COMPRA La calidad del acabado y la resistencia parecen muy buenos. Es sencilla y al mismo tiempo útil. Muy buen tamaño, con dos lentes y luces led. Viene con todo lo necesario para su limpieza y para poderla guardar sin que se estropee. La compre para poder leer la letra ínfima de las normas de utilización de productos de bricolaje. Encantada de haberla comprado.</t>
  </si>
  <si>
    <t>Perfecto para su precio El reloj es perfecto para el precio que lo compramos. Se adapta perfectamente a la muñeca de quien sea sin tener que llevarlo a la tienda. Perfecto</t>
  </si>
  <si>
    <t>Buena calidad Muy muy cómodas, ligueras.... la única pega que no son impermeables y si trabajas con líquidos abrasivos puedes correr riesgo de que llegue a la piel</t>
  </si>
  <si>
    <t>Perfecta Cumple con lo que promete, una subcarpeta de cartón robusta, justo lo que andaba buscando.</t>
  </si>
  <si>
    <t>Comodo Suficiente para mi uso</t>
  </si>
  <si>
    <t>Estupendos auriculares para niños Mis hijos usan el Ipad en el colegio a diario y estos son los auriculares que les compré. Van en la mochila del cole, los despliegan y pliegan tropecientas veces y ahí siguen. Cuando se estropeen los que tienen, les compro otros iguales!!</t>
  </si>
  <si>
    <t>Recomendado 100% Están súper bien, son cómodas, abrigan un montón al tener el pelito por dentro, no te resbala, llegaron súper rápido, bien empaquetadas. Son fácil de limpiar, y de tamaño vinieron perfectas, todo perfecto!! Recomendado 100% sin duda alguna.</t>
  </si>
  <si>
    <t>Han cumplido las expectativas. Eran para regalárselas a mi marido y le encantaron. Son muy cómodas y la talla corresponde con su talla habitual.</t>
  </si>
  <si>
    <t>Lo recomiendo! Fue un regalo para mi hija y ha cumplido todas las expectativas. Buena calidad y original. Le está dando mucho uso y está a la altura.</t>
  </si>
  <si>
    <t>Rápida de utilizar La compré porque me encantan los smoothies para desayunar y me resulta super práctica y fácil de utilizar-limpiar.  Los materiales se notan resistentes y de buena calidad, la he utilizado tanto con fruta natural y congelada en los zumos,  como para preparar alguna salsa.</t>
  </si>
  <si>
    <t>Pantalón deportivo Muy cómodos para hacer deporte porque se adaptan perfectamente al movimiento, tiene dos bolsillos que vienen bien para guardar llaves o el teléfono El tejido es de gran calidad</t>
  </si>
  <si>
    <t>Buneas Buen precio ,creo que hay q.pedir un número más .yo así hice.</t>
  </si>
  <si>
    <t>Buena calidad y precio Me gusta su calidad y estéticamente. La bandejita para tostar que se puede poner encima es una buena idea para recalentar pan o descongelar. En general una buena compra</t>
  </si>
  <si>
    <t>Muy buena compra Le doy 5 estrellas sin ninguna duda, la compré porque era de las que mejor valoración tenían y he de decir que no me ha defraudado. La estoy usando para hacer gazpachos y deja la piel del tomate totalmente triturada, no se nota, así que me ahorra bastante tiempo el no tener que pelar los tomates. También va genial para hacer cremas de verduras, ya que las deja muy finitas, y para mis hijos es genial y también les he hecho batidos de fruta y están encantados. Además el accesorio que lleva para llevar tus batidos también va muy bien y le estoy dando mucho uso. Recomiendo su compra sin ninguan duda.</t>
  </si>
  <si>
    <t>Un clásico a un precio inmejorable poco hay que decir de estas zapatillas, todo un clásico que nunca pasa de moda! Pero además a un precio fantástico por la oferta...muy contento!</t>
  </si>
  <si>
    <t>Ideal Producto igual que la foto, el material es resistente</t>
  </si>
  <si>
    <t>No lo volvería a comprar Para colgar cosas que no pesen tácticamente nada funciona correctamente pero para poner cuadros grandes no una decepción una pena.</t>
  </si>
  <si>
    <t>muy chulo pero se rompió al día siguiente les ha encantado a mi hija y su miga. pero se rompió en 1 día</t>
  </si>
  <si>
    <t>Bambas No tan cómodas como esperaba para ser unas clarks</t>
  </si>
  <si>
    <t>Muy mala calidad Lo compré por ser el único que encontré compatible con el palo de Ballerina. Encaja genial pero es de malísima calidad y el estropajo duró menos de un mes, la parte verde se levantó en pocas semanas.</t>
  </si>
  <si>
    <t>Mala calidad No es muy bueno</t>
  </si>
  <si>
    <t>Buena compra La verdad es que son muy cómodas. Estoy contenta con la compra realizada. Las recomiendo. El tallaje es un poco lioso....</t>
  </si>
  <si>
    <t>Por ahora bien Se me rompio una batidora y me pille esta. Tiene 20 velocidades y un boton que da toda la potencia, yo pense que iba a usar eso siempre pero al contrario suelo ponerla a niveles bajos y alguna vez pulso el boton "turbo". Para mi una compra 10, ademas trae el tipico vaso de batidora y el triturador.</t>
  </si>
  <si>
    <t>Buen precio y cómodo para usar con proyectores Es muy cómodo de usar y de sujetar en la mano mientras haces presentaciones. Lo que no me ha gustado es que el puntero no funciona en las pantallas digitales; hice consulta por Amazon y un usuario me aseguró que sí y por eso me decidí por este modelo, pero no es cierto. no me funciona con presentaciones de Google, solo con Power Point. El USB es muy pequeño, lo cual no me resulta cómodo a la hora de ponerlo en la pantalla digital pegada a una pared. Cuando lo he empleado con un proyector ha resultado mucho más cómodo.</t>
  </si>
  <si>
    <t>Funciona correctamente He probado solo VGA y HDMI en un MacBookPro y funciona bien. No sabría decir la resolución a la que trabaja ya que siempre lo enchufo en un monitor pequeño de no mucha resolución</t>
  </si>
  <si>
    <t>muy buena relación calidad precio se oyen muy bien y el parear con el móvil súper rápido, no le pongo 5 estrellas porque al correr se me salen de los oídos.   pero muy buenos para estatico o andar</t>
  </si>
  <si>
    <t>Perfectas! Me encanta!! Como en la foto</t>
  </si>
  <si>
    <t>Me encantan Me costaron 8 euros (la talla 38). No creo que vuelva a encontrarlas a ese precio. Ojalá hubiera estado a ese precio la 36</t>
  </si>
  <si>
    <t>Me encanta! Definitivamente creo que ha sido el mejor mic que he probado, mejor que el blue jeti incluso. Recomendadisimo!</t>
  </si>
  <si>
    <t>excelente Excelente reloj, es muy cómodo y da la sensación de que no lo llevas puesto, es ligero y no molesta.</t>
  </si>
  <si>
    <t>me gusta mucho me gusta el diseño y calidad</t>
  </si>
  <si>
    <t>Comodísimos Son algo grandes y tuve que cambiar el número. Son comodísimos, es como caminar en una nube.</t>
  </si>
  <si>
    <t>Genial Se lo he regalado a mi novio y le ha encantado!! Muy buen reloj!!</t>
  </si>
  <si>
    <t>Muy cómodo,contenta con el producto. Son súper cómodo,se sujetan muy bien al pie ,con la silicona que trae en el talón .Los recomiendo.</t>
  </si>
  <si>
    <t>Muy comodas Las compré para mi madre que necesitaba salir a andar por temas de salud y no puede estar más contenta, dice que es como caminar sobre una nube.</t>
  </si>
  <si>
    <t>Buena compra Comparando con nuestra batidora anterior es una maravilla, tritura sin problema y algo sorprendente, no salpica a la hora de batir. De momento no le encuentro ninguna pega.</t>
  </si>
  <si>
    <t>Muy bien Sirve perfectamente para la máquina DYMO, muy buena opción, buen resultado y precio económico</t>
  </si>
  <si>
    <t>perfectas. Unas zapatillas para uso diario, muy comodas</t>
  </si>
  <si>
    <t>Súper cómodas!!! Me han encantado, las recomiendo. Igual que en la foto y comodísimas!!</t>
  </si>
  <si>
    <t>Suela muy comoda Buenas bambas se nota que son de marca recomiendo este producto, las suelas parecen ser de gel muy comoda me quedan perfectas</t>
  </si>
  <si>
    <t>Ideal para guitarras He empezado a tocar minguitarra eléctrica de nuevo y estaba cansado de llevar el cable del amplificador siempre molestando en la guitarra. Me he decidido por este por sus buenas valoraciones y estoy contento de haberlo comprado. Tiene una latencia super baja y se escucha muy bien. Además, el alcance es más que suficiente para cualquier escenario, a no ser que toques en un súper escenariobwue no es mi caso. Y además, el precio está genial. Lo recomiendo.</t>
  </si>
  <si>
    <t>Ideal para regalar Mucho mejor que en las fotos. Recomendado como regalo</t>
  </si>
  <si>
    <t>Perfecto y recomendable. Es justo lo que esperaba. Nudos resistentes y adaptables. He recibido la pulsera con mucho tiempo de antelación y eso me ha sorprendido. Volvería a comprarla sin dudar para regalo.</t>
  </si>
  <si>
    <t>Todo perfecto Todo perfecto super comodos y no resbalan en el trabajo me siento superbien una maravilla recomendable al cien por cien</t>
  </si>
  <si>
    <t>Converse all star Llegó antes de la fecha de entrega. Tallan grande, medio numero mas. Son un clasico y nunca pasan de moda. Perfectas y a un buen precio.</t>
  </si>
  <si>
    <t>Jarra con poca duración. se ha quebrado la jarra de cristal con muy poco uso. Decepcionado.</t>
  </si>
  <si>
    <t>La única pega: el precio, lo demás genial! Le daría 5 estrellas si no fuese por el altísimo precio que le ha puesto Apple, lo han subido 50€ respecto a los de 1ª Generación que costaban 179€ y todo por no asumir el estuche de carga inalámbrica universal Qi como novedad y evolución lógica al mismo precio que el modelo anterior.  El producto eso sí, es muy bueno y tiene las 4 siguientes mejoras respecto a la generación anterior: 1- Estuche de carga inalámbrica universal Qi. 2- Bluetooth 5 con el que destacaría que tendrás más distancia de funcionamiento, por ejemplo si dejas el dispositivo emisor (iPhone por ejemplo) en una habitación distinta a la que te encuentras y tú te mueves por toda la casa con los AirPods no se cortará el sonido como pasaba con los de 1ª Generación al llevar Bluetooth 4.0 donde nada más salir por el pasillo ya se entrecortaba la conexión... 3- Oye Siri por voz sin necesidad de toque en el auricular. 4- Chip H1 más rápido al conectar con los dispositivos de Apple, sobretodo si cambias de iPhone a Watch y viceversa...  Eso sí, para quien ya tenga los AirPods de 1ª Generación no recomiendo su compra, sería un gasto tonto ya que en esencia son los mismos auriculares y no va a aportar nada salvo hacer más rica la cuenta corriente de Apple y sigan subiendo precios... Yo sólo recomendaría su compra para los que no tengan aún AirPods, ya puestos a comprar unos mejor comprar los de 2ª Generación.</t>
  </si>
  <si>
    <t>Funciona perfectamente, lo único que el cable se enrosca con demasiada facilidad Funciona perfectamente, lo único que el cable se enrosca con demasiada facilidad, y es molesto a la hora de trabajar</t>
  </si>
  <si>
    <t>Cuidado,no es el de la foto. Cuidado,no es mismo reloj de la foto "No gira ariba" y no es negra esa parte,desilusionado.</t>
  </si>
  <si>
    <t>Ni un año Ni un año me ha durado. Lo pedí el 28 de julio e iba perfecta y llegó un día, hace cosa de un mes que ya no la leía ni movil, ni camara deportiva, ni siquiera el pc. Terrible.</t>
  </si>
  <si>
    <t>Carolina Me ha llegado otro modelo diferente al que pedí, pero las necesito ya y no puedo cambiarlas. El 36/37 es un poco grande.</t>
  </si>
  <si>
    <t>Buena compra Cómodo, fácil de limpiar y usar, potente, recomendable 100%</t>
  </si>
  <si>
    <t>Miren Cruz. Vitoria - Gasteiz. Estéticamente es bonito y la fotografía es fiel al color. Cómodo y lucido. Buena relación calidad - precio. Calza pequeño.</t>
  </si>
  <si>
    <t>Mucho brillo Demasiado grandes y brillantes. Para ir discretos, como que no valen</t>
  </si>
  <si>
    <t>Bien, pero... Muy completa la gama de complementos que viene incluida. Es bastante silenciosa y efectiva pero para mi gusto tiene una pega: el sistema de acople del mastil y varillas es de calidad dudosa, construida en plástico y no en metal... tengo serias dudas de que resista adecuadamente al uso cotidiano. La tengo desde hace unas semanas y por ahora bien. A ver como aguata!!!</t>
  </si>
  <si>
    <t>Perfecto Es un reloj muy cómodo, con buena calidad precio. Tiene para establecer dos horas diferentes en formato digital, alarma, y cronómetro. Muy cómodo y se adapta a la perfección a la muñeca, no es un reloj aparatoso como hay por ahí.</t>
  </si>
  <si>
    <t>👏👏👏👏👏 Ya han pasado 2 años de mi compra y los he cambiado pero x el uso diario pero muy buenos sin duda !</t>
  </si>
  <si>
    <t>Muy bonitas y de calidad Las pulseras son muy bonitas y de calidad, aunque quizás demasiado grandes ya que miden 24 cm.  Llegaron tres días antes de lo previsto y bien empaquetadas. Ya os contaré cuando se usen de continuo. De momento muy satisfecha con la compra.</t>
  </si>
  <si>
    <t>Esther perez Maravillosos cómodos y extraordinarios precio inmejorable y buena calidad y rapidez colores muy logrados compraré más seguro</t>
  </si>
  <si>
    <t>Como si estuvieran hechos en mi pie. Me queda perfecto y es muy estable, tenía algo de miedo a que vinieran muy anchos en el empeine como otros que he comprado en Amazon  pero no es asi, recoge muy bien el talón cosa que otros zapatos que tengo mucho más caros no hacen. Por su precio no esperaba que fueran de piel pero están bien acabados y comodísimos.</t>
  </si>
  <si>
    <t>Muy buenos Buenas bambas y las compre el dia prime, es decir, el 15 de Julio a unos 23€ o asi, genial !</t>
  </si>
  <si>
    <t>Muy recomendable Genial, he tenido dos masajeadores, ni punto de comparación con este, he pedido otro para regalar, en princio funciona perfectamente y es lo más parecido que hay a un masaje real.</t>
  </si>
  <si>
    <t>Parece que no pero si Cuando ves el artículo te parece mentira que eso recoja u organice cables , pero si es lo que hace y lo hace bien, con eso si, un poco de paciencia. Puede bien con tres o cuatro cables, con mas ...</t>
  </si>
  <si>
    <t>Un icono con encanto pero algo anticuado Llevo siguiendo este reloj desde hace meses en Amazon esperando que baje de los 300 euros, sin éxito. Finalmente lo he adquirido de segunda mano a un precio razonable. Realmente el precio ha fluctuado mucho (ver gráfico desde 2014) aunque se ha vuelto a disparar desde que se rumorea que se ha dejado de fabricar el modelo. Esto no se ha confirmado y los vendedores serios lo han desmentido pero no evita que el precio está por encima de los 250€ que es lo que venía siendo habitual.  EDITO: confirmado, se deja de fabricar desde julio de 2019.  Durante este tiempo he ido leyendo bastante sobre el modelo por lo que me gustaría compartir mi opinión una vez ya lo tengo en las manos.  + Diseño clàsico de los Diver de Seiko. Los SKX007 se fabrican desde 1996 y se han ganado un lugar en cualquier colección que se precie. Si estás leyendo esto es que te gusta el modelo… + Automático, movimiento seiko 7S26. No se le puede dar cuerda ni parar la manecilla de los segundos. Por otro lado es muy fiable y tiene fama de necesitar poco mantenimiento (¿cada 10 años?). Mi unidad es bastante precisa y no adelanta ni atrasa más de 5 segundos al dia. + Sumergible a 200M con certificación ISO. Por lo que cumple estándares rigurosos para poder asegurar esos valores + Dimensiones: es grandote (42 mm de 9h a 3h) y pesado, lo normal para un reloj de buceo. Sin embargo por el diseño de la caja, la distancia entre los extremos (44 mm de las 12h a las 6h) y la curvatura que tiene queda muy bien el muñecas no muy grandes. + Brazalete: para mi el punto más débil del reloj. No me gusta nada. Muy flexible los links quedan muy sueltos dando sensación de barato. También me he pillado algún pelito… Va a ser lo primero que cambie. + Materiales: - Cristal hardlex: mi reloj es de 2015 y tiene un pequeño arañazo, igual que otros relojes que tengo con cristal mineral con similar edad. Por lo que no le veo valor añadido. Se puede cambiar por cristal de zafiro. - Bisel de aluminio: el mío está prístino pero tienen fama de rayarse con solo mirarlos. Aunque también se pueden encontrar ceràmicos irrayables. - Lumen: Pintura propietaria de Seiko LumiBrite aplicada al dial, agujas y un pequeño punto en el bisel. Es impresionante la intensidad (hay que cargar un poco al sol o con luz UV) y la duración que tiene. No he visto nada igual.  En resumen, es un clásico que se ha quedado anticuado en prestaciones, però tiene un encanto que lo hace muy atractivo. Pero ¿300€?, si lo piensas fríamente hay otras opciones más modernas como el Orient Ray II con un movimiento mejor en prestaciones por 170€.</t>
  </si>
  <si>
    <t>Perfectas Perfecto, tal y como se ven. Volvería a comprarlas, tela de gran calidad y llegaron en tan sólo un día.</t>
  </si>
  <si>
    <t>Pequeño y MUY rápido COMPRA recomendable Muy compacto y agradable de usar y RÁPIDO: alcanza velocidades sobre USB3 sobre el GIGABIT/s o lo que es lo mismo unos 100 MEGABYTES/S para archivos grandes. Si es igual de confiable que mis otras dos unidades usb3 de toshiba que tengo desde hace unos años... pues es una compra redonda. Muy bien por toshiba no haberse precipitado en lanzar esta unidad al mercado hasta ofrecer una unidad precisa y fiable. Otros fabricantes como MAXTOR/SEAGATE ya tienen en el mercado sus unidades de 4tb desde hace tiempo...  Con el tiempo veremos si se puede decir que esta unidad es digna de la fiabilidad que siempre ha representado toshiba en informática o han hecho basura-a-ver-si-guanta-hasta-findegarantía como marcas tan aborrecibles como MAXTOR/SEAGATE en este tipo de dispositivos externos. Nota. Maxtor es una marca que en el pasado era sinónimo de buena calidad. Despues de haber sido comprada por seagate hace algunos años seagate se dedica a vender basura de pésima calidad bajo esta marca... y si no mirar los comentarios en las unidades externas de 2.5 de 4TB de la marca maxtor en este propio amazon.es...  Lo único negativo de este aparato es que el fabricante no ha puesto unas patitas de goma para apoyar la unidad como llevan todas las unidades de disco externo anteriores de toshiba ¡No me lo explico! He tenido que comprar unas gomitas adhesivas para ponerlas bajo la unidad ¿¿¿Que has hecho toshiba???  Nota final.: Nunca mover una unidad de disco duro mecánica despues de haberla conenctado al ordenador/tv/aparato, ya que es la causa de la mayoría de fallos y roturas en este tipo de unidades.</t>
  </si>
  <si>
    <t>Muy cómodas Son unas zapatillas muy cómodas quizá sean las zapatillas más cómodas que haya tenido nunca. La talla es la correcta. Muy ligeras apenas pesan.  se pueden lavar en la lavadora y se secan enseguida y quedan como nuevas. Eso sí, si eres propenso a tener electricidad estática y que te den calambres las cosas al tocarlas con estas zapatillas irás dando chispazos a todo el mundo!!!</t>
  </si>
  <si>
    <t>Buena calidad Resistentes.</t>
  </si>
  <si>
    <t>Cumple de sobras las espectativas Por poco menos de 20€ tienes un reloj sumergible, con los números muy claros, día y hora, y al no ser muy grande es discreto. Muy recomendable.</t>
  </si>
  <si>
    <t>Corazón Es muy bonita y comoda.Megusta mucho.</t>
  </si>
  <si>
    <t>Robusto y perfeto de funcionamiento Muy buen funcionamiento, silencioso, potente y por tanto eficaz. Recepción con total puntualidad. Lo sorprendente, es compatible con otros accesorios de Boch.</t>
  </si>
  <si>
    <t>Pésimo servicio técnico Llevo casi un año con él y empecé enamorada de lo eficaz y silencioso que era pero hace un par de meses le noto que la autonomía no es lo que era, ya no limpia una estancia como antes. Decidí mandarlo a reparar porque se apagaba al empezar y tras revisarlo con un mes de tiempo, me lo devuelven con las ruedas cambiadas. Intrigada lo pruebo por si realmente era eso y se apaga según ha empezado... Lo he vuelto a mandar a reparar, esta vez con coste claro, pero es que no es normal ni el funcionamiento ni el servicio técnico.</t>
  </si>
  <si>
    <t>BUEN PRODUCTO Son muy bonitas y cómodas. Recomiendo su compra 100 %. Son más bonitas de lo que sale en la foto.</t>
  </si>
  <si>
    <t>Sencillo Es justo lo que esperaba y funciona perfectamente, no hace ruido, y fácil de usar</t>
  </si>
  <si>
    <t>Regular Na mas llego lo estreno y se la escobilla se a estropeao jajajajaj bueno,sera d ahi su precio</t>
  </si>
  <si>
    <t>No es el color de la foto El pantalón es un pantalon normal de chándal, cómodo y transpirable. El problema es que en las fotos el color negro se aprecia como un negro mate y enrealidad es un color negro brillante.</t>
  </si>
  <si>
    <t>Talla exacta Elegí la talla exacta de mi pie por lo que me quedaron bien. Me gusta mucho el color blanco para las zapatillas pero la verdad es que se ensucian super rápido y más si son de tela.  Sin duda las recomiendo por que son cómodas y combinan con cualquier tipo de ropa.... pero hay que tener cuidado con ellas.</t>
  </si>
  <si>
    <t>Se ha roto una varilla. El espumador está bien, es potente y se ve robusto. Las varillas metálicas también están bien, pero trae una con una hélice de plástico que utilizo para mezclar té matcha... hasta que se ha roto con menos de un mes de uso. Ya no no me sirve para lo que lo compré. Una lástima.</t>
  </si>
  <si>
    <t>El sonido y la comodidad Los auriculares están muy bien, cómodos y con muy buen sonido, no he tenido tiempo para poder valorar la durabilidad, espero que sea buena..</t>
  </si>
  <si>
    <t>Muy buena compra Pràctic y fàcil de usar, con una buena potencia y calidad de sonido.</t>
  </si>
  <si>
    <t>Gran aspiradora Un producto formidable</t>
  </si>
  <si>
    <t>Muy buen micro para podcast Estuve muy indeciso entre varios modelos más económicos de otras marcas, finalmente me decidí por el Rode, bastante más caro de lo que iba a invertir, y estoy encantado. Para podcast se obtiene una nitidez muy buena, aunque es cierto que el pie puede ser bastante inestable, no está pensando para ajustar mucho el ángulo. También es verdad que a veces se obtienen muchos sonidos del ambiente y hay que filtrarlo con software, o bien adecuando la habitación.</t>
  </si>
  <si>
    <t>luces al despertar Bastante simpático, emite una luz gradual al saltar la alarma o radio según lo que hayas programado, muy satisfecho.</t>
  </si>
  <si>
    <t>Completo Ideal, completo y versátil.</t>
  </si>
  <si>
    <t>100% recomendable, capacidad, velocidad y garantia. Simplemente perfecta, altisima velocidad tanto en escritura como en lectura y la fiabilidad de Sandisk con su estupenda garantia. Tanto en aplicaciones que requieren guardar un flujo importante de datos (por ejemplo grabacion a 4k), como en lecturas continuas rinde sin inmutarse. perfecta para camaras de accion, drones, etc y sobrada en smartphones.</t>
  </si>
  <si>
    <t>¡Muy cómodas y bonitas! Muy útiles como "chanclas de vestir"cuando, ante todo, buscas comodidad sin renunciar a estilo. Sí es cierto que talla grande. En caso que utilices una 38, compra la 39/40.</t>
  </si>
  <si>
    <t>Buena compra Excelente calidad-precio. La bolsa y los imanes para evitar que se enreden, muy prácticos. Repetiría compra</t>
  </si>
  <si>
    <t>Buena compra Es el segundo que tenemos.El primero era de otra marca conocida ,pero os puedo asegurar que nada que ver con el Bosch El funcionamiento de este es espectacular ,gran poder de aspiracion y autonomia . producto recomendable.</t>
  </si>
  <si>
    <t>Buena calidad. Muy buena calidad a buen precio. Nunca he tenido problemas con tarjetas de samsung, son muy rápidas y funcionan siempre a la perfección.</t>
  </si>
  <si>
    <t>Son muy buenos A acoplan al móvil rápido y se escuchan estupendamente</t>
  </si>
  <si>
    <t>Buen producto Estoy contenta la unica pega esq es bastante anchita y mi hijo muy delgado por lo demas todo estupendo es lavar y guardar no se arruga nada y e repetido la compra en otro color</t>
  </si>
  <si>
    <t>Correa Genial!!! Se lo hemos comprado a mi padre y queda muy bien y elegante!!!</t>
  </si>
  <si>
    <t>Muy bonito Diseño muy bonito, aparenta ser de madera. Es compacto, por lo que queda bien en cualquier sitio. Trae unos cuantos botes de aceites aromáticos, un gran detalle ya que no tienes que gastar dinero extra en comprarlos. Tiene varios tiempo para escoger. Todo un acierto la compra.</t>
  </si>
  <si>
    <t>El ajuste y la maquina Ajusta perfecta. Y la maquina para quitar los pasadores de los eslabones es genial. Por lo demás , perfecto como siempre Amazon</t>
  </si>
  <si>
    <t>Bonito y ligero Bonito y ligero</t>
  </si>
  <si>
    <t>Lo mas Que puedo decir de casio??!!sea quen sea el que lo venda si es casio y original lo tienes para parte de la vida, llego a tiempo super empaquetado con todas sus libritos, como anedota  el otro dia entando en el garage so no uno roto que tenia,ya os digo este reloj es para la vida</t>
  </si>
  <si>
    <t>Compardos por su durabilidad Siempre se han portado bien, los grabo a 16x y los compruebo y todo perfecto. Algunos tienen mucho uso y generalmente duran bastante. Me he decantado por estos por la superficie resistente a arañazos.</t>
  </si>
  <si>
    <t>suficiente Para escuchar pequeños aparatos de musica es suficiente........... no espereis gran sonido. Es practico</t>
  </si>
  <si>
    <t>Muy satisfecho por la utilidad y, de momento la relación calidad/precio es excelente. Lo he comprado para mi madre que perdió mucha vista de repente y, claro, los relojes para "mirar" no le sirven de nada. Y en los poquitos meses que lo tiene está encantada y hasta le hace sonreír cada vez que le dice la hora. Cada hora en punto si así lo configuras y, por supuesto, cada vez que lo pides.</t>
  </si>
  <si>
    <t>Alfombrilla ergonómica Me llegó en tiempo y forma. Era lo que estaba buscando. Aunque el primer día me dolía la muñeca del cambio de posición, a lo largo de la semana me fui acostumbrando y espero que me sea útil. Se ajusta a la descripción del producto.</t>
  </si>
  <si>
    <t>Buen bolso El bolso está bien construido, buenos materiales y buen acabado. El tamaño es lo que yo buscaba  ... Pero lo devolví por que el bolsillo delantero, el de la solapa, tiene una abertura demasiado pequeña para mi mano, no llego bien al fondo. La devolución de amazon perfecta.</t>
  </si>
  <si>
    <t>DHL HIZO LA ENTREGA .TE LO TRAEN FUERA DE TI.AVISANPERO NO TE DICEN HORA , NI DIA El producto  es  muy FRÁGIL, MALO Y DÉBIL.</t>
  </si>
  <si>
    <t>Está  bien Está bien</t>
  </si>
  <si>
    <t>Cable de juguete. Si buscas un buen cable, de calidad profesional, que no pierda sonido y sin ruidos de fondo, amigo este NO es tu cable.</t>
  </si>
  <si>
    <t>Buen sonido pero pésima calidad de acabados. Estaba contento porque, por el precio que tienen, el sonido es muy bueno, pero al año se me ha roto el cable y ya no se oye de un lado. Lo barato, al final, sale caro.</t>
  </si>
  <si>
    <t>No cumple su funcion Lo compre por el sistema anticolicos que ofrece este biberon y la verdad que mi niño sigue igual, el biberon no le ha hecho mejorar nada. Por lo tanto no merece la pena el engorro que supone limpiarlo.</t>
  </si>
  <si>
    <t>Una buena opcion en su rango de precio. No son unos malos cascos para el uso diario y si no eres muy exigente o vas a escuchar música desde el móvil.  Maquillan mucho el sonido exagerando bastante los bajos y en ocasiones provocando un leve ruido de niebla con según que tipo de música.  Aun así en el rango de 20 a 40€ son una opción a tener en cuenta.</t>
  </si>
  <si>
    <t>Recomendado Precio más que bueno por la calidad del disco teniendo presente la implantación de los nuevos SSD. Velocidades altas y ruido inapreciable. Materiales robustos comparado con otras marcas. Cabe destacar y agradecer como se recibe. Muy bien protegido de cualquier golpe y humedad. Dando mucha mas confianza sobre otras marcas y experiencias.</t>
  </si>
  <si>
    <t>SIN PROBLEMAS La utilizamos para cocinar para un centenar de personas y no dio ningún problema. Se calentaba un poco pero dentro de lo normal</t>
  </si>
  <si>
    <t>Justo para las fotos Es para lo que es. Nada más. Y como tal, está muy bien. Es verdad que cuesta algo al principio porque desconoces cómo va para que sea todo más fácil</t>
  </si>
  <si>
    <t>Muy buen sonido, pero... Fantástica calidad del sonido. La aplicación de Sony te deja personalizarlos a tu gusto. El único pero que les he encontrado es que no tengan resistencia al agua y sudor, está claro que no son unos auriculares para hacer deporte, pero con ese precio, que los días de lluvia de miedo ponérselos...</t>
  </si>
  <si>
    <t>Tal cual la foto Muy bonitos y muy bien entregados, con la cajita del cascabel, la bolsa e incluso una cinta de celo con los ositos para cerrar la bolsa.</t>
  </si>
  <si>
    <t>Buena Muy chula</t>
  </si>
  <si>
    <t>muy bien elaboradas 100% cuero, recomendable al 100% se pueden ajustar con mucho cuidado.</t>
  </si>
  <si>
    <t>George Esta muy bien en verdad sólo que la talla me es un poco larga pero fue por no mirar bien las medidas error mío ,el producto fenomenal</t>
  </si>
  <si>
    <t>Versatilidad Es la primera vez que pruebo este tipo de auriculares, la verdad que me han sorprendido. Aunque le faltan un poco de graves, es bastante útil sobre todo pensando en que se van cargando mientras están guardados en su caja.</t>
  </si>
  <si>
    <t>Me encanta. Calidad precio estupenda. A llegado súper pronto. Nada más abrir el paquete e visto que estaba genial las cremalleras fuertes todo de buena calidad, muy contenta.</t>
  </si>
  <si>
    <t>RECOMENDABLE Te ayuda sobre todo a la circulación. No hace daño y si es verdad que los primeros días te deja moretones. Recomendable para aquellas personas que quieran mejorar el retorno venoso, la circulación y relajar las piernas.</t>
  </si>
  <si>
    <t>Geniales auriculares Muy buenos auriculares inalambricos, tienen una autonomía fantástica, una sujeción excelente a la oreja para realizar cualquier actividad deportiva. Tiene una excelente calidad precio. No siendo tan caro como auriculares de su misma gama. Recomiendo su compra ya que se ajusta perfectamente a la descripción que ofrece el fabricante.</t>
  </si>
  <si>
    <t>me encanta es exactamente lo que buscaba, era para hacerle  un regalo a mi hija y le ha encantado y además tiene la muñeca muy pequeña y se puede regular perfectamente</t>
  </si>
  <si>
    <t>Estupenda calidad He comprado varios de estos cables, y los uso para señal mono balanceada. Fantásticos para este uso.</t>
  </si>
  <si>
    <t>Supercontento..... Son comodísimas y estupendas.Ha sido una buena compra recomendable Las recomiendo.Estamos muy ContentosEl modelo es estupendo, cómodo y ligero.Aún no lo he usado, pero el producto es tal y como es muestra en la foto.</t>
  </si>
  <si>
    <t>Auriculares Bluetooth Producto muy práctico para tu vida diaria. Estos auriculares los tengo en el trabajo porque me permiten usarlos sin ser visto ya que mi pelo me tapa muy pequeños y cómodos. Precio recomendable por la calidad</t>
  </si>
  <si>
    <t>Práctico y cómodos Son tal cual se ven en la foto, el tejido muy cómodo y me parece que el precio y la calidad que ofrecen es estupenda. Yo los quería para la playa y son muy recomendables tanto para evitar la arena caliente como para meterse con ellos en el agua.</t>
  </si>
  <si>
    <t>wonderful I liked the product. the shipping was fast. Good quality and according to the announcement. all great. I recommend  thank you very much</t>
  </si>
  <si>
    <t>Buena compra Muy finos y elegantes, y mas comodos de lo que me esperaba</t>
  </si>
  <si>
    <t>Buena Calidad. Lo he utilizado para mis vídeos de YouTube. La verdad que está muy bien utilizando ciertos programas para mejorar la grabación, queda muy profesional. Le echo a extrañar un brazo para su comodidad, ya que si usas la almohadilla o el filtro, al tenerlo algo lejos de la cara no suena muy alto ( debes alzar la voz). Por lo que es molesto tener que acercar el micrófono y ver ese armatoste de metal (la base, que es grande) plantado frente al teclado y ratón, consumiendo todo el espacio de la mesa, afectando a mi comodidad. Lo utilizo para narrar, por lo que con un brazo me quitaría de este único fallo que le encuentro.</t>
  </si>
  <si>
    <t>CORRECTO EL PRODUCTO TODO PERFECTO</t>
  </si>
  <si>
    <t>😁 😁😁</t>
  </si>
  <si>
    <t>Auriculares de alta calidad y muy prácticos Se trata de unos auriculares de buena calidad, muy prácticos para uso cotidiano y muy cómodos. En las fotos podréis apreciar los buenos acabados que presenta. Son muy ligeros y fáciles de transportar dado que se pueden plegar fácilmente. El sonido es nítido y agradable. Dispone de un suave tejido a nivel de la diadema para adaptarse bien y con delicadeza a la cabeza y al pabellón auricular. Se pueden conectar mediante bluetooth a la fuente emisora del audio, dispone de puerto USB para cargar los auriculares y poderlos utilizar de forma inalámbrica y dispone de una vida media de autonomía bastante larga. También se pueden conectar mediante cable al dispositivo emisor del audio. Se los compré a mi pareja porque necesitaba unos auriculares para poder estudiar muchas horas seguidas y ver clases en casa y esta muy contenta con lo cómodos que son. Recomiendo el producto sin duda.</t>
  </si>
  <si>
    <t>Sospechosa calidad Al minuto de estar cargando se estropeó la luz led. No sé si devolverla o quedarmela, porque luego funcionó muy bien y la luz no creo que sea importante. El tacto es muy agradable.</t>
  </si>
  <si>
    <t>Mejorable Funciona perfectamente. Para coger la targeta es correcto, però para volverla a guardar es mas costoso; y en la entrada se esta a riendo el plastico con apenas 1 més de uso</t>
  </si>
  <si>
    <t>Muy bonita Se corresponde con la foto. Queda muy bonita</t>
  </si>
  <si>
    <t>no son 2.5mm los compre de 2.5mm y los que me llegaron no son de ese calibre,en el envoltorio si ponia que eran de 2.5mm pero comparandolo con cables que tengo de ese grosor son bastante mas finos no recomiendo su compra</t>
  </si>
  <si>
    <t>DEFECTUOSO EL VASO DE CRISTAL, SE RAJA AL LAVARLO Al lavar es vaso de cristal con agua templada se ha rajado, comprado en julio pasado, he llamado al Servicio técnico de Amazon y no contestan, ESTA EN GARANTIA. Lo uso muy poco, es la segunda unidad que me pasa. Adjunto fotos de las dos unidades, la primera unidad comprada en comercio exterior, como puede reclamar garantia por no encontrar tiquet compra. Ambos se usan pocas veces y  periodicamente</t>
  </si>
  <si>
    <t>Buenos auriculares Muy cómodos, cable muy largo. Se puede usar con los jack de 3'5mm de micro y auricular con sonido estéreo o con el USB donde conseguiremos sonido envolvente. No funciona el USB con la Nintendo Switch ni con Xbox 360. No puedo hablar de otras consolas.</t>
  </si>
  <si>
    <t>Muy bonito Aún no he podido comprobar la calidad del producto porque sólo me lo he puesto una vez, pero me parece precioso. He puesto 4 estrellas porque se soltó la cadena, pero la pude arreglar de nuevo.</t>
  </si>
  <si>
    <t>Buena compra Está muy bien para una estudiante de bachillerato, es un bolso de lona con una tela resistente y poco manchadizo por su color café. Tiene varios bolsillos para poner de todo y una separación con una tela acolchada para proteger un portátil.</t>
  </si>
  <si>
    <t>Excelente reloj para todo trote. Es un reloj que funciona muy bien, cumple las expectativas de un reloj que no tiene que envidiar a los mas caros con las mismas prestaciones. Quizás el único inconveniente, es que al tener un iPhone , por las mañanas, después de tenerlo en carga, tengo que abrir de nuevo la aplicación para que se produzca el enlace. Pero en lo demás muy buen, no pesa casi, y es de muy buen precio.</t>
  </si>
  <si>
    <t>Buena camiseta Buena camiseta aunque la compré grande, para 183cm 85kg talla M viene perfecta</t>
  </si>
  <si>
    <t>Buena relación calidad-precio. Gran pen drive, bastante rápido, tacto de calidad y a muy buen precio</t>
  </si>
  <si>
    <t>Gran compra Precioso diseño, grandes dimensiones y robusto. Pita super alto cuando el agua está caliente.</t>
  </si>
  <si>
    <t>Perfect buy Lovely product that got here on time and it was in great conditions. I would definitely buy here again, and it was a great offer.</t>
  </si>
  <si>
    <t>Correcto Se realiza test de velocidad solo abrir el envoltorio. Por el precio que tiene, es correcto (96 MB/s en lectura cuando aseguran 95 MB/s).</t>
  </si>
  <si>
    <t>Salomon es eapectacular Comodísimas. Estoy encantado. Preciosas</t>
  </si>
  <si>
    <t>Muy contenta Buena calidad</t>
  </si>
  <si>
    <t>Excelentes auriculares deportivos Unos auriculares geniales, se escucha con una calidad de audio mucho más alta de mis espectativas. Tienen un acabado muy profesional, además de una envoltura de plástico que los hacen impermeables. Además tiene los botones en los oídos que aunque podrían estar en otro sitió que facilite su pulsado, tienes opción de pasar atras o adelante las canciones , play y mute y subir y bajar el volumen. Se acoplan muy bien y lo cual hace que mientras haces deporte no se muevan nada. 👌🏻 Además tiene imantada la estación de carga y es muy cómodo y práctico 🙌🏻</t>
  </si>
  <si>
    <t>Bien Nada del otro mundo, un cable que sustituye a otro que ya pedía la jubilación, al igual que yo, pero al contrario que el cable, deberé de esperar un tiempo más.</t>
  </si>
  <si>
    <t>Limpieza rápida y segura No raya, se desliza fácilmente sobre el disco de vinilo, y además, con el cepillo auxiliar para la aguja es el complemento perfecto para mantener limpios tus vinilos. Ocupa muy poco espacio y es muy funcional. Muy satisfecho con la compra.</t>
  </si>
  <si>
    <t>Calidad/precio GENIAL Me ha gustado mucho, rapidez del servicio, calidad/precio no se puede pedir mas, se limpia genial y queda muy molon! Seguramente compraré alguno mas.</t>
  </si>
  <si>
    <t>PENDIENTES AROS NOS HA GUSTADO ESTAN EN PERFECTO ESTADO</t>
  </si>
  <si>
    <t>Perfecto Todo perfecto, funciona perfectamente, cumple todas las expectativas, envío rápido.</t>
  </si>
  <si>
    <t>Muy fluido Lo tengo puesto en un ordenador para multimedia, sólo lleva carga del sistema operativo, por eso me decidí por el de 60gb, ya que tengo un NAS con las pelis y demás, el disco es SSD por lo que no es mecánico y va muy fluido</t>
  </si>
  <si>
    <t>Recomendable Fenomenal</t>
  </si>
  <si>
    <t>RFID - ANTI FRAUDE Tiempo de entrega es muy bueno. El producto es lo que dice ser. La funda es flexible y parece resistente. Tiene los bordes anchos, imagino para que no se rompa con facilidad. En las billeteras estrechas probablemente quepa muy justo</t>
  </si>
  <si>
    <t>Calidad/Precio El día que lo compré (4 de sept. 2017), era sin duda el mejor SSD en cuanto a calidad/precio. No sólo por la velocidad de lectura y escritura, si no también por la capacidad. Funciona a la perfección y da un gran impulso de velocidad a cualquier ordenador que se le instale.  Pros: Velocidad, instalación fácil y capacidad  Contras: Ninguna  Recomendado a cualquier persona que quiera darle un cambio de velocidad a su ordenador o portátil</t>
  </si>
  <si>
    <t>Buen acabado y muy comodo. Por ahora muy bien, cumple con lo especificado en la venta del articulo. Bien acabado, funciona correctamente y correas muy cómoda. No se le puede pedir por 15€.</t>
  </si>
  <si>
    <t>Merece la pena comprarlo, incluso 2 unidades!! Simplemente es genial! El mecanismo es super básico, pero realmente muy útil. Cumple con su función! Lo compramos para limpiar los radiadores por dentro en húmedo y es una gozada!! Han quedado impecables, en unos minutos! Lo único que si el radiador tiene los segmentos con las ranuras más estrechitas cuesta algo más. UNA GOZADA!! normalmente los aspiramos y en esta época solemos limpiarlo con los tipicos rodillos de pelos de plastico del  chino... y acaban para tirar.... NADA QUE VER!!! está impecable. a la lavadora y hasta la próxima. 3 años de garantía además!</t>
  </si>
  <si>
    <t>BONITA Y COMODA Es más bonita en la mano que lo que se ve en las fotos y en las fotos ya se ve bonita, para mí tiene el tamaño perfecto para llevar las cosas más necesarias en el mínimo espacio y de forma muy cómoda ya que se adapta perfectamente al cuerpo. El tejido es de muy buena calidad, la verdad es que es muy elegante, y tiene muchos detalles y compartimentos que la hacen perfecta. Me gusta mucho</t>
  </si>
  <si>
    <t>Ceden mucho Ceden un montón . Te compras tu talla y al final le valen a tu novio.</t>
  </si>
  <si>
    <t>Fundas termofusibles Gran variedad de colores y tamaños cumplen su cometido , nada que objetar</t>
  </si>
  <si>
    <t>Pasable Aceptable, pero no sirve para picar el hielo, que es para lo que la queria... asi que poco mas que decir...</t>
  </si>
  <si>
    <t>no recoge bien el polvo cómodo de utilizar, no es nada eficaz</t>
  </si>
  <si>
    <t>Mala calidad Mala calidad. Venía defectuoso, el regulador de temperatura no funcionaba.</t>
  </si>
  <si>
    <t>Descontento, viene en una bolsita, sin su caja original Compré este producto tras la devolución de otro Casio que era claramente de imitación, sin instrucciones y con el cristal rayado... Busqué otra opción de compra en la que estuviese seguro que venía con su caja e instrucciones de Casio originales y vi por las fotos de los usuarios que este lo traía. Para mi sorpresa, de nuevo, he recibido el artículo de la misma forma (con instrucciones, cristal protegido y parece original, eso si). Descontento por recibir de nuevo asi el porque es para un regalo, y entregar a una niña de 12 años un producto me parece muy triste...</t>
  </si>
  <si>
    <t>Muy útil Justo lo que buscaba , coloso amplio abriga pero no agobia para cuando el tiempo es fresquito en verano . La gran pega.. los ojales grandes o botones peqeños</t>
  </si>
  <si>
    <t>Fiabilidad Buena tarjeta de memoria, la marca es garantía de seguridad y fiabilidad. Buena velocidad de escritura, muy buena de lectura. Perfecta para video Full HD. Precio insuperable, compra recomendada 100%</t>
  </si>
  <si>
    <t>Normal Bien, me gustan mas los celos que salen con mas soltura, no se como explicarlo. Los de apli, son mas gorditos y cuando tiras de el no sale como q trompicones sino que sale fruido. Estos para ser d scotch son finitos</t>
  </si>
  <si>
    <t>Guapos, cómodos y buena calidad. Son muy guapos, comodos y de buena calidad, lo esperado de una marca como Vans. Los pille a buen precio reacondicionados porque nuevos me parecen muy caros para un modelo simple como este.</t>
  </si>
  <si>
    <t>La mejor pomada dentro de las de su categoria. Envío y recepción de producto dentro de los tiempos establecidos. Practico deporte de desgaste de articulaciones (rodillas etc.) y de todas las marcas y modalidades de pomada que he probado esta es la mejor. Se nota el efecto calor. Ideal para aplicar media hora antes del deporte.</t>
  </si>
  <si>
    <t>New balance Simplemente perfectas</t>
  </si>
  <si>
    <t>Perfecto Buen diseño, calidad. Es muy cómodo, la talla perfecta (yo tengo una 42) y la talla L es clavada.  Ya lo he lavado y seca ultrasonido. Totalmente recomendable por su precio y su calidad. Repetire</t>
  </si>
  <si>
    <t>Excelente calidad/precio Este producto es realmente bueno a un precio genial, he utilizado antes diversas marcas y este ha gustado tanto o incluso más que sus competidores</t>
  </si>
  <si>
    <t>masaje intensivo el producto tiene una gran ventaja es que pesa muy poco ,para cualquier talla de pie puede queda homologado y su 5 modelo de masaje son muy muy comodo , cuando esten  masaje puede aumentar mas tiempo si os gusta y diferente modo de potencia.</t>
  </si>
  <si>
    <t>Muy bien Tal y como esperaba</t>
  </si>
  <si>
    <t>Calidad 10 Me encantan, son tal cual se ven en las imágenes y me llegó antes de tiempo. Volvería a comprar de nuevo!! 😊</t>
  </si>
  <si>
    <t>Nueva vida para viejos equipos! Tenía por aquí un viejo equipo que ya le costaba arrancar y hacer cualquier cosa,  pero dado que sólo lo queremos para tareas básicas (navegar por internet, ver alguna peli, oir música y algunas tareas de ofimatica)... no queríamos invertir demasiado en ampliarlo o en cambiarlo por uno más potente.  Así que opté por ponerle un disco SSD.. y vaya cambio!  Por unos 23€ y tenemos un equipo que no tiene nada que ver con el de antes.  Arranca en cuestion de pocos segundos... 20-30!  y ahora todo es mucho más fluido...  Si queréis revivir algún viejo equipo (sobremesa o portátil)  estos discos son una excelente opción y los de este fabricante tienen una relación calidad/precio FANTASTICA!  No lo dudéis!  a por uno de ellos.  Saludos!</t>
  </si>
  <si>
    <t>Espectaculares. Que más decir de un producto de calidad a un precio que da risa. Envío en tiempo. Todo perfecto, en una zapatilla clásica.</t>
  </si>
  <si>
    <t>Firmes Para mí grata sorpresa son buenas robustas y la suela es firme</t>
  </si>
  <si>
    <t>Resistentes y cómodos He usado unos como estos durante unos 6 años de forma constante para correr y hasta hace un mes no dejó de funcionar uno de los dos. He comprado otros iguales sin dudarlo, 6 años de estos auriculares a este precio me parece muy buena inversión. Son cómodos y se oyen bien.</t>
  </si>
  <si>
    <t>Talla correcta Muy bien</t>
  </si>
  <si>
    <t>Muy cómodos La calidad va en linea con el resto de productos de la marca. Son muy cómodos una vez puestos. Lo único más incómodo es a la hora de ponértelos y quitártelos, ya que los cordones tienen mucho recorrido.</t>
  </si>
  <si>
    <t>Un acierto El producto es perfecto,tal cual lo indican, en el plazo de entrega y sin ningún problema ni fallo. Recomendable 100%</t>
  </si>
  <si>
    <t>Bastante buen producto Me ha gustado</t>
  </si>
  <si>
    <t>muy buena es muy buena para hacer ali oli mayonesa salsas triturar a mi me va muy bien. i es muy facil de usar</t>
  </si>
  <si>
    <t>Buena mopa Funciona bien teniendo en cuenta lo que es: una mopa. Recoge pelusas y polvo. No detecta escaleras, se cae por ellas. Cada gamuza se puede usar dos veces limpiandola.</t>
  </si>
  <si>
    <t>El envio Perfecto</t>
  </si>
  <si>
    <t>No recomendable Son de papel. Nada resistente</t>
  </si>
  <si>
    <t>Reloj bonito pero no es perfecto Es un reloj muy bonito, las únicas pegas es que viene con la pantalla encendida, por lo tanto la batería no durará 10 años, el reloj se raya muy fácilmente, tanto la esfera como la pulsera y por último es made in China, nada que ver con la calidad de los made in Japón. Es un reloj que dado su precio está muy bien. Ojalá tuviera un revestimiento especial la esfera.</t>
  </si>
  <si>
    <t>Normalilla No es muy eficaz pero bien para bricolaje</t>
  </si>
  <si>
    <t>No comprar No aconsejo estos auriculares porque al mes de usarlos no me funciona un auricular y por ningún lado te contestan ara la garantía 😠😠😠</t>
  </si>
  <si>
    <t>Zapatillas adidas Buena calidad y me quedan clavadas, recomendable. Despues de muchos usos siguen estando en muy buena calidad, en resumen, la recomiendo</t>
  </si>
  <si>
    <t>Perfecto Comprado el viernes y recogido hoy lunes a primera hora de la mañana, así da gusto Las cremalleras funcionan perfectamente, veía en otros comentarios que daban problemas Perfecta para llevar en la moto no abulta pero entra no necesario</t>
  </si>
  <si>
    <t>Bien . Perfecto . Pulsera un poco estrecha para mi gusto . Por la fotografía , parecía más ancha . Tamaño discreto para ser reloj  digital. Resistente . Original . Como los buenos casio : Buenos , bonitos (  unos cuantos al menos ) , baratos . Muy atento el vendedor que respondió a las dudas . Gracias .</t>
  </si>
  <si>
    <t>Recomendado Perfecto</t>
  </si>
  <si>
    <t>No se corresponde con las tallas. Pedí un 39, que es mi talla, pero las tallas de Converse son engañosas, ya que una 39 de Converse equivale a una 41 Europea, por mucho que en la solapa de la zapatilla ponga 39 Euro.</t>
  </si>
  <si>
    <t>efectivo para el pelo mezclo 6 gotas con gel de aloe vera y lo dejo en el cuero cabelludo actuar toda la noche. Por supuesto no hace milagros pero me ha revertido los micropelos que tenía a pelos normales en pocos meses. El secreto está en que fomenta mucho la circulación.</t>
  </si>
  <si>
    <t>Buena solución para compaginar pecho y biberón Ya había usado este biberón con mi hijo mayor, y fue una gran solución para dejarlo en alguna toma ya que hacíamos lactancia materna exclusiva. Con mi segundo hijo no funcionó, ya que me sacaba leche con el sacaleches y me era más fácil otro tipo de tetina. Así que si lo compras para compaginar con el pecho es perfecto. Buen embalaje, y el biberón fácil de limpiar y montar y desmontar una vez le pillas el truco</t>
  </si>
  <si>
    <t>Buen producto Un reloj muy bonito,  fue un regalo y al niño le encantó, tamaño perfecto para un niño que en este caso fue de 9 años.</t>
  </si>
  <si>
    <t>Perfectas!! Buena calidad, tamaño idóneo y llegada en buenas condiciones. Lo único que le puse una nueva cuerda porque es poca y demasiado gruesa. Pero las etiquetas son perfectas!!</t>
  </si>
  <si>
    <t>Forma muy cómoda Tiene un tamaño muy bueno y es muy cómodo. Cabe perfectamente la calculadora en la parte inferior y el resto de boligrafos....</t>
  </si>
  <si>
    <t>Buena batidora Es capaz de picar hielos gordos rapidamente, hacer cremas jugosas y dejar cualquier batido sin grumos. Se limpia muy fácilmente y el mecanismo de seguridad por si no la has encajado bien es magnifico</t>
  </si>
  <si>
    <t>Muy bien Muy bien, de número algo grande, ya se sabe que en esta marca por lo menos un número menos y en este tipo mejor 2. Hace mucho que las tengo, aguantan bien la lavadora. No perdido nada de color.</t>
  </si>
  <si>
    <t>Bonito y elegante Lo compre para regalo y está encantado. Funciona bien. La correa es marrón, no granate como se ve en la imagen. Y la esfera es de color azul marino, no azul eléctrico como en la imagen. Realmente es mas bonito en la mano que en la imagen. Lo recomiendo cien por cien.</t>
  </si>
  <si>
    <t>Un producto 10 El producto es genial cumple todas mis expectativas era lo que quería y funciona genial al principio parece incómodo pero conforme lo vas usando se ve que funciona viene muy bien para regalo. Lo recomiendo :)</t>
  </si>
  <si>
    <t>Perfectas Muy bonitas</t>
  </si>
  <si>
    <t>Se ve fantastica! Temia que al ser barata fuera pequeña o de mala calidad. Pero esta muy bien. Cabe una agua de1,5litros una libreta... y se ve bastante reforzada y casual pero muy elegante. Recomiendo su compra.</t>
  </si>
  <si>
    <t>Fantástica relación calidad-precio He flipado, por escasos 2€ una alfombrilla con base de plástico para evitar el deslizamiento. Cómoda y funcional, con la medida justa para el ratón y algo más. Recomendable 100%</t>
  </si>
  <si>
    <t>Cómodos y buen sonido He estado usando los auriculares varios días y sobretodo los uso para conectarlos al móvil, aunque también los uso con el MP4 para ir a correr. Son bastante cómodos y no se salen de las orejas al hacer ejercicio. Además la música se escucha con bastante calidad y sonido elevado.</t>
  </si>
  <si>
    <t>Perfectas Perfectas</t>
  </si>
  <si>
    <t>El producto, calidad y el tiempo de entrega. Perfecto.</t>
  </si>
  <si>
    <t>Rapidez Perfectas. Originales con todos los logos. Rapidos</t>
  </si>
  <si>
    <t>Las mejores Converse del mercado Un modelo perfecto tanto estético como cómodo, si eres un fan de las zapatillas Converse, este modelo es quizás, el más discreto ya que no se puede leer la marca en ningún sitio, te tienes que fijar mucho para poder hacerlo, y quizás es por ese detalle que tienen tanto encanto. Eso sin hablar del color negro tan genial que han creado. Compra MUY MUY RECOMENDADA</t>
  </si>
  <si>
    <t>Ideal Me encanta</t>
  </si>
  <si>
    <t>Bota Lo devolvi. No le gustó.</t>
  </si>
  <si>
    <t>Grabadora espía Solo me graba 6 notas de voz , cada una de 2 horas, no se activa con la voz, graba seguido haya que la pares</t>
  </si>
  <si>
    <t>Seriedad Cumple si función, aunque para mi gusto es demasiado endeble. Envío nada puntual llegó súper tarde.</t>
  </si>
  <si>
    <t>Falso! Parece falsa. Lo he probado y nunca me ha funcionado. Es seguramente algo no original, no lo recomendo y digo que estes productos no deberían estar aquí.</t>
  </si>
  <si>
    <t>Producto que no cumple las expectativas Producto algo diferente a la foto La capucha es muy floja y todo el material es muy fino</t>
  </si>
  <si>
    <t>Es más un Pen Drive que un Disco Duro Es más un Pen Drive que un Disco Duro SSD.  Debido a mi profesion tengo otros discos duros SSD y puedo decir que este, a pesar de la marca, que en principio se supone buena, es de una calidad malísima.  Cuando lo tienes en la mano parece que sea mas bien un juguete, o algo comprado en esas tiendas de “Todo a  1€”.  El exterior es de un material malo, y por dentro también deja mucho que desear. Ya se sabe que el mayor enemigo de estos, y otros,  dispositivos informáticos, es el calor; pues bien, este en concreto se calienta nada más ver al ordenador. Si tenéis que pasar archivos grandes o copias de seguridad que lleven un tiempo, tened cuidado, porque se calienta enseguida, y mucho, y en consecuencia se deteriora y acorta su vida útil. En realidad es mas bien una memoria USB, un Pen Drive, de mayor capacidad y conectado por cable, eso sí, pero de Disco Duro nada.  Conclusión: no lo recomiendo, a no ser que lo queráis para utilizarlo como Pen Drive y para usos esporádicos; pero para eso, esta misma  marca tiene otros dispositivos Pen Drive mucho mas económicos y de buena calidad, aunque con menos capacidad, eso sí.  Ahora bien, como disco duro, los hay mucho mejores, que apenas se calientan, con un rendimiento mejor y que tambien podéis encontrar en Amazon  Viene con formato de archivos ExFat, lo que le hace compatible con Mac y PC, pero también reduce la capacidad de almacenamiento: El SanDisk de 1 Tb, en un Mac, unos 100 Gigas menos respecto de si lo formateamos al sistema de archivos propio de Apple.  También trae una aplicación (Para windows) por si queremos encriptar archivos dentro y mantenerlos seguros. Para Mac hay que descargarla en su web. Es bastante antigua y pobre en el funcionamiento, con una interfaz que recuerda a los primeros ordenadores de los años 90 o así, aunque cumple su función de mantener los archivos relativamente seguros. Nos da la opción (de pago) de aumentar el nivel de encriptacion y seguridad.  Por su parte, y como siempre, Amazon un 10 en el envio, la entrega y los plazos.</t>
  </si>
  <si>
    <t>Adecuados Adecuados. Me parecían más pequeños en la foto pero aún así quedan bastante bien</t>
  </si>
  <si>
    <t>Mila Recomiendo 2 tallas más gasto un 38 pedí un 39 y me estaban pequeñas el servicio post venta bien.... Aceptable</t>
  </si>
  <si>
    <t>estupendo articulo estoy contenta con este producto me va muy bien</t>
  </si>
  <si>
    <t>opinion no me ha gustado lo rápido que se ensucia el filtro., pero todo lo demás cumple sus expectativas. Muy versátil  y ligero. recomendable para todo tipo de limpiezas.</t>
  </si>
  <si>
    <t>Polivalentes y equilibradas. Cómodas pero no desde el primer día. Necesitan rodaje. Elegí un número mas y con calcetines técnicos grueso medio me quedan algo holgadas. Con gruesos aún no he probado pero imagino que quedarán bien pero es que ya con los medios saco el pié mojadito por condensación en temperaturas de 5-10°C que viene a ser su temperatura de uso estandard, y no suelo transpirar por los pies. Para ese uso medio número sería es suficiente en mi caso. En asfalto duras. En senda van mucho mejor. Espero no tener problemas con desprendimientos de suela o filtraciones de agua. De momento bien pero sin prueba exhaustiva.</t>
  </si>
  <si>
    <t>Seriedad Super buena calidad , y buen precio.</t>
  </si>
  <si>
    <t>Muy bonitos Muy chulos, los pendientes son realmente bonitos, discretos con tamaño perfecto y vienen perfectos con si caja prastificada. Muy contenta con los pendientes de perla.</t>
  </si>
  <si>
    <t>Una zapatilla increíbles Es una deportiva increíble queda perfecta , y la verdad q los remates de la zapatilla y los terminados están muy bien acabados como las de anteaño , la talla perfecta yo uso un 38 y pedí un 38 y me queda de lujo. Menos mal q no hice caso a los comentarios de pedir medio número o un número  más xq me hubiera quedado grande . Compra 100% recomendable.  Gracias</t>
  </si>
  <si>
    <t>Perfectos Son preciosos, la almohadilla muy blandita y funcionan perfectamente. A mi hijo de 2 años le queda algo grande en la versión más cerrada pero era algo que ya esperaba</t>
  </si>
  <si>
    <t>Buena calidad-precio muy recomendables Son una maravilla, he comprado varios aceites esenciales y tienen olor muy débil o apenas huelen en el humidificador pero estos tienen  un aroma intenso sin ser desagradable ni muy fuerte y dejan un agradable y duradero olor. Vienen seis botecitos y todos huelen genial</t>
  </si>
  <si>
    <t>Calidad y precio El producto tiene buena paciencia aún no he podido usarlo veremos a ver con el uso el resultado y la calidad</t>
  </si>
  <si>
    <t>Todo ok Cable bueno y cumple con la descripción del anuncio materiales de calidad por un precio mínimo vendedor 100x100 recomendable el primer envío se perdió en el camino pero el vendedor solucionó el problema rápidamente enviando otro</t>
  </si>
  <si>
    <t>Cada vez más en desuso pero buena marca y producto Es una de las marcas más conocidas en el mercado y no decepciona, el problema es que los móviles no te permiten pasar todas las apps a la microSD</t>
  </si>
  <si>
    <t>Masajeador cuello, hombro, espalda. Producto muy bueno, lo recomiendo, lo usa toda la familia, lo puedes acoplar a cualquier silla a la altura que desees.</t>
  </si>
  <si>
    <t>Muy bonito Muy bonito, igual que la descripción, un tamaño ideal y queda muy fino. Llega muy bien presentado, en una caja de joyería y con gamuza. Tanto para ti como para regalar es perfecto!</t>
  </si>
  <si>
    <t>todo está bien</t>
  </si>
  <si>
    <t>Llegó muy rápido, y sin problemas de conexión bluetooth ni duración de batería Llegó muy rápido, y sin problemas de conexión bluetooth ni por ahora queja sobre la duración de batería. A ver si tiene una buena vida útil. Lo digo poque tuve otra marca antes que me funcionó muy bien hasta que se rompió uno de los cables de audio por una debilidad, en mi opinión, estructural de los aurculares que al final fue efectivamente su final.</t>
  </si>
  <si>
    <t>Calidad Buena compra. Suficientemente grande para lo que necesitaba sin ser aparatosa. Muy buena calidad</t>
  </si>
  <si>
    <t>ya hace 2 años ya hace 2 años y van perfecta aun, pensando que se las pones dos niñas y estan encantadas, muchas gracias , ,</t>
  </si>
  <si>
    <t>Espectacular Tengo varias botellas de cristal dónde pongo gazpacho...leches vegetales y otras bebidas. Con limpiaplatos y lejía es con lo que solía limpiarlas y no quedaban bien. Ahora pongo una gota de friegaplatos...un pelín de agua y las bolitas...remuevo unos segundos y el cristal queda brillante e impoluto.</t>
  </si>
  <si>
    <t>Muy cómodo Es fino de entretiempo lo compré para mi hija y le encanta muy cómodo y buen genero</t>
  </si>
  <si>
    <t>fantastico hola he comprado esos maravillosos skechers y me vienen de maravilla comodos y facil de usar lo recomando,la talla es exactamente lo que pone....saludos</t>
  </si>
  <si>
    <t>Impecable. Llego dos días antes. Perfecto. Ya no me la puedo quitar. Es bastante espaciosa aunque parezca que no. La verdad que calidad precio imposible pedir más.</t>
  </si>
  <si>
    <t>Tallaje grande, buen producto El tallaje es algo grande, he tenido que cambiarlas y pedir un número menos. Son muy cómodas, ya son mis favoritas.</t>
  </si>
  <si>
    <t>Pantalón de chándal normal. Un pantalón de chándal normal y corriente, grosor medio, no abriga mucho, para primavera perfecto. El color es idéntico a la foto, pero da mucha talla, pedí una S y me queda muy grande. Uso una 36/38 de pantalón normalmente.</t>
  </si>
  <si>
    <t>No son practicos Me encuentro con problemas de ruidos mecanicos. El boton es demasiadl aparente y se pulsa demasiado facilmente. Por ejemplo cuando pones la cabeza en la almohada.</t>
  </si>
  <si>
    <t>Se me han arrugado las plantillas en una semana de uso Muy cómodas,pero en una semana de uso se están arrugando las plantillas en la parte del talón,lo que no sé si seguirán arrugándose o se queda así,el uso que le doy es un uso totalmente normal o más bien poco... Esperemos que nó sigan deteriorándose...</t>
  </si>
  <si>
    <t>Laura Las zapatillas estan bien, tallan correcto pero los cordones se rompieron una semana despues de estrenar los, tube que comprar otros.</t>
  </si>
  <si>
    <t>si mueves el jack deja de funcionar el microfono en el adaptador el producto funciona correctamente siempre y cuando encuentres la posición del jack macho que metes, si no, no detecta el micrófono, normalmente compro ugreen por la calidad pero esta parece ser una mala unidad, devolución y a la espera de una nueva unidad</t>
  </si>
  <si>
    <t>No estoy contento con la compra Soy comprador habitual de Adidas, tengo cerca de 10 pares de zapatillas de la marca y éstas han sido las únicas que me hacen daño en los talones. Tengo el mismo modelo en otro color y la misma talla y nunca me ha hecho daño. Pero llevo con estas 3 semanas y siguen haciendo el mismo daño que el primer día...........a mi me da qué pensar si realmente son verdaderas o el producto tiene un fallo.  Además, ya se ha despegado un poco la goma del talón cuando se une a la piel de la parte posterior, vuelve a darme qué pensar.</t>
  </si>
  <si>
    <t>Los antiguos funcionan mejor Use esta marca en mi anterior hijo y como sistema anticolico es genial. Pero el sistema nuevo de la válvula va mal. Se sale muchas veces la leche por la boquilla de la rosca. Los viejos funcionaban mejor</t>
  </si>
  <si>
    <t>Bueno,bonito y barato Lo compré para guardarlas documentos de una asociación y eso es lo que hace.No es un Ferrari de rápido,pero tampoco es muy lento.</t>
  </si>
  <si>
    <t>Práctica solución para mi cocina Escogí este producto por lo que me pareció un equilibrio entre calidad y precio y creo que no me equivoqué: - Se cuelga con facilidad en la pared (en mi caso con cuelgafácil) - Los rollos se instalan sin complicación. - El corte del papel film es perfecto pero en mi caso el del papel de aluminio tengo que presionar un poco o no corta y por ese motivo no le doy las 5 estrellas (no es gran molestia). - El diseño es discreto y queda bien en la cocina</t>
  </si>
  <si>
    <t>Buena compra Rápida entrega. El reloj es bonito, la correa tiene dos tonos, brillante y mate. El único pero es que al recibir el reloj,este ya venía funcionando. Por lo demás buena compra</t>
  </si>
  <si>
    <t>Buena opción Buena opción si coges la bici ocasionalmente y quieres disfrutar de las ventajas de los pedales automáticos</t>
  </si>
  <si>
    <t>Compra perfecta El primer G-Shock que compro y NO será el último.  PROS: - Es grande, robusto y no pesa. Se adapta perfectamente a mi muñeca. - Funciones: justo lo que necesitaba. Alarmas (4 normales y 1 despertador) con sonido y luz o con vibración, aviso de hora en punto, cuenta atrás (lo mejor de esto es que puedes iniciarla con la pantalla de la hora sin tener que ir al menú) y cronómetro. También hora mundial. - La pantalla en negativo lo hace original. - Los segunderos de arriba y el indicador de funciones en plan radar la le dan un toque.  CONTRAS: - La única "pega" que le pongo es que me da la sensación que la alarma es un poco baja.</t>
  </si>
  <si>
    <t>Genial Justo lo que estaba buscado</t>
  </si>
  <si>
    <t>Increíble Llegó pronto, está construido en metal, con una calidad impensable para ser un producto de un precio tan asombrosamente reducido. Bastante sorprendido con la calidad del producto y del sonido que puede grabar. ¡Muy recomendable!</t>
  </si>
  <si>
    <t>Funciona bien Muy bien la calidad Podría mejorar el controlador de volumen. Tiene muy poco recorrido</t>
  </si>
  <si>
    <t>Buena compra, un regalo perfecto Es un regalo que le he comprado a mi sobrina y no se lo quita nunca,, tiene 13 años está encantado con él ajustar brillo y tiene unos colores muy bonitos, la cadena no es de plata pero ni pierde el brillo ni coge manchas ni se oscurecen ni nada por el estilo</t>
  </si>
  <si>
    <t>Tal como aparece Tal como aparece en la descripción. Funciona correctamente. Parece fuerte.</t>
  </si>
  <si>
    <t>Súper eco Buenos para toda la limpieza</t>
  </si>
  <si>
    <t>Rápido y como esperaba Pedí las zapatillas que utilizo a menudo pero media talla más. Me quedaron grandes y las cambié. Al día siguiente tenía las nuevas en casa.  Las zapatillas son las Vans clásicas de toda la vida, cómodas una vez las has trabajado. Para verano, perfectas.</t>
  </si>
  <si>
    <t>Se me queda enganchado en la marcadora Una de las cintas se me quedo y encganchada y tuve que acabar tirando de ella con muhca fuerza. Esto no me ha pasado con las originales. Por lo demas son cintas que cumplen su funcion y que merecen la pena. Además de la comunicación con él proveedor ha sido buena e incluso me querían devolver el importe del pedido o mandarme otra vez las cintas</t>
  </si>
  <si>
    <t>Esta muy bien de precio La verdad es que me llegó un elefante en vez de el gato, pero es igual de bonito.</t>
  </si>
  <si>
    <t>Parecen manos &lt;div id="video-block-R1WUQVMA1HOQOX" class="a-section a-spacing-small a-spacing-top-mini video-block"&gt;&lt;div tabindex="0" class="airy airy-svg vmin-supported airy-skin-beacon" style="background-color: rgb(0, 0, 0); position: relative; width: 100%; height: 100%; font-size: 0px; overflow: hidden; outline: none;"&gt;&lt;div class="airy-renderer-container" style="position: relative; height: 100%; width: 100%;"&gt;&lt;video id="47" preload="auto" src="https://images-eu.ssl-images-amazon.com/images/I/91uK+SdTrKS.mp4" style="position: absolute; left: 0px; top: 0px; overflow: hidden; height: 1px; width: 1px;"&gt;&lt;/video&gt;&lt;/div&gt;&lt;div id="airy-slate-preload" style="background-color: rgb(0, 0, 0); background-image: url(&amp;quot;https://images-eu.ssl-images-amazon.com/images/I/91fNxMTGbUS.png&amp;quot;);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center;"&gt;0:00&lt;/div&gt;&lt;div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value="https://images-eu.ssl-images-amazon.com/images/I/91uK+SdTrKS.mp4" class="video-url"&gt;&lt;input type="hidden" name="" value="https://images-eu.ssl-images-amazon.com/images/I/91fNxMTGbUS.png" class="video-slate-img-url"&gt;&amp;nbsp;Hola, este cojín masajeador ha sido una buena compra, tan buena que siempre está ocupado, o lo tiene mi mujer o lo tienen los niños, la verdad es que está muy bien, parecen unas manos las que te hacen el masaje, si pulsas dos veces se activa la función calor, lo recomiendo</t>
  </si>
  <si>
    <t>Un gran micrófono. Sin duda un gran micrófono a muy buen precio (también he de decir que yo lo compré durante el Black Friday a 99.99€). Tenía pensado comprar el snowball (el que se puede poner en omnidireccional ya que es un patrón que necesito) cuando me encontré este por un poco más por lo que decidí compralo y no me arrepiento. Pero he de decir que a su precio normal (entre 150€ y 160€) si no necesitas los diferentes modos de grabación y te sirve solo con cardioide, el snowball es una opción mucho más barata a tener en cuenta, eso si con una calidad de audio un poco inferior (muy poco inferior).</t>
  </si>
  <si>
    <t>Excelentes Buenisimos</t>
  </si>
  <si>
    <t>Buen sonido. Tienen un diseño bonito, son pequeños, comodísimos y se ajustan genial a los oídos. El sonido es de muy buena calidad y nitidez. La batería es de gran duración, indicando lo que queda de batería en el estuche de carga, a través de una pantalla. El conector para cargar el estuche, es de tipo C, cable incluido. Se emparejan fácil y rápidamente con el dispositivo. Responden al tacto, con un suave toque, permitiendo controlar la música y las llamadas. En el manual biene incluido el español.</t>
  </si>
  <si>
    <t>Ideal Estupendo producto para el invierno, fácil de usar, calentar agua y añadir dentro. Muy suave, diseño precioso. Yo la pongo dentro de la cama 1h antes de dormir y me va genial.</t>
  </si>
  <si>
    <t>Bons per a lactancia mixta Fem lactancia mixta i ens funcionen a la perfecció</t>
  </si>
  <si>
    <t>Medidas perfectas espacios reducidos Perfecto para espacios estrechos</t>
  </si>
  <si>
    <t>Baja calidad Se rompieron por la punta a los pocos meses. Puma está bajando la calidad de sus productos.</t>
  </si>
  <si>
    <t>pequeños de talla compré una 43  y mi hijo utiliza una 41, y le quedan muy justos, por lo que recomiendo compra dos tallas mas grandes de la normal. están bien, son de calidad y mullidos, pero tampoco son nada especial, los he lavado y ya han salido algunas bolitas pequeñas, pero conservan el tipo.....</t>
  </si>
  <si>
    <t>No es lo que esperaba Lo he devuelto porque viene sin pila y sin la garantía sellada.</t>
  </si>
  <si>
    <t>Ni fu ni fa La tela deja mucho que desear.</t>
  </si>
  <si>
    <t>Miguel Ángel No sirven porque no encajan bien en el oído. No sé caerán de la oreja, pero al no encajar bien en el oído, deja pasar demasiado ruido exterior, por lo que hay que subir demasiado el volumen para escucharlos (probados en el gimnasio). Además son incómodos sobre el oído porque no tienen almohadillas. Quería probar estos porque tengo unos auriculares in-ear baratos que se me sueltan al correr. Solución: compraré otros in-ear de mejor calidad y con almohadillas de varios tamaños.</t>
  </si>
  <si>
    <t>Como esperaba Calidad-precio aceptable, si lo quieres con pasta dura hay que gastar mas dinero</t>
  </si>
  <si>
    <t>Calidad Excelente calidad, permite colocar de forma organizada todos los cables de casa.  Muy satisfecho</t>
  </si>
  <si>
    <t>Microfono todoterreno Pues después de casi un año con el, decir que es indestructible, y que si bien no es un shure sm58, también cuesta 5 veces menos, cumple su papel a la perfección en el local.</t>
  </si>
  <si>
    <t>Bandolera de hombre Cuidado con las cremallera son algo fragiles.  Pero por lo demás cumple</t>
  </si>
  <si>
    <t>Anillo recomendable. Fenomenal para su precio.Igual que el original.Recomendable.Llegó antes del tiempo estimado,llegó en muy buenas condiciones,bien protegido y es de muy buena calidad.</t>
  </si>
  <si>
    <t>Estupendos! Hemos probado varios biberones de distintas marcas y losTommee Tippee son con diferencia los que más nos gustan a nosotros y a nuestro bebé.</t>
  </si>
  <si>
    <t>Muy buen articulo para la temporada de invierno. Muy confortables. Producto original que cumplen mis expectativas al 100%</t>
  </si>
  <si>
    <t>Justo como lo imaginaba. Gran compra. Bonito, duro y grande sin resultar exagerado incluso en muñecas estrechas. Me ha sorprendido lo ligero que es. La combinación de colores me encanta. Calidad Casio, está todo dicho. Recomendado.</t>
  </si>
  <si>
    <t>Sin quejas Muy bonito mouse pad negro. Puede lavarlo si se ensucia y no se deshace ni nada.</t>
  </si>
  <si>
    <t>Ceremonia de te japones Un kit con muy buen precio.</t>
  </si>
  <si>
    <t>Buen micro Le falta un led que indique estado de la pila</t>
  </si>
  <si>
    <t>Estupenda tarjeta de memoria de fabricante reconocido. Estupenda tarjeta de memoria de fabricante reconocido. Con ella puedes ampliar la capacidad de tu dispositivo movil o tablet y no preocuparte por la cantidad de fotos o música que vayas metiendo dentro, 32 gb dan para mucho. Además es de categoria 10 y eso da unas tasas de lectura y escritura sobre la tarjeta muy buenas y por supuesto muy superiores a las de las tarjetas iguales en capacidad pero de categoría 4. A mi juicio vale la pena comprar las de categoría 10 frente a las de categoría 4. El fabricante es un reconocido proveedor de dispositivos de memoria ram, discos ssd, tarjetas de memoria, etc. Para mi una opción muy acertada.</t>
  </si>
  <si>
    <t>Genial Han llegado antes de lo previsto. Muy contenta porque era para un regalo. Son muy originales y la calidad es bastante buena para el precio que tiene.</t>
  </si>
  <si>
    <t>Good product All good</t>
  </si>
  <si>
    <t>Son auténticos, de piel. Deportivos auténticos. Son los originales. De piel. Mi hija usa un 37,pedí 37,5 y le quedan perfectos. Ella tiene el pie estrecho por lo que con medio número más le es suficiente. Calzan algo pequeños por lo que tendréis que pedir medio o un número más. Encantada con la compra. Llegó antes de lo esperado.</t>
  </si>
  <si>
    <t>Se ajusta a la descripción Producto de buena calidad.</t>
  </si>
  <si>
    <t>Precioso regalo Me ha encantado tanto a mí como a mi mujer. Tiene un buen tamaño, ni muy grande ni pequeño. Los acabados son buenos y bonitos, cuando le refleja la luz a los cristales, brilla muy chulo. Todo parece de buena calidad estoy muy contento por comprarlo y mi mujer por el regalo.</t>
  </si>
  <si>
    <t>Todo perfecto! Super bonitas. Algo mas grueso el tejido que las converse clásicas. Me cogí mi número y tuve que cambiar por uno menos. Llegó antes de lo previsto. Muy contenta!</t>
  </si>
  <si>
    <t>Calidad Muy buena, gran adhesividad</t>
  </si>
  <si>
    <t>Muy bueno. Buen producto me limpia bien las pantallas y deja buen olor. Se seca enseguida rápido y eficaz. La única pega es que venía algo abierto y la bolsa venia un poco mojada.</t>
  </si>
  <si>
    <t>Perfecto Un producto genial y con mucha calidad a un buen precio.</t>
  </si>
  <si>
    <t>MUY BONITOS MUY BONITTOS SUGIERO PIDAIS UNA TALLA MENOS PARA QUE QUEDEN JUSTOS Y NO SE SALGAN EN EL AGUA.</t>
  </si>
  <si>
    <t>Justo tamaño Para lo que yo necesitaba está muy bien. Tamaño ni Mu grande ni pequeño. Lo justo</t>
  </si>
  <si>
    <t>Deja mucho que desear He devuelto el aparato porque la batería empieza a fallar en su segunda semana. Apenas limpia una habitación y ya le cuesta limpiar la siguiente por lo que los metros de limpieza que prometia en mi caso no se han cumplido. Respecto al fregado en si mismo deja mucho que desear al igual que otro aparato que tengo de origen chino mucho mas barato porque a ambos les falta intensidad de fregado, no es suficiente con pasar un paño húmedo para desincrustar la suciedad me temo que aún falta para poder contar con un buen fregasuelos automático a nivel residencial.</t>
  </si>
  <si>
    <t>Práctico, sin ser excepcional Buena relación calidad precio</t>
  </si>
  <si>
    <t>Comodo Muy calentitos</t>
  </si>
  <si>
    <t>No noto mejoria Esperaba más  del producto, llevo una semana y no he notado mucha mejoría,yo usaba flogoprofen y notaba más alivio del dolor cervical</t>
  </si>
  <si>
    <t>Fallo de disco Me ha durado ocho meses, ha empezado a dar errores de disco y ni formateándolo de nuevo ha vuelvo a arreglarse. Un desastre vamos.</t>
  </si>
  <si>
    <t>Buen disco duro. Me ha gustado bastante este disco duro, es de mi madre y funciona bien, ella lo utiliza para guardar fotos, documentos, etcétera para un uso no muy profesional va bien, la transferencia de datos podría ser algo mejor pero en general bastante bien.</t>
  </si>
  <si>
    <t>Me ha gustado mucho la sudadera pedida Se tal y como esperaba y lo mejor es que ha llegado antes</t>
  </si>
  <si>
    <t>Bonito reloj Debo reconocer que en la foto se ve mejor. Aún así el reloj es muy bonito, se nota su buena calidad. Lo recomiendo.</t>
  </si>
  <si>
    <t>Facil de montar Muy práctica</t>
  </si>
  <si>
    <t>Bibis Los vemos muy bien fue para un regalo</t>
  </si>
  <si>
    <t>Comodidad Supercomoda, estoy encantada</t>
  </si>
  <si>
    <t>Muy recomendable. Por los comentarios, no tuve duda en comprarlo. Se lo compre a mi novia para hacerle un regalo exporadico, y me encantó. Nada más ver la caja sabes perfectamente que es un muy buen producto.</t>
  </si>
  <si>
    <t>Fantastica Cumple mis expectativas. Caliente en diferentes niveles y caliente muy bien. el tamaño es el adecuado y el tacto es super agradable, además lleva una funda. La recomiendo</t>
  </si>
  <si>
    <t>ESTUPENDO!!! EL SONIDO ES ESPECTACULAR, Y ES MUY COMPLETO. ME ENCANTA!!</t>
  </si>
  <si>
    <t>Precio inmejorable Por este precio no puedes pedir más. Auriculares básicos de Sony a un precio muy recomendable. Muy bien lo de plegarse ya que así no ocupan apenas espacio. Las almohadillas no ocupan totalmente los oídos, pero para un rato que es para lo que los utilizo, me bastan.</t>
  </si>
  <si>
    <t>Simple, cómodo y duradero Son las segundas que compro porque las primeras fueron sencillamente perfectas, dentro de unos años comprare un tercer par. Perfect</t>
  </si>
  <si>
    <t>Está muy bien Era un regalo, acerté de pleno. Es muy buen producto</t>
  </si>
  <si>
    <t>Perfecto Vaya descubrimiento! Mi hijo no quería ningún Bibi y este si lo coge ...tiene 5 meses</t>
  </si>
  <si>
    <t>Mi hija está encantada Producto original, envío antes de lo esperado, número elegido correctamente (aconsejo ver las tablas de tallas y guiarse por la longitud del pie en centímetros: es la única manera fiable de saber las equivalencias entre diferentes marcas de calzado). Muy bonitas.</t>
  </si>
  <si>
    <t>TODO PERFECTO, UN 10! PERFECTO TODO. La calidad, el trato del vendedor, el detalle de la cajita con Púas además de darle un bonito toque estético 1ue nunca está de más.  Un 10!</t>
  </si>
  <si>
    <t>jersey fino para entretiempo jersey de algodón fino, para verano o entretiempo, de momento muy contento con su compra</t>
  </si>
  <si>
    <t>La comodidad Me a gustado mucho .. Es como lo esperaba buena calidad y super comodos</t>
  </si>
  <si>
    <t>Bandolera Pepe Jeans color negro Elegante y cómoda para caballero. Tiene muchos bolsillos de ordenación. Muy recomendable para llevar todo organizado.</t>
  </si>
  <si>
    <t>Vanessa Muy buena calidad y muy bien el tallaje. Personalmente el producto es mejor que en la foto y los colores muy bonitos</t>
  </si>
  <si>
    <t>La relacion calidad precio Lo unico mas problematico con respecto a los originales es la mayor dificultad en quitar los papeles protectores de la goma adhesiva, pero por el precio vale la pena ese pequeño esfuerzo y la calidad del plastico es buena y con un blanco muy bueno, la adhesividad es perfecta. Tan solo falta comprobar que no se oscurezcan con el tiempo. Espero que no y no tengo motivos para pensarlo.</t>
  </si>
  <si>
    <t>La calidad precio Todo perfecto</t>
  </si>
  <si>
    <t>Anillos Artículo exacto, muy bonito</t>
  </si>
  <si>
    <t>Super comodas, y sorprendentemente ligeras Super comodas, y sorprendentemente ligeras</t>
  </si>
  <si>
    <t>Lo esperado Funciona muy bien, sin problemas</t>
  </si>
  <si>
    <t>Faltaban partes. Pensaba que siendo gestionado por Amazon y habiéndose quejado ya varias personas de que les faltaban pendientes en el set, habrían sido más cuidadosos y haber mirado que no faltase nada, pero me ha faltado un par de pendientes. Una pena. Los he devuelto sin problema.</t>
  </si>
  <si>
    <t>No valen lo que cuestan Parecen bisuteria son muy pequeños y los cierres flojos me los quedo por que si no me quedo sin regalo de reyes pero son caros para lo que son.</t>
  </si>
  <si>
    <t>producto defectuoso No la detectaba el ordenador ni la camara y eso que probe en varios equipos , la operadora de Amazon me dijo que lo mas seguro es que era defectuoso</t>
  </si>
  <si>
    <t>CONTRASEÑA NO FUNCIONA Buenas tardes, hemos estado probando para poder cerrarlo y abrirlo con la contraseña que viene en el manual y no funciona, necesito saber si hay alguna posibilidad de solucionarlo o bien pediría la devolución del producto. quedo a la espera.</t>
  </si>
  <si>
    <t>Después de 8 meses ha dejado de funcionar Pues la verdad que iba bien, pero llevaba un mes que se escuchaba peor, y ya ha dejado de funcionar, solo escucho un zumbido contínuo. Pero en Amazon no veo como solucionarlo.</t>
  </si>
  <si>
    <t>Muy buen precio Un aceite esencial muy práctico para numerosas afecciones, el tamaño es bastante grande 120 ml, tenerlo en cuenta por que es de lo más barato que podéis encontrar. Además dispone de un práctico dosificador de gotas.</t>
  </si>
  <si>
    <t>Bonitas Muy bonitas, me encantan. Aunque a pesar de coger una talla más grande a la habitual, al principio, hasta que se hacen al pie, aprietan un poco. Luego ya bastante bien, con plantilla muy cómoda.</t>
  </si>
  <si>
    <t>Buena ayuda para dormir Muy contento con el producto, a mi me ayuda más en los momentos que me despierto en mitad de la noche que en el momento de acostarme. El concentrarte en la respiración y seguir su ritmo evita que te pongas a darle vueltas a la cabeza ... de momento estoy usando más veces los ciclos de 8 minutos que los de 20, pero alguna vez he tardado algo más de la cuenta en dormirme y he tenido que extender el tiempo.  No hace ningún ruido, ocupa poco espacio y la luminosidad es adecuada como para no molestar a tu pareja</t>
  </si>
  <si>
    <t>Buen regalo para mujer El producto llegó rápido y está bien, es bonito. Buen regalo para pareja o familia.</t>
  </si>
  <si>
    <t>Buen reloj relación calidad-precio Buena relación calidad precio. Como siempre Casio no defrauda.  Reloj tipo diver de tamaño comedido, aspecto robusto. La correa tiene buena pinta también. Los números disponen de lumen suficiente para verlo en la oscuridad. El indicador del día del día del mes cumple.  Como negativo tal vez que lo veo un pelín pequeño, la falta de luz al estilo timex y el no tener indicador del día de la semana.</t>
  </si>
  <si>
    <t>Muy cómodas y de buena calidad Los materiales son de muy buena calidad, me guatan mucho los colores. Aunque me quedan un poco justas son muy cómodas.</t>
  </si>
  <si>
    <t>Z Top tudo perfeito</t>
  </si>
  <si>
    <t>Rápido Lo compré para sustituir la unidad HDD de un portátil con 10 años (procesador celeron) y la verdad es que ha mejorado mucho, parece otro. Evidentemente no se convierte en un i7, pero para ofimática e internet da un resultado muy aceptable.</t>
  </si>
  <si>
    <t>Mejor compas que he tenido Yo normalmente usaba los standler de toda la vida pero que cambio por dios al usar este. Primero la punta cuando la clavas no se va a mover ni con un seismo de magnitud 9 y segundo el sistema para hacer el circulo mas grande es muy preciso</t>
  </si>
  <si>
    <t>Buen producto Me ha gustado mucho... me sirve para vaciar mi iPhone y que no esté siempre lleno.... tb como disco duro portátil para documentos etc.....</t>
  </si>
  <si>
    <t>Barato Comodas</t>
  </si>
  <si>
    <t>Muy logrado Pasa por uno original perfectamente,  no nota la diferencia de los otros.</t>
  </si>
  <si>
    <t>Un bolso estupendo Estoy contento con la compra,el bolso es de piel auténtica muy suave y con muchos departamentos muy aprovechable. Recomiendo su compra.</t>
  </si>
  <si>
    <t>excelente bota liviana, con buen agarre, muy abrigada, tiene una muy buena calidad y no tiene un aspecto muy de montaña asi que para un dia de lluvia y andar por la ciudad queda bien, es bastante fina y liviana lo cual a primera impresion me dio una mala impresion acostumbrado a botas pesadas y gruesas, por ahora llevo desde que la compre probandolas constantemente en el otoño ingles y el polaco y hasta ahora resisten perfectamente.</t>
  </si>
  <si>
    <t>No te defraudarán Los he estado usando casi diariamente durante meses en el trabajo y no puedo recomendarlos más. Son cómodos, no resbalan, se ajustan perfectamente al pie y siguen prácticamente como el primer día. Una compra perfecta</t>
  </si>
  <si>
    <t>Tal y como esperaba. Para mi gusto relación calidad precio es una gran compra. Un reloj versátil, bonito y con muchas funciones. La única pega que le puedes encontrar es la luz (La pantalla digital no es retro-iluminada), cosa que personalmente no me molesta.</t>
  </si>
  <si>
    <t>Buena conexión y velocidad de transmisión. Memòria muy versátil, ideal para pasar archivos entre el móvil y el ordenador. Tanto el móvil como el pc la reconocen sin problema y a la primera. La velocidad de transmisión es buena. Yo personalmente lo uso para descargar vídeos de YouTube para mi hijo y poder verlos en la tele sin problemas.</t>
  </si>
  <si>
    <t>Facil instalación Tan fácil la instalación que fue poner las pilas, dar al botón de encendido y oír perfectamente la televisión sin conexión de ninguna clase. Además, tiene bastante calidad de audución</t>
  </si>
  <si>
    <t>Buen biberon y bonito Muy bonita y duradera , la verdad que nos gusta, siempre hemos usado biberones de cristal y plástico, pero este nos gusta más, mi peque le gusta, el tamaño esta bien aunque si mejorarían con varios tamaños sería perfecto, la botella es de 180ml , no sale ni una gota de líquido al tumbarlo, sin duda volveria a comprar.</t>
  </si>
  <si>
    <t>Agua hirviendo en tan solo unos minutos &lt;div id="video-block-R3NL85M06KDYKI" class="a-section a-spacing-small a-spacing-top-mini video-block"&gt;&lt;/div&gt;&lt;input type="hidden" name="" value="https://images-eu.ssl-images-amazon.com/images/I/B1oJQy2+e0S.mp4" class="video-url"&gt;&lt;input type="hidden" name="" value="https://images-eu.ssl-images-amazon.com/images/I/716m71steWS.png" class="video-slate-img-url"&gt;&amp;nbsp;He comprado este hervidor principalmente para calentar el agua para tomar el mate. Tiene una gran capacidad (poco más de 1 litro y medio), y está hecha de acero inoxidable. Se puede apreciar claramente que es de muy buena calidad. La utilizo diariamente para el agua del mate, que no tiene que llegar al punto de ebullición. Pero también he preparado infusiones y lo bueno es que el agua hierve en tan solo unos minutos. Es de fácil mantenimiento y además se puede extender su garantía a tres años.</t>
  </si>
  <si>
    <t>David Funciona perfecto y los distintos niveles de calor están bien escalonados. Poder lavar la funda interior es un plus de higiene. Quizás la única pega (por buscar algo) es que el cable es algo corto para mi gusto teniendo en cuenta que a los pies del sillón no suele haber un enchufe cerca.</t>
  </si>
  <si>
    <t>Precioso reloj. Estéticamente es precioso, queda muy bien con ropa deportiva e incluso con algunas camisas,es un reloj bastante llamativo. Siguiendo las instrucciones no es difícil de poner en hora. Lo recomiendo totalmente y ya estoy en busca de otro g-schock en color blanco.</t>
  </si>
  <si>
    <t>buen producto lo pedí por limpiar ventanas y mampara de la ducha, la verdad es que estoy contento con el pero no creo que tenga mucha diferencia a otros mas económico, también destacar que lo encontré mas económico en una tienda de barrio de la misma marca, aunque solo unos céntimos por lo que no me valía la pena realizar devolución o pedir reembolso.</t>
  </si>
  <si>
    <t>Dura poco Mientras dura sin romperse, perfecto y cómodo. Como todos los de este estilo, buen funcionamiento pero malísimo material, que dura un mes. Se rompe el plástico del aro por las juntas con los auriculares y ya no hay quien lo use. Más de lo mismo.</t>
  </si>
  <si>
    <t>Demasiado grande la tuve que devolver, y no tune ningún problema con el vendedor</t>
  </si>
  <si>
    <t>Poco que añadir La verdad ya sabía lo que compraba por todas vuestras opiniones, todos los USB OTG que llevo probádo les pasa lo mismo, leen bien y escriben fatal.. tanto da el formato que se use fat32, nfst,  exfat.. tanto en el PC como en el smartphone al pobre no le gusta nada escribir. En el CrystalDiskMark no saca malos números pero a la hora de la verdad..</t>
  </si>
  <si>
    <t>Muy disgustado con la compra Después de un año de uso el reloj extrañamente dejó de funcionar</t>
  </si>
  <si>
    <t>Pequeño Demasiado pequeño</t>
  </si>
  <si>
    <t>Calidad precio muy buena Envío rápido y el limpiacristales hace su función, contento con la compra.</t>
  </si>
  <si>
    <t>opnion calidad precio, perfecto</t>
  </si>
  <si>
    <t>Silencioso Me ha gustado su funcionamiento tan silencioso que parece que está apagado. De momento estoy copiando mis antiguos discos en el nuevo y no puedo valorar su funcionamiento normal. Parece que va a responder bien. Su calentamiento no es excesivo y lo digo despues de estar casi 72 horas encendido continuamente, mientras hago la clonación. Todo me hace pensar que funcionará bien y estaré contento con la compra.  Al ser un comentario prematuro es por lo que no le doy las 5 estrellas. El vendedor lo envió rapidísimamente y Amazón de 10 como siempre.</t>
  </si>
  <si>
    <t>Muy bonito Este collar venía muy bien presentado pero pese a ser muy muy bonito me lo esperaba un poco más grande. A mi amiga le encantó</t>
  </si>
  <si>
    <t>Muy buena compra para estudiantes. Capacidad máximo 20hojas A4 90gr/m². Buena calidad y buen precio, relación inmejorable y un aparato muy util. La única desventaja es el espacio que ocupa. En unos 3 paquetes de 500 folios es una herramienta amortizada, si se utiliza como sustituto a los recambios de archivador, que son carisimos.</t>
  </si>
  <si>
    <t>PRÁCTICO Y AGRADABLE El tamaño es ideal para su uso y para que se adapte a cualquier parte del cuerpo. Muy importante: el tejido es agradable y confortable. Además incorpora una funda muy práctica para guardar. Estoy contenta con la compra, es un producto de calidad buena. Lo recomiendo.</t>
  </si>
  <si>
    <t>Exactas a la oferta Las zapatillas perfectas y el tiempo de entrega también. Hay que tener cuidado y coger una talla más de lo habitual</t>
  </si>
  <si>
    <t>Vans Zapatillas Vans Old Skool negras. Uno de los zapatos más resistentes que conozco y con una suela durísima. Muy recomendados para la gente que le gusta andar con Skate por el agarre de la suela. Atención y envío de Amazon como siempre de 10.</t>
  </si>
  <si>
    <t>Elix pi Relación calidad precio estupenda! Tamaño perfecto. Esta claro que no se puede exigir que tras hervir no queme la parte exterior pero por lo demás genial</t>
  </si>
  <si>
    <t>Precio y calidad ok Buenas zapatillas de montaña. Abrigan, cómodas y buena calidad. Cómo siempre en calzado de montaña se pide una talla más de la usada normalmente.</t>
  </si>
  <si>
    <t>auriculares in-ear buena calidad Estos auriculares in-ear tienen buena calidad de sonido,vienen con unas almohadillas de varias medidas para poder adaptarlo perfectamente a la medida de cada oreja. El cable se ve de buena calidad, y también tienen su bolsa para poder llevar o guardar. Para mi opinión unos buenos auriculares a un precio muy bueno, nada que envidiar a otros mucho mas caros</t>
  </si>
  <si>
    <t>La rápida Me gusta todo: es potente, rápida y tritura absolutamente todo</t>
  </si>
  <si>
    <t>Muy buena relación calidad/precio Soy operador de cámara y realizador, recomiendo este micro para entrevistas, tengo micros de otras marcas y de gamas muy superiores y quedé impresionado de la calidad de audio que genera por su precio. Recomiendo comprar la app de Rode Rec ya que te permite configurar muchas opciones y optimizar el sonido de este micrófono, lo acabo de utilizar junto a un AKG de casi 200€ en una entrevista y la verdad es que no tengo ninguna queja, voz clara y con buena ganancia, sin apenas ruido.</t>
  </si>
  <si>
    <t>Lavanda en casa Buenísimo y encima mucha cantidad! Huele a lavanda pura! Nada que envidiar a la de los herbolarios y ojo... soy lavanda addict! ;)</t>
  </si>
  <si>
    <t>Muy eficaz Hace perfectamente su función</t>
  </si>
  <si>
    <t>Calidad a bajo precio Muy satisfecho. Relacion calidad precio excelente. Entrega rapida y muy buen sonido.</t>
  </si>
  <si>
    <t>Según lo esperado Todo según lo esperado. Bien y con cadena finita.</t>
  </si>
  <si>
    <t>Calidad-precio excelente Lo compré como regalo para mi padre para ir en bici. Está muy contento porque es ligero y resistente. Diseño simple pero bonito.</t>
  </si>
  <si>
    <t>Calidad Tardó mucho en llegar</t>
  </si>
  <si>
    <t>Calidad-precio OK Lo he cogido para hacer un album casero y es perfecto. Es como un adhesivo de doble cara, pero ya esta cortado, así que es muy comodo de utilizar. Facilita mucho el trabajo. Recomendable 100%</t>
  </si>
  <si>
    <t>Práctica y muy cómoda La ha comprado mi mujer para salir a patinar y ha sido un gran acierto. Es mejor de lo que se esperaba, tiene dos compartimientos donde entran perfectamente el móvil y las llaves, un espacio para poner una pequeña botella de agua y un orificio para pasar los auriculares que van al móvil, un gran detalle. Es muy bonita, super cómoda y la tela parece de buena calidad así que cumple ampliamente las expectativas.</t>
  </si>
  <si>
    <t>Bonita y fina gargantilla Es muy elegante. Quizas un poquitín más larga de lo deseable. Le sobra 1 cm.</t>
  </si>
  <si>
    <t>Bonitos y calentitos Bonitos y calentitos. Si buscas un modelo distinto a la típica zapatilla es tu zapatilla. Son de horma más bien estrecha.</t>
  </si>
  <si>
    <t>javi lo e provado y no e quedado mui contento con el resultado quita rallitas, pero si tienes rayones mas profundos no hace nada por lo menos ami.</t>
  </si>
  <si>
    <t>Algo caro para lo que es Es algo caro para ser una caja de plástico pero cumple su función y oculta los cables</t>
  </si>
  <si>
    <t>ETIQUETAS Vienen con poca cuerda, pero están bien, buen tamaño...</t>
  </si>
  <si>
    <t>Hacen daño y no se pueden devolver. Las zapatillas me hacen daño, vinieron en una caja rota que tire cuando las recibí, no me dejan devolverlas ya que la caja en la que me las enviaron (que estaba rota) no la tenía. Hacen daño, son duras, y parecen que no sean verdaderas, y sean de imitación.  Dinero tirado a la basura, ya que no me las puedo poner.</t>
  </si>
  <si>
    <t>No me ha convencido ! No me ha convencido !!</t>
  </si>
  <si>
    <t>Bien de precio Es chula, al lavarla no ha quedado perfecta, pero por precio vale la pena.</t>
  </si>
  <si>
    <t>Di adiós a los ruidos de tus vecinos Compré estos auriculares sobre todo para librarme de la tortura de música que pone mi vecino a todas horas y los alaridos que pega, y en este sentido, cumplen a la perfección, por fin puedo vivir tranquilo en mi casa. La cancelación de ruido de Bose funciona a las mil maravillas, muchísimo mejor que la de otros auriculares baratos con cancelación de ruido que había probado.  Por otro lado, la calidad de los materiales me parece muy buena, pero no me acaban de resultar cómodos de todo, especialmente la almohadilla superior, que es un poco rígida de más, mucho más cómoda la de los Sennheiser HDR 110 que tengo. En cuanto a la calidad de sonido, está bien, pero me esperaba algo mejor por el precio que tienen, ya que la de los Sennheiser HDR 110, que me habían costado hace años unos 70 €, es bastante mejor para mi gusto, especialmente a poco volumen.  Lo que menos me gusta es el alcance del bluetooth, a más de 3 metros ya se pierde la señal, e incluso a veces al llevarlos por la calle con el móvil en el bolsillo, se corta bastante. No me esperaba algo así por este precio, la verdad, tengo otros auriculares bluetooth baratos que tienen más alcance y con ellos no se corta nunca el sonido en condiciones normales. Por suerte para el uso que le doy, no me molesta demasiado. Es una pena que no se fabriquen auriculares con cancelación de ruido y radiofrecuencia en lugar de bluetooth, sería la solución perfecta, pero en fin, es lo que hay.  En resumen, tienen varios problemas relativamente importantes, pero de todas formas estoy bastante contento con ellos, la cancelación de ruido es de muy buena calidad.</t>
  </si>
  <si>
    <t>tan solo un inconveniente Las espumas son buenas, el tamaño y el corte son perfectos, el único problema que le veo es que me han provocado una ''alergia'' al manipularlas porque tienen partículas de fibra de vidrio, no se si a todos les pase igual pero yo aviso igualmente por si a caso, pero quitando eso no tengo ninguna queja :D</t>
  </si>
  <si>
    <t>Talla pequeño. Buen producto, pero talla pequeño y hay mucha diferencia de una talla a otra. Hice cambio de talla y rapidísimo y sin problema</t>
  </si>
  <si>
    <t>Comodos y funcionales pero cuidado con la talla Muy comodos y practicos validos para vestir o casual. De las dos hormas disponibles por Clarks estos son  horma estrecha (G) y en este modelo especialmente hay que pedir media talla o una talla mas de la que habitualmente usas en Clarks. Eso en otros modelos no me ha pasado.</t>
  </si>
  <si>
    <t>Volveré a comorarlas Muy chulas, me encantan a un precio estupendo. No sabría decir si son o no imitación, son muy cómodas.</t>
  </si>
  <si>
    <t>Se escuchan genial Compré estos cascos para mi madre ya que para su trabajo los cascos con cable se le enredaban seguido y eran un incordio, con estos está súper contenta ya que no se preocupa de que se le enreden ni nada, solo de que se le puedan caer. Lleva ya más de una semana utilizándolos y está muy contenta, al principio le resultaban un poco incómodos ya que se le caían todo el rato, pero ahora que les cogió el truqillo está encantada.  Yo también los he probado y muy bien, suenan genial y tienen mucha potencia. Para cargarlos es súper fácil, los pones en la cajita que trae y listo. A mi madre le dura la batería entre 2 y 3 días, pero claro, no sé cuánto tiempo los utiliza ni nada, así que no es muy orientativo…  La cajita en donde vienen tiene como un imán, por lo que los cascos si los guardas siempre ahí no se van a perder nunca. Trae el cable para cargarlos y también dos recambios de las almohadillas que utiliza.</t>
  </si>
  <si>
    <t>Buena calidad y funcional Se corresponde con la descripción y las fotos. Buena calidad y practico</t>
  </si>
  <si>
    <t>Va muy bien y muy cómodo de usar Es mejor que el pincel porque con este formato solo gastas una mano y con el otro formato las dos manos.</t>
  </si>
  <si>
    <t>Bueno Ten en cuenta que el micrófono se alimenta también de la batería de la cámara, y por eso dura menos. Recomiendo tener baterías adicionales de la cámara. La razón por la que compré este y no el Videomic Pro es por el precio, además que prefiero despreocuparme de tener que cargar también el micrófono o de usar pilas. Está muy bien si tu cámara tiene ajustes manuales del micrófono, así es como realmente se consigue buena calidad.</t>
  </si>
  <si>
    <t>Perfecto para el macbook pro Es perfecto para el macbook pro, puedes enganchar cualquier tipo de pantalla externa. !00% recomendable por el precio que tiene con respecto al producto de apple. Como punto negativo, no puedes enganchar un iMac como pantalla externa del portátil</t>
  </si>
  <si>
    <t>Genial Va perfecta. Parece que le cuesta si le metes 10 hojas pero con 4 o 5 genial aunque tengas mucho que encuadernar, una vez que pillas el rollo enseguida acabas (yo encuaderné un montón de apuntes, leyes...).</t>
  </si>
  <si>
    <t>Excelentes, no encuentro otro mejor! Es el quinto álbum que compramos ya que recientemente nos casamos, y tanto para las fotos de la barra libre, las no oficiales o las del viaje de novios, hemos escogido álbum de Hama para presentarlas. Es un álbum muy completo, las hojas se deslizan muy bien y además tiene la hojita blanca protectora para que no se peguen unas fotos con otras y se deterioren. Y como el fondo es negro, se puede firmar, decorar, escribir o hacer lo que quieras en el fondo, ya que con rotuladores finos y de color metalizados, queda un álbum muy original y divertido. También hemos usado de la misma marca su pegatinas para que las fotos queden bien pegadas en sus hojas. Muy recomendable.</t>
  </si>
  <si>
    <t>Biberón con chupete Le utilizo para agua. También hay botellas en vidrio. Me gusta más para la leche cristal que plástico</t>
  </si>
  <si>
    <t>MUY BUENO Identifica atributos específicos (por ejemplo, comodidad o ajuste de una camiseta, o duración de la batería de una cámara) e indica si ha cumplido tus expectativas. No describas al vendedor o la experiencia de envío (podrás hacer eso en</t>
  </si>
  <si>
    <t>Buen producto Tállaje perfecto. 175 y 80 kg. Talla M. Parece buen material y muy caliente. Aunque no es tan barata como parece, Joma es buena marca. Y española. Repetiré</t>
  </si>
  <si>
    <t>Velocidad de registro Perfecta</t>
  </si>
  <si>
    <t>Justo lo que buscaba Buscaba unos soportes que fueran duraderos, estéticamente bonitos y económicos para utilizarlos en cursos y talleres. Ya los hemos estrenados y son justo lo que buscaba.</t>
  </si>
  <si>
    <t>perfecto llego perfecto eh de decir que es un microfono de condensador de lo mejor por su precio super contento con el y lo recomiendo al 100</t>
  </si>
  <si>
    <t>Auriculares de muy buena calidad auriculares de muy buena calidad se escucha perfectamente tanto con llamadas o musica y tiene mucha duracion es ideal para correr es compatible para mis dos moviles que son iphone 7 y huawei p20 pro tambien te marca el nivel de bateria que eso es muy buena ventaja para no quedarte sin bateria,son muy comodos y apenas notas que los tienes puesto porq se ajustan perfectamente a la oreja.lo recomiendo van muy muy bien estoy encantado</t>
  </si>
  <si>
    <t>muy bonito buscaba un reloj para un evento que no fuera muy caro, y la verdad que para lo que cuesta está muy bien. No soy un entendido en relojes, pero el material parece robusto y no se ve para nada frágil, así que lo recomiendo</t>
  </si>
  <si>
    <t>Es cómoda El tejido de la camiseta muy Bueno y muy cómoda</t>
  </si>
  <si>
    <t>Muy cómodas Nunca había probado las medias de compresión,y me han venido genial. Se ajustan perfectamente y  encima ahora mismo son muy baratas</t>
  </si>
  <si>
    <t>Llegó antes de tiempo y en buen estado Está muy bien tal cual en la foto recomendado</t>
  </si>
  <si>
    <t>Mala calidad Me guié por las buenas valoraciones que tenía este producto y decidí cogerlo, he de decir que el artículo es barato y claro eso se nota bastante en la calidad, han querido imitar a una famosa marca en esterillas, pero se quedaron en intento, es una gomaespuma muy fina con unos círculos de pinchos de plásticos, que obviamente pinchan, solo la he utilizado una vez y la experiencia no ha sido buena.</t>
  </si>
  <si>
    <t>PARECÍA MAS GRANDE Y NO LO ES BUENO LO PEDÍ POR QUE CREÍA QUE ERA MAS GRANDE Y COMO LOS OTROS QUE TENGO SON MAS GRANDES NO LO ES LA VERDAD QUE LO IBA A DEVOLVER Y SE LO HE REGALADO A MI HIJO Y AL FINAL ME LO HA DEVUELTO POR QUE PARA EL ES MUY GRANDE Y AHORA ME LO HE QUEDADO YO AL FINAL ESTA BIEN NO ME GUSTA QUE SE VEA TAN PEQUEÑOS LOS NÚMEROS POR LO DEMÁS HAY ESTA</t>
  </si>
  <si>
    <t>No poder más zapatos en amazon Se despegó la suela al segundo uso</t>
  </si>
  <si>
    <t>Mala Mala tela y pequeña</t>
  </si>
  <si>
    <t>Buen producto Tal cual especifica el vendedor, es muy suave y fácil de poner. Calienta rápido.</t>
  </si>
  <si>
    <t>Era tal y como esperaba Era tal y como esperaba mi esposa y si ella esta contenta (que es el caso) pues eso¡ todos contentos.</t>
  </si>
  <si>
    <t>Contento con la compra. Después de 6 años, mi anterior barracuda 2 tb pasó a mejor vida, me fue también con él que vuelvo a repetir, espero que me de tan buen resultado como el anterior. Lo tengo como esclavo, como maestro tengo un SSD Kingston. Silencioso y con buen rendimiento. Embalado en su bolsa antiestática y envuelto en burbujas, bien ajustado dentro del cartón. De momento muy contento con la compra.</t>
  </si>
  <si>
    <t>calidad precio excelente. Abalorio que le gusto mucho a mi madre.</t>
  </si>
  <si>
    <t>Buena calidad-precio Lo he usado para pegar varias cosas en mi casa que no había conseguido con otros tipos de adhesivos ya sea por el peso de lo que quería pegar o por la humedad en la zona y por fin quedan bien pegadas y fija. Es bastante fácil de poner y en caso de que pierda adherencia la recupera al lavarla. No la esperaba tan gruesa pero lo importante es cumple la función de su descripción.</t>
  </si>
  <si>
    <t>Buen producto Me ha gustado me parece más ligero y cómodo que los tradicionales.</t>
  </si>
  <si>
    <t>cumple con su cometido Para el precio que tiene, cumple más que de sobra con su cometido. Lo único malo es que es un poquito pequeño para mi muñeca... pero bueno, eso no quiere decir que sea pequeño... es que mi mano mide 25 cm, así que supongo que es normal...  Si tienes una anatomía corriente y un bolsillo a la par, éste es tu reloj.</t>
  </si>
  <si>
    <t>10/10 Todo correcto, entrega en el día esperado, con este es el segundo par de Classic Leather que compro y son muy muy recomendables.</t>
  </si>
  <si>
    <t>Estética y funciona bien Un amigo tiene un difusor de aromaterapia similar y me gustó, así que decidí comprar uno similar. Es realmente agradable, parece estética y hace que la casa huela bien si agrega algunos aceites esenciales. Por supuesto, también es posible usarlo sin ningún olor con agua. Funciona mediante la evaporación del agua mediante ultrasonidos. Funciona en silencio, no me molesta. Hay un control remoto, pero no lo uso mucho, solo lo enciendo o apago, eso es suficiente para mí.</t>
  </si>
  <si>
    <t>Excelente Excelente, muy cómodas y calientes.</t>
  </si>
  <si>
    <t>Bien Normalito</t>
  </si>
  <si>
    <t>😁 😁</t>
  </si>
  <si>
    <t>Utilidades Son perfectas para las labores de precisión pequeñas</t>
  </si>
  <si>
    <t>Preciosa! Vaya pasada de alfombrilla para el ratón. Color idéntico al de mi ordenador. Material : aluminio. El ratón se desliza de forma genial y suave, y detecta el movimiento preciso. Tamaño circular perfecto. Le recomiendo!!!</t>
  </si>
  <si>
    <t>Good Económico.</t>
  </si>
  <si>
    <t>Justo lo que necesitaba Si buscas un álbum de tamaño medio, este te va a venir bien. Las páginas negras son cartulinas y una de ellas tiene el papel seda. Caben dos fotos por página de tamaño estándar (10x15)</t>
  </si>
  <si>
    <t>Muy buenas Muy comodas para andar y ligeras echo demenos unas leguetas mas duras y ojales con mas refuerzo para las trencillas</t>
  </si>
  <si>
    <t>Precioso Me ha gustado mucho es ideal puesto queda monísimo</t>
  </si>
  <si>
    <t>Diseño blanco muy bonito Se escuchan muy bien. La batería dura bastante en tiempo de uso, en 4 horas no me ha dado ningun problema. El modelo blanco es muy bonito. Se emparejan con facilidad y se escuchan bien incluso a distancia del teléfono móvil.</t>
  </si>
  <si>
    <t>el mejor y más barato Es el mejor calentador de agua que he tenido y el más barato. Lo que más me gusta es que tiene una parte semitransparente por lo que se puede ver la cantidad de agua que tiene.</t>
  </si>
  <si>
    <t>Ideal para llevar puesta en el sofá Se la regalé a mi abuela y está encantada. Es algo pequeña, pero está pensada para ponerla debajo de la ropa. Es blandita y no quema. Se apaga sola a los 90 minutos, por si te quedas frito en el sofá.</t>
  </si>
  <si>
    <t>Fenomenal El producto es muy bueno, calienta rapidisimo y linpio. y esta genta de amazón trabajan muy bien. Deberian se subirles a todos el sueldo.</t>
  </si>
  <si>
    <t>Bien Por el estuche esta bien, además vienen las cosas de adentro que son de buena calidad</t>
  </si>
  <si>
    <t>Bien hasta que se paró Casi 3 años bien, pero se ha parado. Y al poco de tenerlo se le aflojaba el tornillo del contrapeso que da cuerda. Lo tuve que pegar. Estaba contento con el reloj hasta ahora.</t>
  </si>
  <si>
    <t>Problema con auricular derecho El producto ha llegado en una buena caja y bien precintado para evitar golpes. El problema que he tenido es que el auricular derecho se para de vez en cuando y deja de escucharse. Es muy incomodo y he procedido a la devolución. Se escucha bastante bien pero he probado los de Xiaomi y creo que funcionan mejor además de que el estuche es mas pequeño para llevarlo encima. De la carga de la bateria tampoco he podido provar su duración por el poco tiempo que los he tenido pero no he tenido problema durante 2 horas</t>
  </si>
  <si>
    <t>Relación calidad/precio media. - Pese a que estos productos suelen venir sin la capacidad que anuncian, compre uno de 64GB de los cuales solo 55 fueron reales, creo que perder 9GB por el camino es abusivo. - Respecto a la velocidad, no llega a la anunciada, pero se nota el cambio con respecto al 2.0 - Compré el producto durante una oferta, por lo que para lo que he pagado me encuentro satisfecho.  Lo recomiendo en caso de encontrar otra oferta que rebaje unos €.</t>
  </si>
  <si>
    <t>MALA CALIDAD Las zapatillas me las he puesto dos veces y le han salido pelotillas por dentro, 54 euros que cuestan, para la mala calidad del producto. Indignante.</t>
  </si>
  <si>
    <t>Nefasta compra!!! Una castaña!!! Compré 2 tarjetas y las 2 se han roto y he perdido todo lo que tenía grabado. No recomiendo el producto en absoluto. No entiendo como una marca como Samsung puede fabricar cosas tan malas.</t>
  </si>
  <si>
    <t>Mucho ruido Hace Mucho ruido aun bajando el nivel de entrada, lo uso muy poco y terminare metiendolo en un cajon, o vendiendolo</t>
  </si>
  <si>
    <t>Buen sonido Rompí los que traía mi note 8 y los volví a comprar, se escuchan bastante bien</t>
  </si>
  <si>
    <t>Bueno en calidad y precio En principio, el material es bueno,  el cableado también  lo es por el reforzado que tiene. El sonido es bueno y de calidad. Además he tenido la suerte al azar de q me van a mandar 6 pares de almohadillas viscoescolásticas. Espero q sea verdad</t>
  </si>
  <si>
    <t>Muy cómodo y dura mucho la batería Hola, hace ya sobre 3 semanas que lo compre y hasta ahora muy contento con él. Son comodos, no molestan para nada. Se escuchan muy bien y dura mucho la bateria. De hecho todavía no lo he cargado y con la carga que venía he visto con los cascos puesto una temporada entera de una serie y alguna que otra pelicula y como he dicho todavía no lo he tenido que cargar. Traen también una funda para tenerlo recogido. En contra que al encender o apagarlo la voz que te habla lo hace en ingles. Lo recomiendo.</t>
  </si>
  <si>
    <t>Correcta No sirven para trotar por caminos. Si estás empezando con el runingen pista vale. Para pádel no las he probado. Se adaptan bien al pie.</t>
  </si>
  <si>
    <t>Las mejores gafas de aumento para trabajo a un precio excelente He tenido elmenos 3 modelos diferentes de gafas de aumento para trabajar y estas son sin duda las mejores. -Son muy comodas, las uso para pintar miniaturas y puedo estar con ellas puestas mas de una hora ininterrumpidamente. -Vienen con 5 lentes, se nota mucho la diferencia de aumento entre unas y otras y las uso practicamente todas en funcion del detalle que quiera realizar, las lentes se ponen y se quitan con facilidad, podrias cambiarlas con una sola mano -Las lentes vienen en una practica caja de plastico transparente y se incluye una bolsa para el transporte de las gafas (demasiado pequeña para mi gusto) -Tienen 2 leds frontales regulables en angulo independientemente de la angulacion de la lente -Esteticamente son las mas bonitas de todas las que he tenido</t>
  </si>
  <si>
    <t>Lo mejor Esta todo perfecto!!es bastante grande y entra mucha crema todo perfecto</t>
  </si>
  <si>
    <t>Perfectas y originales. Perfectas. Son las originales. Muy cómodas. Llegaron correctamente en tiempo y forma, y eso que era a mi dirección de vacaciones.</t>
  </si>
  <si>
    <t>Sin duda repetiría Ideal, muy rápido en calentar, diseño muy original estilo vintage.</t>
  </si>
  <si>
    <t>Buena calidad Genial</t>
  </si>
  <si>
    <t>Excelente Compra Excelente producto, clásico y de buena calidad.</t>
  </si>
  <si>
    <t>Zapas Las tallas son pequeñas, ojo. Pedí una 8-1/2 pero en realidad es más una 8</t>
  </si>
  <si>
    <t>Muy bueno. Este humidificador está genial, es grandecito y es de plástico pero tiene un aspecto muy muy bueno. Las funciones de más o menos vapor es muy buena y las opciones de luz también. Los olores depende de los aceites que uses, unos huelen y duran más que otros,pero el humidificador funciona de maravilla. Para mí lo mejor es que no mancha, ni salpica nada, ni deja marcas en los muebles como hacen otros humidificadores. Me sorprendió mucho para bien, tanto, que a la semana siguiente he comprado otro. Lo recomendaría sin duda.</t>
  </si>
  <si>
    <t>Lo lijeros que son y la calidad de sonido y la durabilidad de la bateria Me han encantado los auriculares ya que se vinculan practicamente solos tienen muy buena calidad de sonido y puedes usar tanto los dos a la vez como 1 solo ideal para escuchar musica o para atender llamadas que es para lo que yo lo uso y van geniales ya que puedes colgar y descolgar desde el mismo auricular incluso subir o bajar el sonido o pasar canciones con solo tocarlos . Ademas la base que viene con su fundita para transporte y con solo cargar una vez la base tienes para varias cargas de los auriculares, vamos en poco tiempo pienso comprar otros para mi mujer</t>
  </si>
  <si>
    <t>Genial Muy buena calidad después de muchos usuarios siguen impecables, fácil limpieza del tejido</t>
  </si>
  <si>
    <t>Muy bonito Perfecta</t>
  </si>
  <si>
    <t>Le ha encantado Este blanco le ha gustado y le va perfecto de talla, muy cómodo. Compré otro negro de la misma talla pero es algo más pequeño.</t>
  </si>
  <si>
    <t>Genial Muy bonito lo he cogido para una niña de 10 años y muy contenta. Voy a pedir 2 más uno de ellos para mi. Llegó antes de tiempo.</t>
  </si>
  <si>
    <t>Perfecto pasa PSP Compre este disco para ampliar el interno de la PSP, funciona perfectamente en pequeño y 100 x 100 compatible.Calidad precio muy buena.</t>
  </si>
  <si>
    <t>Cómodo Super cómodo,un poco pequeño.</t>
  </si>
  <si>
    <t>Buena compra Es un reloj muy elegante. Un regalo ideal.</t>
  </si>
  <si>
    <t>El producto esperado Llegaron las zapatillas del color esperado, se trata de las auténticas converse y eso se nota en la calidad y en el tallaje que coincide con el que puedes probarte en cualquier tienda, aunque estan a major precio.</t>
  </si>
  <si>
    <t>perfecto encaja perfecto con mi micro rode y filtra bastante bien para el precio que tiene. Recomendado si no quieres gastar en exceso</t>
  </si>
  <si>
    <t>Auriculares geniales Son con diferencia los mejores auriculares inalámbricos que he probado además de plus del cargador usándolos todos los días unas 3 horas y no ha llegado ni al 50% la base</t>
  </si>
  <si>
    <t>A nosotros no nos fue bien Nosotros devolvimos el producto. Esperábamos un aparato de aromaterapia pero lo cierto es que aromatizaba muy, muy poquito pese a echarle bastantes gotitas de esencia. Además, el agua salpicaba fuera del recipiente y mojaba el mueble donde estaba ubicado.</t>
  </si>
  <si>
    <t>Cómodo Es largo y con bolsillo</t>
  </si>
  <si>
    <t>Escasa Información del Producto He preguntado si eran brillo o mate, me dijeron que mate, hoy al realizar un trabajo para un restaurante, resulta que abro el paquete y son..... BRILLO... sería bueno que al preguntar o en las especificaciones esté bien detallado ya que es parte importante además de las micras, cantidad, etc...</t>
  </si>
  <si>
    <t>no merece la pena No tiene pasador para aseguararlo a la maleta</t>
  </si>
  <si>
    <t>Material débil baja calidad Da la sensación de robusta y durable, pero la compre en Junio 2015 y hoy 22 de Marzo 2016 ha fallecido definitivamente, aún así ya llevaba dando problemas el brazo extraible desde hace tres meses, en mi opinión es bastante floja ya que dándole un uso apenas apreciable no ha llegado a durar ni un año.</t>
  </si>
  <si>
    <t>Se corresponde con la foto Buena compra, los relojes casio siempre me han durado muchos años, y este con la esfera dorada tiene un toque diferente a muy buen precio. Eso si, el paquete vino envuelto de muy mala manera.</t>
  </si>
  <si>
    <t>Prácticos archivadores plasticos Me gusta separar la documentación en este tipo de archivadores plásticos. Los colores me ayudan a recordar el contenido también aunque suelo dejar que la primera hoja sea la que me indique el contenido. Con estas es más difícil porque son algo menos traslúcidas.</t>
  </si>
  <si>
    <t>Fantastica relacion calidad-precio Lo compre para llevarlo a un viaje pq al hotel q ibamos era solo desayuno y no sabia si tenian hervidor de agua para alguna infusion o para calentar agua para una sopita por la noche. Me ha encantado, ha cumplido con crece mis expectativad, pero hay q tener en cuenta q es solo para calentar agua y no cantidades muy grandes. Yo lo utilizaba para calentar un par de tazas de agua. Ademas no ocupa espacio en la maleta, yo solo llevaba equipaje de mano, por lo q necesitaba algo pequeño. Como inconveniente, que no tiene interruptor on-off y q hay q tener cuidado donde dejarlo despues de utilizarlo porque no tiene ningun soporte y permanece caliente algunos minutos. Por lo demas, fantastico. Sin lugar a duda lo recomendaria para viajes cortos.</t>
  </si>
  <si>
    <t>Bueno,bonito, barato Para el precio k tiene está genial</t>
  </si>
  <si>
    <t>Cumple... Era más o menos lo que esperaba en función de otras opiniones, relación calidad-precio muy, muy interesante, y cumple más que de sobra para lo que los necesito...</t>
  </si>
  <si>
    <t>buena relación calidad precio Un buen producto tal y como aparece en la fotografía y lo han enviado muy rápido y en buenas condiciones. Todo perfecto.</t>
  </si>
  <si>
    <t>Convirtió mi viejo portátil del 2011 en un ordenador rápido actual Últimamente, mi viejo portátil estaba pidiendo un relevo. Cuando manejaba varios PDF's muy pesados al mismo tiempo, tardaba en cargarme las vistas de las páginas. Y al arrancar tardaba 2 minutos pasados. Cloné el disco directamente, sin plantearme reinstalar todo el sistema operativo y programas por lo enfarragoso del tema, y para comprobar si la ganancia de velocidad era real o simplemente derivaba de un sistema operativo limpio. Ahora el mismo ordenador arranca en 40 segundos, y manejo los mismos archivos a toda velocidad. Incluso he perdido el hábito de dejar el ordenador sin apagar por la pereza que me daba tenerlo que arrancar cada vez. Estoy tan contento con el resultado que ahora ni me planteo cambiar el ordenador. En su momento, amplié la RAM de 2Gb a 4Gb, y el cambio que noté fue mínimo. Este ha sido abismal, se lo recomendaría a todo el mundo.</t>
  </si>
  <si>
    <t>Genial relación calidad precio Son muy cómodos, quedan genial con todo y son muy parecidas a las old skoool pero siendo de una gama inferior. las recomiendo por completo.</t>
  </si>
  <si>
    <t>Bonita Calidad precio está muy bien ,muy chula</t>
  </si>
  <si>
    <t>Buen producto Llego en el plazo indicado Cumple perfectamente para mis necesidades</t>
  </si>
  <si>
    <t>Buen precio y buena entrega De momento cumple todas mis expectativas.Buena compra.</t>
  </si>
  <si>
    <t>Son de piel. El diseño clásico.</t>
  </si>
  <si>
    <t>Carlos J. Fraile Precioso. No hace justicia la fotografïa del reloj a la realidad, en mucho mas bonito., Excelente regalo. Trato recibido y rapidez igualmente excelente.</t>
  </si>
  <si>
    <t>Correcto Muy comodas y ligeras para estar por casa.</t>
  </si>
  <si>
    <t>Nada mal Luce bien y funciona como se debe, a este precio CERO pecas.</t>
  </si>
  <si>
    <t>Están chulas Era un regalo para mi chico, le pille un número más del que suele usar pq tiene el pie bastante ancho e hice bien.asinque si sois de pie anchote no va mal un número más</t>
  </si>
  <si>
    <t>Suave Corresponde exactamente a la talla normal, y es muy calentita</t>
  </si>
  <si>
    <t>Manta calentita Es una manta eléctrica practica y muy fácil de plegar o poner en posturas difíciles. Tiene varias opciones de fuerza para calentar. Con respecto al tamaño es medio, para zona lumbar que es mi caso sirve perfectamente. De momento contento.</t>
  </si>
  <si>
    <t>Talla perfecta Justo lo que esperaba y necesitaba</t>
  </si>
  <si>
    <t>Cómodo en carrera Estoy preparando una media maratón y en distancias largas suelen molestar las camisetas por algún lado, a mi en concreto me molesta en los pezones. Probé las camisetas de compresión y no me molestan nada, se adaptan tan bien al torso que no notas que las llevas.  En concreto compre esta porque conocía la marca de verla por Amazon y la verdad es que ha sido un acierto total. Es sencilla, barata y se adapta muy bien al cuerpo. Yo pedí la talla L, mido 1.85kg y me viene perfecta.  Además, los colores rojo y negro me encanta, me dan aerodinámica en carrera jajaja Recomiendo esta camiseta</t>
  </si>
  <si>
    <t>Muy bien Buen color y duración como todos los de esta marca</t>
  </si>
  <si>
    <t>Como me la esperaba. Bonita sudadera de una grandísima calidad y a muy buen precio, la marca no defrauda, es la segunda que compro.</t>
  </si>
  <si>
    <t>Lo esperado en Salomon Dan poca talla, pero como ya lo sabíamos acertamos. Agarre estupendo</t>
  </si>
  <si>
    <t>Buen producto Tardó en llegar pero funciona muy bien.</t>
  </si>
  <si>
    <t>Pendientes Fue el regalo del día de la madre, pero son un poco pequeños tendrian que haber puesto el tamaño pues son un poco pequeños, pero muy bonitos</t>
  </si>
  <si>
    <t>No elimina imperfecciones Seca los granos</t>
  </si>
  <si>
    <t>Muy chula pero le falla el antideslizante Muy chula. La pega es que no lleva antideslizante, sólo 4 esponjitas pequeñas de pega que depende como pongas el ratón hace que quede paticoja la alfombrilla.. Debería llevar algo mejor</t>
  </si>
  <si>
    <t>Incompleto No llego completo le falto un tapón</t>
  </si>
  <si>
    <t>Tallaje fatal, imposible Fatal, la talla no tiene nada que ver, es como 4 o 5 números más pequeña. Me tuve que fastidiar porque se me pasó la fecha para devolver, pero penosas. No las recomiendo para nada, las tallas son un engaño</t>
  </si>
  <si>
    <t>Muy práctico y fácil de limpiar Es muy fácil de limpiar, q se agradece, super silencioso y no hay que hacer prácticamente nada de fuerza para aprovechar al máximo las naranjas. Es un poco grande pero rápidamente le hemos encontrado sitio. Lo recomiendo.</t>
  </si>
  <si>
    <t>Cumple y nada mas Debería tener unas marcas más adecuadas con la dosificación del agua., por lo demás cumple con la función encomendada y nada mas</t>
  </si>
  <si>
    <t>Calidad pero algo incomoda Muy buena calidad de materiales y fabricación. Le falta 1 estrella porque no es todo lo cómoda que me gustaría.</t>
  </si>
  <si>
    <t>Comodidad Me gustan comodidad total ya son las segundas</t>
  </si>
  <si>
    <t>Cumple con lo esperado Buena relación calidad precio</t>
  </si>
  <si>
    <t>Muy buen sonido en proporción al precio. Recomendables Llegó en la fecha indicada. El sonido es fantástico. Si te gusta escuchar sólo la música te aíslan por completo de los ruidos  de la calle. Cable cómodo y largo para meterlo por debajo de la ropa o abrigo. Devolví unos inalámbricos porque pesaban mucho y se caían por la calle. Estoy encantada. Llevo tres días usándolos y espero que me duren mucho tiempo. Trae tres tamaños de almohadillas para que se adapten bien a tus oídos.</t>
  </si>
  <si>
    <t>satisfecho Responde a las expectativas,la talla perfecta y muy cómodas Por experiencias anteriores el rendimiento es bueno,por ahora,ningún problema y fácil adaptación</t>
  </si>
  <si>
    <t>Comodas Comodas</t>
  </si>
  <si>
    <t>Reloj calculadora ligero Es un reloj muy completo que cumple lo que dice. Además de las funciones habituales, tiene calculadora, lo que lo hace muy funcional y cómodo.</t>
  </si>
  <si>
    <t>Muy bien cumple su objetivo Cumple su función pero si le pones fruta pesada como plátano le cuesta triturar</t>
  </si>
  <si>
    <t>Preciosos y de calidad Me han gustado mucho, la entrega fue en unos días. Los. Pendiente son. Muy finos y elegantes, brillan mucho y tienen muy biena calidad. Los compre porque tenia el colgante, y me los imaginaba un pocos mas grandes, pero aunque son pequeños son preciosos</t>
  </si>
  <si>
    <t>Muy buena. Tanto embalaje como calidad del producto es muy buena. Colocado en un Samsung Galaxy J3 sin problemas. Muy buena compra.</t>
  </si>
  <si>
    <t>esta muy bien es pequeñita pero matona. esta muy bien</t>
  </si>
  <si>
    <t>Calidad de sonido excelente y bien protegido Genial sonido, se adapta perfectamente de forma ergonómica y a su vez, el material es de bastante calidad. Me sorprendió la calidad que tenía el embalaje y lo bien protegido que llegó. Lo uso a diario y la verdad es que de 10.</t>
  </si>
  <si>
    <t>Relacion calidad precio insuperable Esteticamente es practicamente un calco del orient Mako 1, la diferencia es que este vale 50 euros y el orient 200 (sin entrar a valorar que uno es de pila y el otro automatico). Desmerece el casio respecto al orient?. en absoluto. Yo que tengo los dos puedo asegurar que la impresion que te da el casio nada mas verlo es de una calidad asombrosa para el precio que tiene. El armys podria mejorar un poco pero tampoco se le puede reprochar nada por el precio que tiene. La luminova es propia de relojes muchos mas caros (el orient no la tiene tan brillante por ejemplo), y tanto la caja como el bisel o la corona roscada tiene una gran calidad. Y tengo que volver a hacer incapie en el precio pues es lo mas sorprendente de todo, pues el aspecto, el tacto, el peso, los colores de la esfera y el bisel o el segundero en rojo, son detalles de relojes de mas de 200 euros. Un 10 para casio.</t>
  </si>
  <si>
    <t>Llegó a tiempo Llegaron en tiempo y forma,era para un regalo y no me defraudó el producto ya lo conocía pero al proveedor no nos quedamos encantados</t>
  </si>
  <si>
    <t>Muy chulo No es falso para nada. Viene con su caja, su garantía y todo igual que el que me compré hace unos años en el corte ingles. Es verdad que es mas ligero pero eso para mi gusto es mejor</t>
  </si>
  <si>
    <t>Anti cólico de verdad Sin duda los mejores biberones del mercado</t>
  </si>
  <si>
    <t>Perfectas Geniales</t>
  </si>
  <si>
    <t>TOP Llevo compradas ya 6 gafas!!! me las pidió mi suegra la primera vez por recomendación y de lo bien que funcionan están triunfando, las usan para manualidades y costura y flipan con ellas. Excelente compra 👍👌</t>
  </si>
  <si>
    <t>Recomendado al 100% Despues de 8 meses de uso diario, va como el primer dia, diria que en calidad precio es de lo mejor que hay en amazon, lo recomiendo al 100%</t>
  </si>
  <si>
    <t>Lo uso en mi canal de Youtube Muy contento con los resultados de este micro lavalier. Lo uso desde hace dos años en mi canal de Youtube "Editalo Pro" puedes ver el resultado en el siguiente video. https://youtu.be/YDngd18dg_o. La única pega es que se me despegó el acolchado que trae el micro, seguramente por el gran uso que le estoy dando. lo volvería a comprar. Importante: Este micrófono viene preparado para poder usar el movil como grabadora ya que trae la conexión TRRS para smartphones, sin embargo si lo queremos usar directamente en la cámara de video/fotos o en una grabadora será necesario que compres este Adaptador de TRRS a TRS http://amzn.to/2E98ldb</t>
  </si>
  <si>
    <t>Perfecta por su precio Creo que al precio que se consigue no se puede pedir mucho más. Amplia, con buena distribución interior (puedes además regular el tamaño de los compartimentos de monedas a tu gusto a lo ancho) y con la modalidad de cierre, apertura manual y apertura mediante impresora.</t>
  </si>
  <si>
    <t>Conector de plástico, no entra bien Como memoria USB, su funcionamiento es correcto. El problema es que el conector no es de metal, es de plástico, y un poco más grueso de lo normal, por lo que no entran bien, hay que forzar (y mucho) para encajar y desencajar el pendrive.  Válidos para un uso muy puntual. Mejor otro modelo con el conector de metal.</t>
  </si>
  <si>
    <t>Normalito No puedo quejarme demasiado porque lo he comprado por algo menos de 6€, pero la velocidad de lectura y escritura dejan que desear, teniendo en cuenta que es un USB 3.0 de la marca Kingston. Por lo demás, se nota de buen material y me gustan los usbs que puedo enganchar en mi llavero.</t>
  </si>
  <si>
    <t>Horrible Fatal horrible se marca todo y se transparenta</t>
  </si>
  <si>
    <t>No sé sabe cómo utilizar No sé sabe cómo utilizar</t>
  </si>
  <si>
    <t>Cumple su función El producto es bueno si se van a hacer masajes a domicilio, cumple con su función, los accesorios son muy básicos, sobre todo el de los brazos que se sujetan con dos varillas finas que no sujetan nada, salvo eso todo es aceptable, la recomiendo.</t>
  </si>
  <si>
    <t>Manejable Bastante útil es pequeña pero con gran capacidad.</t>
  </si>
  <si>
    <t>Bien Muy buen producto,no se desliza nada ideal para yoga ya q en ciertas posturas el calcetín me resbalaba en la esterilla pero con estos calcetines no se desliza nada</t>
  </si>
  <si>
    <t>Buena relación calidad precio, sonido bajito. Bastante elegante, relación calidad precio muy buena. El sonido bajito, entiendo que es para que dure la batería. La configuración algo tediosa.</t>
  </si>
  <si>
    <t>Buen producto Me a gustado mucho quedan muy bien recomendables 100%</t>
  </si>
  <si>
    <t>muy practico y comodo Es un bolso bastante practico y comodo. la calidad es muy buena. ya no me duele la espalda como con otro tipo de bolsos</t>
  </si>
  <si>
    <t>Bonita, completa y el café sale riquísimo Hemos probado todo tipo de cafeteras y estabamos ya acostumbrados a la italiana de toda la vida, hasta que hemos tenido la posibilidad de probar ésta. La ventaja que le encontramos es que puedes hacer más café de golpe y eso resulta muy útil, porque al final limpias cada más tiempo y no se te gasta tan rápido.  El funcionamiento es lo esperado, pero eso sí, no trae filtros y necesita de esos de papel del número 4. Que puede parecer una lata, pero me han dicho que a la larga es mejor, porque los permanentes terminan peor y no sueles cambiarlos. Además esos filtros de papel son tan baratos que no lo nota tu economía.  El sistema es sencillo: pones el filtro, rellenas el depósito, echas café (un cacito por taza) y listo, lo enciendes y a esperar. No tardará apenas nada en empezar a caer café en la jarra. Su capacidad es de 1,25L.  Una vez finaliza, si no la apagas, el café se mantiene caliente durante 40 minutos. Lo verás reflejado en un display analógico que irá subiendo.  El diseño es bonito y elegante, con un toque clásico de metal. La aguja roja también evoca tiempos pasados.  Nos ha gustado mucho el café que hace.</t>
  </si>
  <si>
    <t>Nike benassi jdi Preciosas zapatillas. Talla bien. Vendedor bueno. Todo genial</t>
  </si>
  <si>
    <t>Excelente El reloj ha cumplido todas mis expectativas, color muy bonito, se ajusta perfecto, fácil de configurar y envío súper rápido.</t>
  </si>
  <si>
    <t>100% recomendable Calidad precio excepcional. Encantados con la compra, tanto que repetimos siempre que las necesitamos .</t>
  </si>
  <si>
    <t>Impermeables Son muy comodas, además llevaba muchos años sin encontrar un calzado con el que no se me durmieran los pies.</t>
  </si>
  <si>
    <t>Piel firme Sirve para reafirmar la piel. Tiene mucha potencia</t>
  </si>
  <si>
    <t>Buena relación calidad/precio Muy buena compra, buenas zapatillas a precios muy bajo.</t>
  </si>
  <si>
    <t>perfectos bonitos, cómodos, resistentes</t>
  </si>
  <si>
    <t>todo ok grapa plateada como buscaba. todo ok</t>
  </si>
  <si>
    <t>Comodas Son unas mallas muy elásticas. De gran calidad. Me han hecho sudar mucho por el plastico que llevan en el interior. Me compré una S porque yo suelo usar una talla 36 y me quedan perfectas.</t>
  </si>
  <si>
    <t>Perfectos! Los uso para salir a correr y van perfectos. Es cierto que si te los aprietas mucho hacia dentro pueden molestar un poquito, pero al rato se van adaptando y ni te enteras que los llevas puestos. Para ver vídeos, a veces tiene un lag/retraso de milisegundos, pero nada grave. De momento estoy muy contento con ellos!</t>
  </si>
  <si>
    <t>Buen sonido.a buen precio La calidad de sonido es espectacular, se adapta perfectamente a la oreja. Además, eliminan ruido externo, con lo que la nitidez del sonido es perfecto.100% Recomendable</t>
  </si>
  <si>
    <t>Cancelación de ruido brutal El envío bien, menos mal que el paquete está bien protegido por Sony porque Amazon lo mete en una caja de cartón cutre y yasta. Los cascos increíbles, el sonido esta genial y tienen un bajo bastante bueno. No le veo pegas, quizás la textura que han usado en los laterales se mancha fácil pero ya. (huellas etc)  Los recomiendo !</t>
  </si>
  <si>
    <t>Las de siempre. Buen producto, tamaño A4, entra bien en mi impresora, y el precio mucho mejor que cogerlas sueltas en la papelería de barrio.</t>
  </si>
  <si>
    <t>La comodidad Me ha gustado en general todo, son muy cómodas. Llevo plantillas y se adaptan perfectamente. Uso este tipo de zapatillas como único calzado</t>
  </si>
  <si>
    <t>Muy buena El producto es excelente calienta muy bien y además son grandes y cubre toda la cama y es perfecta con sus dos dispositivos de encendido y apagado con tres niveles de calor</t>
  </si>
  <si>
    <t>Actua rapido sobre el dolor Actua muy rapido sobre el dolor, a mi en concreto para el dolor de espalada me calma al instante pero eso si, si es algo cronico al cabo de unas horas vuelve el dolor</t>
  </si>
  <si>
    <t>Auriculares Grandes , con un sonido mejorable Cuando llegaron los auriculares , tal cual a probarlos por los comentarios sobre la calidad que tenían de sonido , los saco de la cajita , los enciendo y se sincronizan sin problemas entre ellos , los conecto con un xiaomi note 7 y.... , hay va la calidad. Es una calidad de sonido de auriculares malos ,es decir , todo lo que escuchas son agudos , los bajos brillan por su ausencia , tal cual como se conoce este sonido " sonido a lata ". el tamaño de los auriculares es grande no entra en todos los oidos , y en cuanto a el adaptador que lleva varios tamaños el mas pequeño sigue siendo algo grande , imposible de usar.</t>
  </si>
  <si>
    <t>LS Es una Bandolera cómoda, pero de acabado mejorable. La cremallera superior hace un abombamiento que queda feo, por estar cosido de manera incorrecta</t>
  </si>
  <si>
    <t>Potencia, pero difícil de quitar el vaso de la batidora Bueno decir que compre uno reacondicionado, el problema que le veo que cuesta mucho sacar las elices y tengo que volcar la batidora entera para sacar el vaso, por lo demás tiene .mucha potencia.</t>
  </si>
  <si>
    <t>el material del bolso no tiene nada que ver el bolso en la foto tiene un color y un brillo que no tiene nada que ver con lo que te mandan a casa estuve a punto de devolverla deberian de poner la foto de lo que realmente te llega a casa que es de color marron claro y sin brillo</t>
  </si>
  <si>
    <t>No funciona bien No funciona nada bien. Se retrasa la hora o se queda parado. No satisfecho con este producto.gracias y un saludo.</t>
  </si>
  <si>
    <t>Funcionan a la perfección pero para sesiones largas pueden resultar incómodos Son unos excelentes auriculares, la relación calidad-precio es inmejorable y se escuchan que da gusto. Además, también incluye un estuche para su transporte, mejorando así su vida útil. El único inconveniente que les he visto es que quizás la parte del auricular es demasiado grande y a medida que ya llevas un rato con ellos se pueden hacer algo molestos. Pero para ir por la calle o realizar algún tipo de actividad física no están nada mal, lo mejor de su rango de precio.</t>
  </si>
  <si>
    <t>Muy bonito. Es muy fino, muy bonito. Queda muy bien puesto. Le doy 4 estrella y no 5 porque la cadena es demasiado fina, a cualquier tirón puede romperse. El resto fabuloso, llegó a tiempo y correctamente.</t>
  </si>
  <si>
    <t>Buena calidad a un precio de risa Genial la relación calidad-precio.  Mucho mejor de lo esperado</t>
  </si>
  <si>
    <t>Que es como en la foto Es un pendiente que me ha agrandado.</t>
  </si>
  <si>
    <t>Bueno Bolso, normalito, calidad precio bueno, lo recomiendo</t>
  </si>
  <si>
    <t>super cómodo la compramos porque el médico le recomendó a mi suegra,porque ella trabaja en restaurante y ella bastante dolorosa en la espalda,muy buena calidad de masajeador para ella le viene super cómodo,especualmente en el cuello relaja muchisimo y da una sensación de bienestar,cumple perfecta su descripción del artículo</t>
  </si>
  <si>
    <t>Recomendable Son comodisimas y muy fáciles de limpiar</t>
  </si>
  <si>
    <t>Calidad Llevo meses usando esta marca y estoy muy contenta. La unica pega que le pongo es que vengan con tetina del 3 y no con la de flujo variable, porque ya usando el tamaño grande de biberón se da por hecho que es para meter cereales y se necesita una tetina para liquidos espesos. Por lo demas muy contenta</t>
  </si>
  <si>
    <t>Muy bonitos Tela de gran calidad, aunque me quedan algo grandes</t>
  </si>
  <si>
    <t>Esta bien Esta bn</t>
  </si>
  <si>
    <t>Lo recomiendo 👍 Me gustó mucho y kedo super original todo bien y bien envasado en su caja todo correcto</t>
  </si>
  <si>
    <t>Muy buenos inalámbricos para Android El producto es de buena calidad para este precio, no se pueden comparar con los de la marca de la manzanita, ya que hablamos de otros rangos de precio, la caja de estos es mucho mas grande y los auriculares también son mas grandes, pero por un precio muy barato nos ofrecen una muy buena calidad de sonido y muy buena batería. Son cómodos de transportar y llevar a pesar de que la primera impresión al verlos y ponertelos es decir: wow, que grandes son! Pero son comodos y no pesan. La carga va por USB C y el cable viene incluido. Se emparejan muy rápido con Android, con iOS no se ya que no tengo uno disponible. Recomendados!</t>
  </si>
  <si>
    <t>Muy buen producto Este es el segundo que compro, el anterior esra un modelo similar, lo recomiendo 100%.</t>
  </si>
  <si>
    <t>Muy cómodos Los calcetines que mas me gustan, muy cómodos tanto en primavera como en verano, con deportivas, botas de trabajo o zapatos. Mientars existan los compraré. Lástima que el logo no sea tan aceptado por la sociedad cuando vistes de traje :D</t>
  </si>
  <si>
    <t>Buena, práctica y ligera Es lo que estaba buscando. Tiene suficiente potencia para limpiar toda la casa, la batería dura varios días si la usas de manera intermitente. Pesa muy poco y es muy manejable. Carga rápido y ocupa poco espacio</t>
  </si>
  <si>
    <t>Excelente. Súper rápido y súper ligero No puedo decir más que cosas buenas sobre este disco duro. Me ha sorprendido por lo rápido que funciona (sobre todo si lo conectas a un puerto thunderbolt) y por lo ligero que es. El acabado en aluminio es una pasada. Simplemente superior. Lo volvería a comprar sin duda. Espero que aguante bien el paso de los años. Confío en la marca Seagate, que nunca me ha defraudado.</t>
  </si>
  <si>
    <t>Genial Tenia dudas despues de leer algunos comentarios, pero despues de probarla, me parece simplemente genial. Tengo otra daga y estoy convencido de que es la mejor.</t>
  </si>
  <si>
    <t>bonito me gusta el diseño</t>
  </si>
  <si>
    <t>Geniales Geniales. Talla correcta, muy ligeros y cómodos. Entrega rápida</t>
  </si>
  <si>
    <t>Perezosi for life Es una chorrada pero muy graciosa, fue un detalle para mi pareja y consiguió sacarle una sonrisa, ya no hay TE sin perezosi.</t>
  </si>
  <si>
    <t>me gusta Me encata ,lo pongo todas las noches ,con diferentes esencias ,la verdad es que te relajas mucho y te ayudan a dormir,por lo menos a mi.</t>
  </si>
  <si>
    <t>Genial Encantada con tamaño y precio.</t>
  </si>
  <si>
    <t>Los que más me han durado Los mejores por su precio</t>
  </si>
  <si>
    <t>Batidora Es perfecta.... robusta y potente....de momento le doy un 10</t>
  </si>
  <si>
    <t>Una caca No me ha gustado nada no absorbe casi nada de agua.</t>
  </si>
  <si>
    <t>Kingston SDC10/32GBSP - Tarjeta microSD de 32 Funciona perfectamente. Se puede utilizar nada más comprarla, sin necesidad de formatearla No he probado las velocidades de lectura y de escritura pero lo utilizo en un Bq y el teléfono va de lujo.</t>
  </si>
  <si>
    <t>Aceptable Bonita y cómoda</t>
  </si>
  <si>
    <t>Avería El producto es perfecto, yo estaba contentísima con esta licuadora portatil. Hasta que empezó a aparecerme una luz azul, se jodio el motor, y al mes y unos pocos días de comprarla, dejó de funcionar. El periodo de devolución es de un mes, asique xao.</t>
  </si>
  <si>
    <t>Pizarra magica Por segunda vez recibo un corcho de pared en vez de una pizarra. Con algo de "cachondeo" se me indica que mire por las dos caras y si, después  de un exhaustivo análisis por mi parte y solicitando varias opiniones de gente conocida para contrastar opiniones.. SI, por la segunda también tiene corcho. Todo encaja, es un corcho con sus seis "rotuladores" de colores en forma de chinchetas. La primera vez que me pasa. Pero veo que no soy el unico. Viene de.Portugal así que hoy he aprendido algo nuevo, corcho en portugués se escribe PIZARRA</t>
  </si>
  <si>
    <t>Talla incorrecta Devuelta tres veces por talla incorrecta</t>
  </si>
  <si>
    <t>Cumple con la descripción. Todo bien, llego en buen estado. Fácil de limpiar, lo dudo porque el cristal parece muy fino, hay que tener cuidado. Pero es eficaz, rápido y bastante silencioso.</t>
  </si>
  <si>
    <t>Justo lo que aparece en la descripción. Buen precio y no engaña a nadie. Tetinas anticólico de silicona (personalmente prefiero las de látex pero no es problema del producto).</t>
  </si>
  <si>
    <t>El tamaño El único problema que tiene es que es un poco pequeña, un poco más grande hubiera sido perfecta</t>
  </si>
  <si>
    <t>Perfecto... hasta que falla Mi primera hija se crió con esta misma tetina, no nos dió nunca un problema y la verdad es perfecta para su cometido (evitar que el bebe abandone el pecho y permitir que la lactancia en biberón sea similar a la del pecho).  Por qué mi problema y mi queja? decidimos comprar biberones y tetina nueva para mi segunda hija por no reutilizar las antiguas... ha durado dos meses literalmente dandole el mismo uso que a la primera.  Por alguna razón tras dos meses de uso sin problemas el sellado con el cuerpo del biberón ya no se hace correctamente (por mucho que aprietes) y el biberón gotea por la unión cuerpo-tetina. No es un desastre, sigue siendo utilizable pese a mancharte las manos, pero ya se me han ido dos tetinas con el mismo problema.  Parece que el anillo finito de goma que va integrado en el cuerpo de plástico rígido (donde cae el cuerpo del biberon y hace el sello) se deforma o se machaca (pese a no apretarlo en exceso) y termina por no sellar bien y fugar...  Curioso que en el primero no me pasase tras más de un año de uso y que esta vez me haya pasado cada dos meses... (?)</t>
  </si>
  <si>
    <t>Guay Bonito y ligero</t>
  </si>
  <si>
    <t>Buena calidad Me ha encantado este microfono, calidad-precio excelente y muy versatil</t>
  </si>
  <si>
    <t>se adapta perfectamente buen material, se adapta perfectamente y cumple su función correctamente, ahora sólo queda poner el cuerpo como el típico de la foto jajaja</t>
  </si>
  <si>
    <t>Bolso de hombre perfecto para añadir cualquier cosa que suelas llevar en los bolsillos. El hombre moderno no tiene necesidad de llevar sus objetos personales en los bolsillos, como todos sabemos es realmente incomodo, y afea demasiado nuestro estilismo, ya nos hemos quitado el roll de los 7s0 y 80s, ahora podemos llevar bolsos, bandolera, mochilas, o lo que realmente nos guste.  Las bandoleras de hombre van teniendo mucho protagonismo en los looks masculinos con sus diseños bonito y estiloso. Ahora, los complementos no son algo exclusivo de la mujer y la comodidad se rinde por completo a estas piezas prácticas con una gran variedad de modelos y colores diferentes. Los bolsos servían únicamente a la mujer, mientras el hombre se conformaba con pequeñas bolsas atadas con un cordel para guardar su dinero. Ahora, la tecnología ha hecho impensable su uso para albergar aparatos de telefonía móvil, tablets e incluso portátiles.  Este bolso bandolera es realmente cómodo, practico, y nos libera de la carga de llevar nuestros objetos personales en los bolsillos, confeccionado en lona y con unas terminaciones muy cuidadas, tiene una calidad fuera de toda duda.  Existen opiniones diversas de como llevar un bolso bandolera, algunos estilistas comentan que en el hombro donde cae el bolso, y otros en el hombro opuesto, en mi opinión, creo que lo llevaré donde más cómodo este en ese momento.  En definitiva, este bolso bandolera es cómodo, útil y es un buen complemento par el hombre moderno sin importar la edad.  Producto cedido por  SinoEshow para su análisis.</t>
  </si>
  <si>
    <t>Me relaja mucho!! La iluminación intermitente me encanta!! Deja un ambiente relajado... por tamaño... me gustaria que fuese un pelin mas pequeño pero bueno eso para gustos y sitio que tengas para dejarlo por lo demas todo genial</t>
  </si>
  <si>
    <t>Un reloj superior al resto Tiene una calidad de construcción muy alta. El cristal despues de un uso intensivo se ve como el primer día, resistente a ralladuras y al agua del mar. La correa también como el primer día después de muchos baños. El único pero que se le puede poner es el material fluorescente de las manecillas que no dura demasiado en la oscuridad como si lo hace en los orient.</t>
  </si>
  <si>
    <t>Perfecto Especial para IPad junto con una funda con teclado. Es perfecto para leer, escribir, y se apoya fácilmente en el brazo de una butaca o en una mesita de apoyo. Perfecto</t>
  </si>
  <si>
    <t>Calidad precio estupendo. Estupendo buenos y bien acabado bien de talla q es importante para el q tiene el pie grande es dificil encontrar calzado, de precio estupendo.</t>
  </si>
  <si>
    <t>Buena relación calidad precio Son muy cómodas, las utilizo principalmente para ir a cazar, impermeables</t>
  </si>
  <si>
    <t>Muy buena relación calidad precio Muy buena esta manta eléctrica. Se ajusta muy bien a la espalda. Me vino como mano de santo para una contractura en el trapecio. Calienta rápido y el tacto es muy suave.</t>
  </si>
  <si>
    <t>Muy buena calidad de construcion y buen sonido Producto muy bien embalado, llego correctamente, muy buena calidad en materiales y buena calidad de sonido pero no excelente.</t>
  </si>
  <si>
    <t>Tetina cereales Tetina de flujo rápido para leche con bastante cereal que la engorde.</t>
  </si>
  <si>
    <t>CONVIERTE TUS PAREDES EN PIZARRAS Lo compré porque me resultaba muy útil para el estudio y me parecía muy buen precio. Se trata de un rollo de vinilo hecho con material típico de las pizarras blancas de clase de unos 200 cm de largo cuyo reverso está compuesto de adhesivo, cosa que nos permite pegarlo a cualquier pared o superficie. Incluye además tres rotuladores negros con imán que se acoplan perfectamente. Es un objeto tremendamente últil para el estudio: Te permite convertir en pizarra cualquier pared de la habitación. Además puedes gastar el trozo que te apetezca y guardar el sobrante para otra ocasión o incluso volverlo a guardar una vez concluyes.</t>
  </si>
  <si>
    <t>Recomendable y fiable El único pero que veo, es que la garantía no viene sellada..  fue un regalo y la verdad es que le encantó!</t>
  </si>
  <si>
    <t>Cómodo y buena sujeción Segundo sujetador que compro. Queda a la perfección si compras la talla que te indica la tabla según tus medidas. No me guié por mi talla normal. Sujeta el pecho perfectamente sin aplastarlo.</t>
  </si>
  <si>
    <t>Bien Super buenas, las tiene mi hijo todo el invierno y estan todavia nuevas, son irrompibles seguro que repito para la próxima vez</t>
  </si>
  <si>
    <t>perfecto funciona muy bien, y hace muy bien su cometido no se calienta en exceso y va fenomenal para lo que lo queremos.</t>
  </si>
  <si>
    <t>Reloj bonito e indestructible Es un reloj muy bonito y resistente en todos los aspectos. No tengas miedo de comprarlo por que creas que es muy grande. Tiene un tamaño contenido y queda muy bien en la muñeca. Cierto es que este reloj lo compraría en una joyería o tienda oficial, porque he comprado dos casio ga 100 por Amazon y el primero era una réplica y el segundo no estaba muy claro que fuera original, por lo que decidí devolverlo y comprarlo en una tienda oficial.</t>
  </si>
  <si>
    <t>Atractivo pero únicamente en la foto El reloj carece de visibilidad nocturna, además durante el día el contraste de los dígitos horarios con la esfera es casi nula con l cual poca visibilidad. Vamos que de la foto a la realidad hay una gran distancia.</t>
  </si>
  <si>
    <t>Es grande y de buena calidad Es de buena calidad, es grande y tiene bien almacenaje, a mi pareja le ha gustado, porque tiene bastantes compartimentos y todo está en su lugar</t>
  </si>
  <si>
    <t>Todo bien Todo bien, no hay apenas ruido, solo se aprecia más cuando se calienta.</t>
  </si>
  <si>
    <t>Un 42 que parece un 38 Mi pedido llegó en el tiempo esperado pero mi sorpresa es cuando las saco y me las pruebo, o mejor dicho... lo intento. Mi sorpresa es cuando calzando un 42 y habiendo pedido un 42 está zapatilla no es que me quedé pequeña, es que no soy capaz ni de introducir medio pie. Ahora tengo que descambiarlas, pedir otra de un tamaño que no se si será el adecuado para mi pie y mientras tanto seguiré sin poder usar un producto que debería de estar pudiendo utilizar mañana en mi día a día.  ¿Acercaré con el 44?, Pues no lo sé. Si los números que indicáis no se corresponden con el real deberíais indicarlo o al menos informar de que la talla es pequeña, nos evitaríais devoluciones y nos evitaríais enfados como el que ahora mismo tengo</t>
  </si>
  <si>
    <t>Adidas Superstar Los he devuelto porque no son los Adidas superstar originales. Son de mala calidad, ni siquiera son de piel. La plantilla interior dice Adidas en lugar de Ortholite. Yo  tengo los originales en otro color y al compararlos se ven  muchísimas diferencias.</t>
  </si>
  <si>
    <t>me gusta Mirando lo por el punto de vista calidad precio me parece un pendrive muy bueno, estéticamente me gusta su Material  es resistente y compacto el tamaño  es adecuado ni es micro tipo boton ni es grande en exceso es decir tiene un buen agarre tanto para introducirlo en la unidad USB como para retirarlo pero no se ve escesivo, sinceramente es uno de los pendrive q mas me a gustado en los ultimos años. En cuanto a calidad como producto aún lo estoy testeando pero Kingston es una marca q realmente me da confianza un saludo</t>
  </si>
  <si>
    <t>un poco endeble pero para el precio no se puede pedir mas tamaño grande, genial para poner los dibujitos de los peques :) aunque es un poco endeble.</t>
  </si>
  <si>
    <t>Cómodos para entrenar No he dado 5 estrellas porque la talla viene muy justa!  Leggings son de buena calidad, cómodos de llevar y útil a la hora de entrenar, no se transparentan y resisten. Hago crossfit regularmente y hasta ahora aguantan! Los sudores entre piernas, glúteos, etc.. no se aprecian!!  La talla viene justa, personalmente recomendaria comprar 1 talla más ya que vienen apretaditos (leggings son talla M y sujetador deportivo talla S). Diseño genial, costura buena y buen material. Buen producto respecto calidad/precio. Los recomiendo</t>
  </si>
  <si>
    <t>Muy recomendable Recomiendo este producto 100% es cómodo ya que tiene muchas posiciones, el material me gusta es de plástico yo lo prefiero así porque así no pesa y es fácil de transportar y tiene una medida ideal.</t>
  </si>
  <si>
    <t>Una mopa práctica y eficaz Esta es una mopa que prácticamente NO PESA (su peso es de 350 g) pero resulta super práctica para limpiar el suelo a diario porque sus paños atrapapolvo son muy eficaces.  Viene con el PALO y el MANGO desmontados en cuatro piezas, tres piezas de aluminio y una cuarta pieza de aluminio recubierta por la pieza del mango propiamente dicha, que es bastante ergonómica y antideslizante. Es tan fácil montarlos como, llegado el caso, desmontarlos. Una vez montado, el conjunto es ROBUSTO y se mantiene firme mientras estás limpiando (quiero decir que no tienes la sensación de que se te va a desmontar en cualquier momento). Tiene una longitud total de 124 cm, longitud que me parece adecuada para personas de casi cualquier estatura porque podemos agarrar el palo o bien por el mango o por cualquiera de sus secciones. El mango lleva una arandela en el extremo superior que nos permite guardar la mopa colgada de un gancho en la pared.  La MOPA propiamente dicha (es decir, el cabezal) mide 25 x 11 cm y en la parte superior tiene unas hendiduras de goma donde se fijan los paños atrapapolvo. Están muy bien diseñadas porque los paños no se sueltan jamás. En la parte donde va fijado el palo tiene una rótula que puede girar 360º. Eso facilita llegar a cualquier rincón de la casa y poder limpiar debajo de los muebles aunque el espacio entre ellos y el suelo sea poco (cuando la ponemos plana, la mopa y la rótula miden unos 5 cm de altura).  Como decía, en conjunto con los paños de la misma marca es MUY EFICAZ para atrapar el polvo del suelo, incluso entre las junturas de las baldosas. También atrapa el pelo de las mascotas. Evidentemente, no limpia tan a fondo como un robot aspirador pero hace muy bien su trabajo con la ventaja añadida de que puedes pasar la mopa por debajo de los muebles donde el robot no llega porque es demasiado alto.  El kit viene con la mopa y 8 recambios, específicamente, paños secos. También tenemos la opción de comprar toallitas húmedas y así nos evitamos fregar el suelo (por ejemplo&amp;nbsp;&lt;a data-hook="product-link-linked" class="a-link-normal" href="/–-Swiffer-toallitas-húmedas-x24/dp/B003NGXDKM/ref=cm_cr_getr_d_rvw_txt?ie=UTF8"&gt;– Swiffer toallitas húmedas x24&lt;/a&gt;).  Los paños secos se pueden lavar a mano (yo no me he atrevido a meterlos en la lavadora), y así los podemos reutilizar una vez más.  A mí me parece un kit con una buena relación calidad-precio.</t>
  </si>
  <si>
    <t>Confiabilidad Perfecto</t>
  </si>
  <si>
    <t>Buena relación calidad-precio Sorprendido gratamente con los estos auriculares en un rango de precio económico. Cable aparentemente resistente. Conectores y auriculares en metal que le da un toque de calidad. La caja viene con una bolsa de transporte, una pinza para sujetar el cable y reemplazo de almohadillas. Son muy cómodos y se me acoplan incluso para correr. Sonido con buenos graves y nitidez más que buena. El auricular sella bastante bien en el oido y no se recibe ningún sonido del exterior</t>
  </si>
  <si>
    <t>PRECIOSO Y SIENTA GENIAL Estoy muy contenta de haber comprado estas mallas deportivas. Son de muy buena calidad y por fin vuelvo a tener buen tipo.Sientan de maravilla. LA RECOMIENDO.</t>
  </si>
  <si>
    <t>Calidad precio ideal. Perfecta y precio bueno.</t>
  </si>
  <si>
    <t>Cumple su función correctamente Cumple su función correctamente</t>
  </si>
  <si>
    <t>Súper chulas Super chulas</t>
  </si>
  <si>
    <t>Ok Perfecto</t>
  </si>
  <si>
    <t>Perfecto Va muy bién para limpiar las cuchillas de la termomix. Llega a todos los rincones, estoy contenta con el cepillo.</t>
  </si>
  <si>
    <t>Perfecto, lo esperado Ya lo conocía porque he tenido otro igual y se ajusta perfectamente a lo esperado. Lo recomiendo sin duda alguna</t>
  </si>
  <si>
    <t>Conocido Es la seguna vez que compro este modelo. El primero se averió pero cumplió muy bien 5 años. Respecto al tamaño decir que lo veo lógico y ligero (algo que valoro mucho), no como  los "escudos medievales" que tan de moda estan ahora. Perfecto para mi.</t>
  </si>
  <si>
    <t>buena tarjeta No sé si será buena o es que he tenido suerte, pero por ahora de lujo.  La tengo montada en una raspberry que (entre otras cosas) saca fotos y timelapses cada 10-20' (los ficheros rondan los 2MB-300MB). Al estar alimentada por placa solar, los cortes repentinos son habituales, y creo recordar que no he tenido ni un problema en 1 año (cruzo los dedos...). La temperatura de funcionamiento no creo que haya bajado de 5ºC, pero en verano sí que habrá estado por los 40ºC-50ºC.</t>
  </si>
  <si>
    <t>Calidad precio muy buena. Me gustan mucho me los puse hace 10 dias y aún no me los he quitado son comodos y no dan alergia.</t>
  </si>
  <si>
    <t>Perfecta. Repetí y repetiré Ideal. Tanto que acabé comprando más para mí y para casi toda mi familia... El tallaje adecuado. La parte de dentro es súper suave, se adapta genial al cuerpo y además se seca muy rápidamente. A pocas cosas puedo darle tan buena puntuación. Por ponerle un pequeño pero: las de color oscuro destiñen algo (poco) si llevas otra prenda clara.</t>
  </si>
  <si>
    <t>Anónimo Ya he tenido botas de esta marca y sigue cumpliendo en comodidad y calidad. Buen producto y buen precio, recomendable</t>
  </si>
  <si>
    <t>Bueno para lo que es Sobre la evaluacion de si alivia el dolor , todo depende de cada persona esa pregunta deberia sobrar ya q no es un medicamento.</t>
  </si>
  <si>
    <t>Ancho no coincidente Al hacer la compra indicaba que era de ancho especial 2E, el producto es de ancho estándar.</t>
  </si>
  <si>
    <t>Perfectos! Son los zapatos más cómodos que me he puesto nunca, los recomiendo 100%!!</t>
  </si>
  <si>
    <t>muy bueno Me gusta todo cómodo</t>
  </si>
  <si>
    <t>Oscar Buen cepillo de terciopelo para los discos, no ralla y quita las motas de polvo fácilmente, como pega la tapa que contiene el cepillo limpiador es un poco floja.</t>
  </si>
  <si>
    <t>Decepción Buenas, me a llegado el abrigo hoy y resulta que el bolsillo interior esta roto y tiene un agujero</t>
  </si>
  <si>
    <t>Buen sonido, pero malos en todo lo demás. La calidad del sonido es buena, pero los materiales de fabricación son malos (se me rompieron a las pocas semanas de usarlos) y la forma de los cascos es muy incómoda, hasta el punto de hacer daño. Y si tuviera que devir más, le falta un controlador de volumen además de un botón para pausar la música y saltar canciones.</t>
  </si>
  <si>
    <t>Meli Número muy pequeño</t>
  </si>
  <si>
    <t>FALSO Es falso,no lo compre pero algunos modelos de las fotos son falsos miradlo por internet</t>
  </si>
  <si>
    <t>Ojo, lo barato es barato por algo Para lo que es y el precio que tiene, es lo que se describe. Sencillo, barato y útil. De momento me funciona perfecto y efectivamente es resistente al agua para actividades normales de natación en agua dulce. Corrijo tras unos pocos meses de uso: cambié la pila al mes porque dejó de funcionar. Ayer de nuevo igual. Resultado: reloj a la basura.</t>
  </si>
  <si>
    <t>Bien He tenido el reloj durante varias semanas. Hace todo lo que se reclama. Lo compré porque quería un dial fácil de ver sin necesidad de usar mi lectura gafas. Me visto 24/7 incluso en la ducha sin  problems  I have had the watch for several weeks.  It does all that is claimed.  I bought it as I wanted an easy to see dial without the need to wear my reading Spectacles.  I wear 24/7 including in the shower without any problem</t>
  </si>
  <si>
    <t>Muy altas de atras Me pedí un 37 que es la talla que usó y me queda un pelin grande, eso lo he solucionado poniéndole unas plantillas,  cumplen su función, no resbalan y son bonitas pero el fallo es que son demasiado altas del talón y cuando haces una jornada de 10 o 14h acabas con los pies y las piernas destrozadas, es casi como trabajar en tacones.  Para jornadas de trabajo cortas son ideales porque la con la cámara de aire parece que Andes flotando, el fallo es la altura del talón</t>
  </si>
  <si>
    <t>Correcto Un poco más pequeño de lo q esperaba. El diseño es muy bonito</t>
  </si>
  <si>
    <t>Cómoda y buena organización Aunque el archivador es de plástico es muy cómodo para la organización de los documentos y con gran capacidad.</t>
  </si>
  <si>
    <t>buena relacion calidad precio Buena calidad para el precio siendo una marca cara</t>
  </si>
  <si>
    <t>Calidad garantizada Vale la pena comprarlos, la gente que esta detras de este producto son personas que trabajan para mejorarlo dia tras dia y eso se nota, nada mas comprarlo antes de que me lleguen me di cuenta ya que me enviaron un correo dando las gracias por comprarlo y esque nada mas ver los auriculares notas que lo tienes muy bien cuidado, son comodos, tienes un cable resistente y bonito. Recomendado si quieres unos auriculares de calidad.</t>
  </si>
  <si>
    <t>Perfectos Para el precio que tienen me han sorprendido mucho. Buen sonido y el control funciona cosa que con otros no pasa.</t>
  </si>
  <si>
    <t>Me venia grande Pedí mi talla habitual en zapatillas pero en este estilo me vino mas grande, recomiendo comprar un numero menos al usual. Sin embargo pedí el cambio, y llego a los tres días el otro par. Lo recomiendo.</t>
  </si>
  <si>
    <t>La rapidez Conforme con el pedido</t>
  </si>
  <si>
    <t>Perfecto en todo! El producto es de silicona y acero inoxidable. Precio/calidad inmejorable, de fácil uso y lavado. Lo recomiendo 100%, compra estupenda.</t>
  </si>
  <si>
    <t>El precio es impresionante y lo consigues RÁPIDO !! ¡AMO este artículo!¡AMO este artículo!&amp;nbsp;Tengo Amazon Music en mi teléfono y ahora esto hace que sea mucho más fácil no mencionar la posibilidad de contestar llamadas.&amp;nbsp;El precio es impresionante y lo consigues RÁPIDO !!</t>
  </si>
  <si>
    <t>Una maravilla muy funcional Me han dejado bastante sorprendido,lo quería para escuchar música,pero probando me he dado cuenta que son súper versátiles, lo mismo los puedo usar de manos libres para hablar por teléfono (tanto por cable como por BT) que los puedo usar de auriculares con micrófono para la Xbox, conectándolos con cable al mando con un adaptador de CTIA a OMTP. Muy contento con la compra.</t>
  </si>
  <si>
    <t>Oriculares Me van estupendamente asta para descolgar llamadas del oricular incluso con otra marca de tlf con un xiaomi</t>
  </si>
  <si>
    <t>Buena batidora Por ahora no me ha dado ningun problema. Funciona correctamente y se puede desmontar rapidamente para limpiarla. La recomiendo</t>
  </si>
  <si>
    <t>Perfecto Es muy bonito lo compre para mi padre que no ve muy bien y está contentisimo</t>
  </si>
  <si>
    <t>Es bueno Hace su función en corta duración,</t>
  </si>
  <si>
    <t>Pequeña y espaciosa Fabuloso para el día a dia entra perfectamente la cartera el móvil las llaves y alguna cosita mas</t>
  </si>
  <si>
    <t>Muy bonitos y sencillos A mi señora le han encantado. No pesan nada de nada y dice que son cómodos. Por tema de diseño son muy bonitos y sencillos a la vez. Los recomiendo. Además, como detalle, es algo que llama la atencion y seguro que gusta.</t>
  </si>
  <si>
    <t>Ok Cómodos las tallas son muy muy justas</t>
  </si>
  <si>
    <t>Auriculas bluetooth Me han gustado mucho estos auriculares bluetooth. Los encuentro una buena opción por su relación calidad-precio. Son muy cómodos de usar, no molestan aunque los utilices durante mucho tiempo seguido como es mi caso. El funcionamiento es muy sencillo y el emparejamiento con el reproductor no me ha dado en ningún momento problemas. Vienen en una caja o estuche de carga con batería de 800mAh, que permite cargar completamente los auriculares entre 7 u 8 veces antes de tener que volver a cargar la batería. La verdad es que se escuchan muy bien; yo los utilizo en el gimnasio y siempre se han escuchado de forma nítida. Por ahora estoy muy satisfecha con la compra.</t>
  </si>
  <si>
    <t>Muy buenas Son muy comodas la verdad para trabajar son perfectas y son bastante transpirable s  y son muy ligeras muy buen producto</t>
  </si>
  <si>
    <t>Diseño inmejorable Excelente diseño en acero inoxidable. Funciona muy bien.</t>
  </si>
  <si>
    <t>No es lo que buscaba Solo lleva el refuerzo para sudar en la cintura, no en todo el pantalon</t>
  </si>
  <si>
    <t>Esta bien pero es pequeño el artículo esta bien. Sin embargo, no es lo que esperaba ya que el reloj es bastante pequeño para una muñeca adulta normal. No se si al momento de comprarlo no vi bien las especificaciones, pero creo que no estaban bien puestas. En fin, solo digo que hay que tener cuidado por que puede ser mucho más pequeño de lo que creen.</t>
  </si>
  <si>
    <t>Frágil Mala calidad</t>
  </si>
  <si>
    <t>Asqueroso Pone que es un soporte de microfono universal, al intentar usarlo para el mio le ha rayado al completo que esta practicamente para tirar, y logicamente no se hacen cargo de la reparacion ni sustitucion del microfono</t>
  </si>
  <si>
    <t>Para usuario doméstico más que suficiente Apta solo para una guitarra y voz simultánea</t>
  </si>
  <si>
    <t>Ajuste perfecto en el pie Se ajustan perfectamente al pie, lo cual es importante a la hora de hacer rutas por la montaña. Pero, para mi gusto, ejercen demasiada presión en el tobillo (y mis tobillos son muy finos)  y puede hacer que se hinchen los pies mientras caminas.</t>
  </si>
  <si>
    <t>Barato y robusto Después de valorar los diferentes formatos de pendrive y las muchas marcas existentes, me decidí por este por los comentarios que había de robustez y el precio tan competitivo. Me encanta el diseño, es pequeño, elegante y parece duradero, el único pero que le pondría es que sería interesante que incorporara un led indicador de escritura/lectura de datos.</t>
  </si>
  <si>
    <t>ENCANTADA Llevo usandolo unas semanas y es justo lo que necesitaba. No ocupa mucho espacio y como no almacena el zumo (Se vierte directamente en los vasos) puedes exprimir mucho o poco sin tener que estar vaciando la jarrita. Es facil de limpiar y de material resistente. El precio me parecio adecuado.</t>
  </si>
  <si>
    <t>Buen producto Me parece comodo, buen tejido y abrigo</t>
  </si>
  <si>
    <t>Buenas Cómodas,que decir de ellas,son havaianas!!!</t>
  </si>
  <si>
    <t>Mejor de lo esperado Hierve el agua en nada de tiempo. Las infusiones se preparan en un momento ya que la jarra se extrae de la base y es termo. Calidad precio excepcional al menos cuando yo lo compre. Llego antes del tiempo marcado. Dispone de recoge cables en la base. A la hora de comprarlo hay que tener en cuenta que es un aparato con alta potencia ,mas de 2500 w., si bien esto es lo que hace que el agua hierva en un periquete.</t>
  </si>
  <si>
    <t>Compra perfecta Las zapatillas son perfectas, me encantan y llegaron antes de lo esperado. Estoy encantada con esta compra. Además son muy comodas</t>
  </si>
  <si>
    <t>Fscil de usar y limpiar Esta muy bien calidad precio</t>
  </si>
  <si>
    <t>Muy cómoda Super cómoda, tamaño correcto. Quizás algo pequeña para viajes. Materiales de primera calidad.</t>
  </si>
  <si>
    <t>Divertido y entretenido Viene desmontado...pero si sigues las instrucciones es bastante fácil, aunque lleva su rato. Un regalo muy original ya que puedes decorarlo como a ti más te guste. Vienen muchas cositas en una bolsa, es divertido y entretenido. Una idea genial.</t>
  </si>
  <si>
    <t>Perfectos Había comprado ya otros productos de esta marca y me había gustado mucho la presentación: envío, complementos, instrucciones,.. y los auriculares no lo son menos: la caja viene con almohadillas de repuesto, pinzas de sujección, todo bien acabado y embalado. El sonido de los auriculares, estupendo de momento.</t>
  </si>
  <si>
    <t>Buena calidad Nos en canto mi nieto esta como loco con su sudadera</t>
  </si>
  <si>
    <t>Gran compra aunque algo cara Gran hervidor de Bosh, el cual te deja calentarlo hasta 70, 80, 90 o 100 grados y que se apaga sólo al llegar a la temperatura deseada. Calienta desde medio litro hasta un 1.5 L.  Es bonita y funciona perfectamente</t>
  </si>
  <si>
    <t>Suave olor a limón. Me ha encantado este aceite. El envío fue muy rápido. Lo que más me gusta es el suave olor a limón que deja. Muy dulce pero nada empalagoso. Yo lo utilizó en un difusor de esencia y se disuelve genial. Lo utilizó por sus propiadades que utilizadas en aromaterapia son energizantes, antiinflamatorio. Es intenso pero suave. Se puede usar también para fregar. Una gota o un par en el cubo de la fregona y perfuma la casa. Muy recomendable</t>
  </si>
  <si>
    <t>Buen reloj Muy buena relación calidad precio En azul muy bonito y elegante Creo que merece la pena comprarlo sin duda alguna</t>
  </si>
  <si>
    <t>Muy útil para el día a día La verdad es que lo compré para probar y lo he utilizado cada día desde que me llegó. No ocupa nada de espacio (lo tengo montado en un rincón de la cocina), es muy cómodo de usar y también de mantener limpio, no pesa nada, y recoge las partículas incluso mejor que una escoba normal! Está claro que me ha sorprendido muy positivamente.</t>
  </si>
  <si>
    <t>Sencillo y bonito. Esta muy bien para regalar o para una misma. Es sencillo y muy bonito. La. Cadena es de la medida correcta, llega a la barriga perfectamente para que el bebe lo pueda oír sin problemas ad. Llega bastante rápido.</t>
  </si>
  <si>
    <t>Está bien Sin problemas, justo lo que esperaba, preciso, cómodo y muy útil el hecho de poder cambiar el cabezal para usar la guía que quieras</t>
  </si>
  <si>
    <t>No son zapatillas para darles mucha dureza . Enseguida se rompen Un poco descontento se despegó la suela el 1 día . El fabricante amablemente me dijo , me enviaría otras , después de 3 meses no he recibido nada .</t>
  </si>
  <si>
    <t>Mucho mejores que las imitaciones Son para mi hijo, y ha notado un cambio enorme entre unas sandalias similares de una marca blanca y éstas. Si se vana usar intensivamente merece la pena la diferencia de precio.</t>
  </si>
  <si>
    <t>Muy bonito Tal como lo describen</t>
  </si>
  <si>
    <t>Cómodísimas Las uso para trabajar en el hospital y son muy cómodas. Yo uso la talla 38, y me cogí la talla 37-38 y me quedan perfectas!</t>
  </si>
  <si>
    <t>Incomodísimos La calidad del sonido es buena y la sincronización con iPhone es muy sencilla. Ahora bien, son increíblemente incómodos. Son muy voluminosos y cuesta encajarlos en el oído, además de que los ganchos que tienen para que se te agarre bien el auricular a la oreja dan más problemas que otra cosa</t>
  </si>
  <si>
    <t>que cubre mis espectativas Estoy  contenta con esta compra. Gracias</t>
  </si>
  <si>
    <t>Me gustan pero no me encantan Cuando llegaron a la casa no me terminaron de convencer, pero son buenas zapatillas si las piensas utilizar mucho para hacer deportes, o incluso para no dañar tus otras zapatillas, ese fue el uso al que yo personalmente le daré</t>
  </si>
  <si>
    <t>Se descosen sólo con llevarlas puestas Se rompieron,  se descosieron al segundo día llenandolo todo de semillas. Y eso, sin andar con ellas y con el número de pie adecuado</t>
  </si>
  <si>
    <t>Talla Los devolví por ser muy anchos.</t>
  </si>
  <si>
    <t>No funciona con la mayoría de los dispositivos incluido el ordenador No funciona con el ordenador, ni con la grabadora externa ni con entradas de line in. Practicamente inservible. Deberían distribuirlo con algún adaptador a entrada jack corriente.</t>
  </si>
  <si>
    <t>Bien Fácil de usar, no hace ruido aunque no lo usamos durmiendo. Es bonito</t>
  </si>
  <si>
    <t>Buen tamaño y calidad por el precio que es Está bastante bien por el precio que es, no le pongo 5 estrellas porque al escribir se mueve un poco.</t>
  </si>
  <si>
    <t>Correcto Envío rápido y  sin problemas. El embalaje correcto, y bien protegido. El acabado no es tan perfecto como se ve en las fotos, es lo que tiene cuándo las joyas tienen más photoshop encima del que debieran.</t>
  </si>
  <si>
    <t>Zapatillas Las tengo hace un mes ,y de momento todo bien son cómodas ligeras y bonitas, quizás un pelín grandes pero nada exagerado, tengo más zapatillas de esta marca, y supongo que estas seran algo más grandes por el modelo...</t>
  </si>
  <si>
    <t>Genial La calidad del sonido y la claridad son máximas. La música se escucha perfectamente. La única pega es que no cuente con botones en el cable para cambiar la canción o pasarla.</t>
  </si>
  <si>
    <t>Buena compra Son muy útiles,  yo cogí un paquete y las tengo en el maletero, siempre a mano. Un básico</t>
  </si>
  <si>
    <t>Lo volvería a comprar! Compré este álbum para hacerle un regalo a mi pareja. Considero que es de muy buena calidad en relación al precio que tiene. incluye muchísimas páginas y son robustas (yo llegué a enganchar hasta 4 fotos por delante y detrás y seguían recias). Además incluye pegatinas y bolígrafos para decoración. Muy buena opción si quieres hacer un regalo diferente y propio. Personalizable 100%.</t>
  </si>
  <si>
    <t>Buena calidad Un producto con bastante calidad</t>
  </si>
  <si>
    <t>EXCELENTE FUE UN REGALO PARA MI SOBRINA  ESTA ENCANTADA.</t>
  </si>
  <si>
    <t>Perfecto para mi actividad deportiva Un producto que he adquirido ya varias veces, perfecto</t>
  </si>
  <si>
    <t>comodas y calentitas el tallaje es bueno, pensabamos que quizas podia ser un poco grande pero que va! es la talla ideal. las zapatillas son muy comodas, no son muy altas ni muy bajas. son muy calentitas y de tacto suave. me gusto mucho el color, es mas bonito en persona que en la foto.  en resumen unas zapatillas comodas y que se adaptan a la perfeccion al pie</t>
  </si>
  <si>
    <t>Muy muy bonito Lo estuve comparando con el Lorus RXD425L8, al final me quedé el Lorus por ser de titanio, pero este me encantaba, la correa tiene un tacto súper-agradable, los números de las horas brillan en la oscuridad, la legibilidad es genial, y el contraste de las agujas con el fondo negro es estupendo. Si hubiera sido de titanio, aunque hubiera sido más caro, ni me lo hubiera pensado, estuve a punto de quedármelo de todas formas, pero al final el diámetro me parecía excesivo, y no me hacía falta otro reloj.  Si te gustan los relojes con este diámetro, es una gran elección, para mucha gente los Lorus como el que me he quedado son pequeños.</t>
  </si>
  <si>
    <t>Disco duro funcionado en MacBook El disco funciona perfectamente en un Macbook A1278.  La instalación de hardware es muy sencilla; se reemplazó el disco anterior por este Crucial en el Macbook Pro A1278 (Core i5, 2011), y una vez instalado el hardware se formateó e instaló el sistema operativo MacOS High Sierra. Ante cualquier duda, la propia página web de Crucial tiene instrucciones tanto en inglés como en español para instalar, formatear y usar en Mac; también tiene soporte para saber si es compatible con otros equipos y fabricantes.  Se notan diferencias entre el disco anterior (HDD) y el Crucial MX500: - El ordenador opera con un esfuerzo mínimo del procesador. Ya no se escucha el ventilador cuando hay más de 4 programas corriendo (incluyendo Safari, Firefox, iTunes, Pages y QuickTime) o cuando se suben y descargan archivos y videos. - La transferencia de archivos entre el Mac y unidades de almacenamiento externas son más rápidas. - El sistema operativo se inicia más rápido al encender y la instalación de MacOs fue más rápida también.</t>
  </si>
  <si>
    <t>Servicio muy rapido Era un regalo de cumple y le ha encantado, no hay peros.</t>
  </si>
  <si>
    <t>Muy buen olor Huele muy bien. Lo utilizo con un humificador y deja un olor muy agradable y relajante. Lo volvería a comprar.</t>
  </si>
  <si>
    <t>va fenomenal 2 veces mas rapido que crucial p1</t>
  </si>
  <si>
    <t>Como un guante😀 Son perfectos,cómodos...</t>
  </si>
  <si>
    <t>Comodas y chulas Son unas zapatillas muy cómodas y a mí me parecen muy chulas</t>
  </si>
  <si>
    <t>Muy util para marcar la ropa de los niños Lo he utilizado para marcar la ropa para la guardería. Marca en todas las telas que he probado, quizá en alguna se va antes que en otras, pero aún así, la tinta aguanta muchos lavados, con secadora incluida. Lo recomiendo ya que es muy cómodo. Hay que cogerle un poco el tino para que no se corra la tinta, pero es cuestión de probar unas cuantas veces en un papel, o tela que no vayas a utilizar.</t>
  </si>
  <si>
    <t>Recomendado 100% calidad precio En primero comentar la rapidez y eficacia de Amazon logístics en su reparto y entrega, cumplió el tiempo correctamente.  En segundo lugar comentar que la caja de dicho producto no se encontraba en su mejor estado.  Ya que se notaba que llevaba tiempo en el e almacén debido a la cantidad de polvo y roces. Obviando eso al abrir la caja,  el micrófono se encontraba en perfecto estado, con sus accesorios correspondientes (cable USB y funda + libro de instrucciones).  Al probarlo tuve que descargar el software del programa samson, ya que no viene incluido en la compra. En Internet puedes encontrarlo en la tienda oficial a un precio de 4.99$.  La calidad del micrófono es espectacular, he notado un cambio increíble con el anterior que tenía. Y lo mejor de todo es el precio, nada caro para la calidad que dá.  Recomiendo su compra 100%</t>
  </si>
  <si>
    <t>128Gbs La compré para que sirva de HD a un mini- pc y de momento va de lujo, si el precio de el producto te va bien... ;)</t>
  </si>
  <si>
    <t>Todo bien menos que no viene tornillo Esta bien bueno, no viene tornillos, menos mal que no tire la caja de la placa base porque ahí dentro tenia uno específico para el ssd pero esta muy mal que no venga tornillo. Por ahora va bien espero que siga así, el Windows ya no me va a tirones, he echo bien en pillarme un ssd</t>
  </si>
  <si>
    <t>Es lo que esperaba Me gusta, queda bien. Es un poco más grande de lo que esperaba pero bien</t>
  </si>
  <si>
    <t>super cómodas y bonitas Se adaptan totalmente a mis expectativas y son tan bonitas como en las fotos. Los materiales se corresponden con los descritos en Amazon. Gracias</t>
  </si>
  <si>
    <t>La calidad no es buena. EStan deformes con el poco uso que han tenido Son los zapatos que pedí y que quería pero con el tiempo se va la mala calidad.</t>
  </si>
  <si>
    <t>Me esperaba mejor calidad Yo esperaba que fueran más satinadas y pegaran mejor, la verdad es que se despegan con facilidad, así que he tenido que repetir alguna etiqueta.</t>
  </si>
  <si>
    <t>Pintones Demasiado brillantes y plásticosos pero pintones</t>
  </si>
  <si>
    <t>NO SIRVE PARA HACER SLIME. NO SIRVE PARA HACER SLIME. DEBERÍAN INCLUIR UNA NOTA, CON ESE DATO. Es un producto muy caro, para que ni siquiera sirva para lo que lo buscamos la mayoría de las madres. Esto no es un sustitutivo del Borax. Es un producto diferente y un timo por su parte, anunciarlo como tal. Espero que este comentario ayude a otros padres a no comprar su producto y comprobar su inutilidad.</t>
  </si>
  <si>
    <t>Copia y de muy mala calidad Lo compré hace un año y se ha quedado sin pilas dos veces. Además, la correa está muy deteriorada y tiene manchas de corrosión en la placa inferior. En relojería me han dicho que no es original, sino una copia. Por último, comentar que es extremadamente complicado igualar la hora que dan las manecillas con la de los dígitos. En resumen, una decepción absoluta.</t>
  </si>
  <si>
    <t>ideales para cartas Perfectas. Deberia haber cogido más, he hecho corto, y así aprovechar el envio gratuito. Tendré que pedir de nuevo en el próximo pedido que haga.</t>
  </si>
  <si>
    <t>Muy cómodos Me trajeron uno de cada número pero tardaron poco en traerme otros correctamente. Son muy cómodos. No pesan nada. Sujetan el pie. Dos amigas me encargaron unos al vérmelos. Color bonito. Y tallan bien. Yo uso 37 y pedi 37-38.</t>
  </si>
  <si>
    <t>sin sorpresas calidad precio</t>
  </si>
  <si>
    <t>Bien, pero un tanto complicados. Diseño genial y suenan bastante bien. Por contra creo que son un poco complicados de emparejar. La sujeción al oido tampoco es 100x100 segura. No son adecuados para hacer deporte. En general cumplen su conetido.</t>
  </si>
  <si>
    <t>Muy buena calidad Los mejores biberones del mercado y la oferta es buenisima.</t>
  </si>
  <si>
    <t>Regalo ideal Precioso microfono. Mi niña esta encantada. Se escucha super bien y es muy facil de manejar (tiene 5 años). Ademas la bateria dura muchisimo y se carga en 4 o 5h. Lo recomiendo. Como regalo es ideal</t>
  </si>
  <si>
    <t>Perfecto Es un buen producto, llego en perfecto estado: El reloj tiene actualmente más de 6 meses de uso y funciona perfectamente!</t>
  </si>
  <si>
    <t>Comodidad Bonitos .cómodos  me gustan mucho .</t>
  </si>
  <si>
    <t>regalo perfecto! Se lo regalé a mi sobrina y le gustó mucho. Suena bastante bien y como se puede insertar una tarjeta sd se pueden grabar canciones sin depender de un móvil, ordenador... La luces discotequeras también le han encantado, ;-)</t>
  </si>
  <si>
    <t>Ideal para smartphones La compré para configurar como memoria interna del smartphone, y debía de ser una tarjeta rápida para acceder a datos y funcionó a la perfección, se nota mucho la diferencia con las de menor velocidad, a la hora de ver fotos, videos o descargar datos al pc. Recomiendo enormemente usar este tipo de tarjetas o superiores para obtener velocidad y eficacia y no morir en el intento.</t>
  </si>
  <si>
    <t>Todo bien Todo bien, tal como lo esperaba.</t>
  </si>
  <si>
    <t>Cumple con lo que se dice, todo bien. Quedan perfectas</t>
  </si>
  <si>
    <t>Perfectos y son originales,no copias. Son totalmente originales,nada de réplicas.</t>
  </si>
  <si>
    <t>La mejor calidad precio. Es genial tiene fuerza y da calor a la vez que masajea me esta ayudando mucho gracias a la tienda .</t>
  </si>
  <si>
    <t>Para empezar esta bien 👍 Por el precio creo que está bien. Corto alcance para que suene bien, suena un poco radio antigua; pero tiene bastantes efectos, no cambian mucho, pero como digo.. Por el precio tener este inalámbrico, para empezar esta bastante bien.</t>
  </si>
  <si>
    <t>Pequeño y rápido. Francamente muy rápido.</t>
  </si>
  <si>
    <t>Una manta electrica estupenda Habia leido opiniones anteriores diceindo que era una manta electrica muy buena, pero que podia venir con el enchufe britanico. Pues bien, he probado la manta y es estupenda y ademas he tenido suerte y el enchufe es el español de dos clavijas normal. Muy buena compra y muy buen precio.</t>
  </si>
  <si>
    <t>Bolso bandolera Rembolso total</t>
  </si>
  <si>
    <t>batidora cecotec Estoy muy contento de esta batidora, es super potente y muy completa, tiene muchas velocidades y muy silenciosa, y precio muy competitivo.</t>
  </si>
  <si>
    <t>CABLES ORDENADOS POR FIN Por fin tengo los cables ordenados. Fácil de usar gracias a la guía que se adjunta. Lo he usado para los cables del TV,ruter,etc... y me sobra otro para cualquier otra instalación.</t>
  </si>
  <si>
    <t>Estos son los mejores para mí Estas botas de montaña son las mejores para mí porque son relativamente livianas, tienen un soporte de arco decente y sus suelas son lo suficientemente resistentes como para caminar sobre el pavimento y en el bosque.</t>
  </si>
  <si>
    <t>es preciosa.muy buena calidad precio Me ha encantado.muy bonita</t>
  </si>
  <si>
    <t>Muy buena compra Perfecta cómoda entra en la nevera por su pequeño tamaño unos casi de 1litro se puede llenar hasta el tope no se le escapa nada gracias a un doble sistema de sellado de cristal muy espeso ósea del bueno me gusta porque además tiene diferentes opciones desde muy flojo hasta una velocidad muy potente y efficace y lo mejor de todo es que casi no hace ruido me hice un batido a las 5am y no desperté a nadie en casa una pasada gracias Amazon 😘😘😘😘</t>
  </si>
  <si>
    <t>Material un poco duro para sentirse cómodo al andar Me resulta muy duro el material y para mí no es cómodo. He comprado otro modelo de tela...</t>
  </si>
  <si>
    <t>Auriculares standares buena relación calidad precio Lo que no me ha gustado es que el cable es un poco corto, me hubiera gustado que hubieran medido unas 20cm más, son de unos 128cm aproximadamente de longitud. Por lo demás por el precio que costó y para batalla considera que tienen una buena relación calidad precio. Si quisiera más calidad debería subir el presupuesto.</t>
  </si>
  <si>
    <t>Satisfecha Esta bien para su precio, pero la luna me parece  grande y el primer collarcito pequeño, muy pegado al cuello... eso si por el precio que tiene ni una pega... no se le puede pedir mas</t>
  </si>
  <si>
    <t>Vergonzoso Un vergüenza. Solicite el cambio por se el producto demasiado pequeño sin contar lo malo que es producto) y ni siquiera se digna a contestar. Lamentable</t>
  </si>
  <si>
    <t>Sonido de muy baja calidad Muy mal sonido, especialmente en los agudos. A pesar del precio esperaba mucho mas Adicionalmente son incómodos de llevar: orejeras de piel sintética que no transpira, bastante peso y presión contra las orejas</t>
  </si>
  <si>
    <t>Muy bien precio Grande y fresca</t>
  </si>
  <si>
    <t>Más grande de lo que me esperaba Buena calidad. Es un poco más grande de lo que me esperaba, por lo demás es espaciosa. Tiene muchos bolsillos para poder llevas gran cantidad de cosas.</t>
  </si>
  <si>
    <t>Confort Suaves y comodos</t>
  </si>
  <si>
    <t>Buena relación calidad/precio. La bolsa funciona correctamente. Es lo que anunciaban y lo que esperaba. Lo peor es que el envío es aleatorio en cuanto al diseño, que te gustará o no. Por lo demás, bien. El tejido es adecuado conservando el calor, el tapón de cierre es bueno, la funda se puede quitar para el lavado...</t>
  </si>
  <si>
    <t>Bueno, de calidad pero me fue complicado configurarlo Está muy bien, el sonido es bueno para un karaoke. Es complicado a la hora de vincular con un canal. Pero con paciencia se llega.</t>
  </si>
  <si>
    <t>Igual que la foto Me ha gustado mucho la camiseta y la medida también esta bien</t>
  </si>
  <si>
    <t>Muy satisfecho con la tarjeta Plazo de entrega muy rápido, embalaje perfecto. La tarjeta la estoy usando en un NOTE 8. Venía ya formateada (sacarla del envoltorio, introducirla en el terminal, y listo). Actualmente tengo almacenadas en ella unas 6.500 fotos y varios vídeos en distintas resoluciones, tanto 4K como FullHD@FPS. Grabación sin cortes, acceso rápido. Ningún problema de momento, después de 2 meses y medio de uso. Precio razonable.  La recomiendo. Además, según las especificaciones del fabricante, es resistente al agua y a temperaturas extremas. La recomiendo.</t>
  </si>
  <si>
    <t>Muy satisfecho con la compra Encantado con este aspirador a su máxima potencia aspira muy bien gracias también a su rodillo giratorio para aspirar los vehículos también encantado con él suficiente autonomía para aspirar un vehículo y suficiente autonomía para aspirar una casa pequeña normal en modo de baja velocidad dura muchísimo rápido en recargar muy manejable y la iluminación de la boca inferior imprescindible y muy satisfecho lo recomendaría 100% imprescindible en mi hogar</t>
  </si>
  <si>
    <t>Muy buena bota calidad precio. Muy buena bota calidad precio, despues de una semana de uso se adapta perfecta al pie y es muy ligera. He usado botas mas caras pero la verdad que esta muy bien por este precio. Repetire sin dudarlo. Pedi un 41 para un 41 y queda perfecta.</t>
  </si>
  <si>
    <t>Muy bueno Muy bueno. No tiene que envidiar nada a otra marca más reconocida. Tritura muy bien. La recomiendo que por el precio esta súper bien. Tengo un procesador más grande, pero prefiero este</t>
  </si>
  <si>
    <t>Recomendable para aplicar calor en zona localizada Cojín práctico y muy recomendable para aplicar calor en zonas localizadas Interesante el sistema de seguridad con el que cuenta....</t>
  </si>
  <si>
    <t>Muy bonito, buen sonido. Me encanta, muy buen sonido.</t>
  </si>
  <si>
    <t>Buenas zapatillas Las zapatillas están muy chulas, han llegado rápido, lo único que habiendo pillado un número de más todavía está un poco estrecho</t>
  </si>
  <si>
    <t>Cómodas y bonitas Son cómodas y muy bien echas, seguro que compró mas</t>
  </si>
  <si>
    <t>Difusor Estoy contenta si le pones aceites esenciales deja un olor en casa genial</t>
  </si>
  <si>
    <t>COMODÍSIMO Muy manejable, muy cómodo de usar, tengo otros de ese estilo, pero este en especial me ha gustado mas por el hecho de tener tres tipos de conexión en lugar de los dos habituales.</t>
  </si>
  <si>
    <t>Gran potencia y complementos útiles Compré esta batidora por las variedades de los completos que tiene y usos que ofrecia, y así es cierto vale para muchas más cosas, no solo para los batidos. La he probado a parte de batidos, con hielo y con granos de café y ciertamente tritura y pica muy bien, claro que depende de las cuchillas que pongamos, me encanta su modo turbo aunque creo que le sobra potencia para no abusar de él. Tiene la función de parada por sobrecalentamiento por si acaso pero no he querido forzarla obviamente y ni picando grano de cafe ha sufrido, es super potente. En encanta también la establidad que tiene con las ventosas como patas y como ya dije antes de la calidad de los materiales y los diferentes tamaños de vasos y complementos, muy hermetico todo, en fin. POr poner un pega, el ruido que emite sobretodo en hielo por ejemplo aunque supongo que para este tipo de maquina es practicamente invitable.</t>
  </si>
  <si>
    <t>huele fresco y a limón puro Perfección aroma de limón huele toda la casa Lo use como lo uses ademas perdura el olor a dias sin usar el humidificador .. super contento d buen resultado</t>
  </si>
  <si>
    <t>Muy bonitas El modelo. El precio es algo caro pero bueno  puede pasar.</t>
  </si>
  <si>
    <t>Muy cómodas. Lo principal, que sean cómodas y lo son, son las segundas que compro de esta marca y puedo asegurar que no vuelvo a comprar unas chanclas en el chino en mi vida, aunque las uso por casa, este verano voy a ir con ellas a todos lados a lo frank de la jungla y al que no le guste que beba agua.</t>
  </si>
  <si>
    <t>zapatillas comodas las zapatillas llegaron en el tiempo indicado ,son muy livianas y cómodas para andar</t>
  </si>
  <si>
    <t>magnificos smoothies y gazpacho Muy potente y rápida y fácil de limpiar. Lo único negativo es que es un poco aparatosa</t>
  </si>
  <si>
    <t>Estupendas Están muy bien</t>
  </si>
  <si>
    <t>Cadena finísima Cadena finísima,lo tuve que devolver porque era para un regalo y me parecía muy frágil,al ser tan fina</t>
  </si>
  <si>
    <t>Suela de terciopelo. Imposible para la calle Compré el tacón para una boda. Reconozco que vi algo extraño en la plantilla de terciopelo... Pero no me di cuenta de que la suela también es de terciopelo!! Es imposible ponerselo para salir, una pena. Aunque reconozco que aparece bien claro que son para baile, pero quizás mi opinión sea útil para que a nadie le pase lo mismo que a mi</t>
  </si>
  <si>
    <t>Buenas Aunque la función es buena pesan mucho y te hacen daño en la nariz Es de baterías los lentes de aumento  están bien Pero sería mejor que la luz fuera más potente</t>
  </si>
  <si>
    <t>BarataPero no cumple respectivas Para embalaje en cartón no pega suficiente y rompe fácilmente al tirar para embalar</t>
  </si>
  <si>
    <t>Muy incomodas! Son falsas, la verdad es que tengo muchas zapatillas de la marca y ninguna son tan incomodas como estas!!! Las llevas un rato y bien, en cuanto estes mas de 2 horas.... destroza los pies...</t>
  </si>
  <si>
    <t>Tallas pequeñas Es ligero pero las tallas son bastante pequeñas. Lo he regalado a otra persona.</t>
  </si>
  <si>
    <t>Estupendas a simple vista La verdad es que a simple vista estupendas. Como punto negativo es que no venían en la caja original, venían en una blanca con una pegatina que decía que la caja se había roto en tránsito y por eso ponían esta. Pedí otras de otro número y si que llegaron en la caja original así que bueno, todo será probarlas. Tallan pequeño, ya lo leí en comentarios así que para mi cogí un 38 2/3 y quedan estupendas (lo justo para usarlas en invierno con un calcetín gordo también) pero agarran muy fuerte con el sistema de Quicklace. He leído que son duras, y a falta de probarlas caminando no me lo ha parecido, si que es verdad que este es el modelo de tela (y no Goretex) y quizá por eso es un poco más "blando". Vamos a ir a hacer algo de trekking en las próximas semanas, así que ya actualizaré el comentario!</t>
  </si>
  <si>
    <t>Sonido muy bueno pero sobresalen mucho de las orejas. El sonido es muy bueno y cumplen perfectamente su función de manos libres y auriculares pero por ponerle algún aspecto negativo he de decir que sobre salen mucho de las orejas y esto los hace un poco incómodos a la hora de escuchar música tumbado en la cama por ejemplo.</t>
  </si>
  <si>
    <t>Sonido potente Suena muy bien. Es un poco aparatoso llevarlo, no se muy bien donde colocar el altavoz y la diadema como tengo la cabeza pequeña me queda un poco grande... tiene lector de usb y la música también suena alta y nítida. Estoy bastante contenta con el</t>
  </si>
  <si>
    <t>Batidora potente La batidora es super potente....pero la parte del anclaje de la picadora se desgasto al primer uso...una pena que no mejoren esas partes en la batidora...yo es que necesito tantonla batidora comonla picadora....si solo eres de usar la batidora es una buena maquina..la recomendaria</t>
  </si>
  <si>
    <t>Buena presentación, buen precio. Lo uso para calmar la congestión nasal. Va de maravilla. Buena presentación, buen precio.</t>
  </si>
  <si>
    <t>Comodos y amplios Puedo cambiar de modelo o color pero las skechers deportivas son las que uso para trabajar e ir al gimnasio desde hace años. En cuestión de cms su tallaje es algo mas amplio que el de otras marcas pero para mi perfecto pq es mi talla ideal (en otros modelos femeninos no hay mi medida o apenas hay) alguien comentaba que no venian con el par extra de cordones, debio ser el cambio de modelo o algo pq ya van varios deportivos de esta marca que vienen sin ese cordon extra de antes</t>
  </si>
  <si>
    <t>Comodísimos Los más cómodos que he probado; ni quedan flojos ni aprietan las orejas. El sonido me parece bastante bueno. El micrófono funciona perfectamente. Se pueden usar en el ordenador.</t>
  </si>
  <si>
    <t>Amplificador Amplifica un monton tu voz tambien con un poco de ec y lo puedo unir al movil reproducir alguna cancion y cantar tua ala vez en una efecto de mezcla que queda muy bien.</t>
  </si>
  <si>
    <t>Micro SD, a buen precio cuando la compre, 5 años despues a la MITAD. Usada en una camara deportiva durante 4 años, uso esporadico sigue funciona sin problema, en grabacion a 1080@60, usada tambien en un movil durante el invierno da unas tasas de transferencia de unos 6mb en escritura. ( mi movil es un xiaomi redmi note 5 pro ) Capacidad real de la misma pues he llegado a llenar la tarjeta con la camara deportiva y sin ningun tipo de problema.  Cualquier duda estare encantado de poder ayudar a solventarla.</t>
  </si>
  <si>
    <t>Preciosos Súper bonitos</t>
  </si>
  <si>
    <t>Esta bien Se ajustan bien sin marcar quedan muy bien puestos y son económicos. Estas a muy bien de precio y tiene muchos modelos</t>
  </si>
  <si>
    <t>Buenos auriculares con muy buena autonomia Buenos auriculares a un precio razonable. Me han gustado mucho estos auriculares que se cargan solos en su estuche cuando los metes en el. Se encienden solos cuando los sacas y se apagan y cargan cuando los metes en su estuche, teniendo asi hasta 24 horas de autonomia segun su manual ya que aun no me ha dado tiempo a descargar la bateria de su caja. Me costo un poco vincularlos ya que no me lei el manual y hay que vincular-conectar solo el derecho y el izquierdo se conecta automaticamente. Resumiendo. Buen producto, se oyen muy bien, ligeros y muy buena autonomia. Que mas se puede pedir?</t>
  </si>
  <si>
    <t>Tamaño muy practico Su tamaño y calidad de los materiales empleados la hace muy adecuada para anotar pequeños mensajes de recordatorio, la lista de la compra, la toma de medicamentos, etc.</t>
  </si>
  <si>
    <t>Es genial Ha sido un regalo para mi pareja, y le encanta. Lo lleva usando ya 8 meses y no tiene ni un rasguño a pesar de estar entrenando con ese reloj.</t>
  </si>
  <si>
    <t>Auténtico aroma y la mezcla parece genuina Es bastante fuerte su aroma porque lo he usado para dormir, y con una gota cunde mucho.</t>
  </si>
  <si>
    <t>Lo que necesitaba Es un hdd externo que funciona muy bien. Trae varios extras como guardar en la nube ...etc pero no los he usado para nada. Era para mi novia y le va perfecto, la verdad es que es mas rapido de lo que me experaba aunque sin llegar a ser un ssd pero para ser hdd va bien y por ahora cumple.</t>
  </si>
  <si>
    <t>Genial Genial.Como siempre converse nunca falla. HE pedido un numero menos, como siempre. ES de saber que las converse y las Vans tallan grande.</t>
  </si>
  <si>
    <t>Entrega rapida Son las que quería, me gustan</t>
  </si>
  <si>
    <t>Cumple perfectamente con su función Le doy 5 estrellas a este producto porque cumple perfectamente con su función dando muy buena calidad. Lo uso para realizar podcast de radio y por el momento no me ha dado ningún problema.  El pero del producto, si es que se lo buscamos, es que no posee botón de ON/OFF</t>
  </si>
  <si>
    <t>Excelente Súper útil, la misma caja hace de dispensador, facilita mucho el trabajo de pegado y pega súper bien.</t>
  </si>
  <si>
    <t>Es lo que queria Perfect</t>
  </si>
  <si>
    <t>Buen sonido Por lo que he podido probar de momento, suena bastante bien y fuerte, el unico fallo que le veo es el bluetooth que tiene que estar bastante cerca si no se corta aveces</t>
  </si>
  <si>
    <t>Buena compra Perfecto para usar en pareja, muy suave y a mi pareja le gusto. El mando lo detecta bien y aunque suena un poco es perfecto. 12 posiciones y se cambia muy bien de una a otra</t>
  </si>
  <si>
    <t>Bien con matiz Al lavar se quedan unas manchas marrones o amarillentas....por laterales y donde abujeros de cordones</t>
  </si>
  <si>
    <t>En la foto tiene mejor pinta Le regalé el bolso a mi novio, él está más o menos contento, pero a mi me parece un poco grande y es de lona, para mi gusto si fuera más pequeño quedaría más mono y no tan robusto.</t>
  </si>
  <si>
    <t>Muy decepcionante La tapa es lo más incómodo que he visto en una kettle en mi vida. Se supone que tienes que echar el agua por la boquilla de salida pero, oh, ahí está el filtro de la cal, así que si echas agua se va toda para dentro. También tiene una extraña varilla metálica en vertical que no se sabe qué hace ahí y que hace muy difícil la limpieza. El plástico es malo, muy decepcionante para esta marca, porque yo tengo otro modelo desde hace años y nada que ver. Por último, el diseño no tiene nada de compacto. Si no lo devuelvo es por no hacer el engorro de tener que ir a Correos.</t>
  </si>
  <si>
    <t>El cable fa d'antena. Un cop connectat, amb els auriculars posats, quan toques el cable sents soroll, el que indica que no està ben aillat. El torno d'immediat.</t>
  </si>
  <si>
    <t>Un Casio....como casi de los de toda la vida. En las imágenes parece que es un reloj robusto como los de antes, pero la verdad que cuando lo tienes en la mano parece bastante endeble, pero dentro de todo es lo que se buscaba, un Casio de los de toda la vida a excepción de lo mencionado.</t>
  </si>
  <si>
    <t>Queda muy bien! Queda muy bien! Afelpada por dentro y tejido muy suave. Llegó antes de lo previsto</t>
  </si>
  <si>
    <t>Discreta Es bonita, pero no tanto como en la foto. En la imagen parece más grande, y en realidad es bastante pequeña, por eso no la recomendaría como un regalo, quedaría algo "pobre". Pero en general está bien,  la llevo con gusto.</t>
  </si>
  <si>
    <t>CÓMODOS Y BUENA CALIDAD Sorprende lo ligeros que son. Aunque parecen más grandes que unos auriculares normales, una vez te los colocas y ajustas bien, ni los sientes. La calidad del sonido es aceptable, sin distorsiones ni parásitos, aunque peca un poco de falta de bajos. La base de carga es muy práctica y pequeña y cabe en cualquier bolsillo, aunque cuesta un poco sacar los auriculares de ella, debido al fuerte enlace magnético cuando están en su alojamiento, es de agradecer pues garantiza que no se caigan ni estando boca abajo. Lamentablemente no he podido probarlos con emisión de radio en directo, porque mi móvil utiliza la conexión de auriculares también como antena y si colocas un jack simulado en la toma, no me duplica el sonido por el bluetooth.</t>
  </si>
  <si>
    <t>Pequeño Hola Me gustan muchisimo ,la verdad no esperaba tan buena calidad,pero los tengo que devolver ,me quedan muy ajustados ,me aprieta mucho la cintura , no hay mas tallas grandes ,muy amables a la hora de preguntar ,el por que de la devolución ,sin problemas a la hora de devolver el dinero me da mucha rabia ,me voy a tener que poner a dieta,falta me hace desde luego,pero ya después del verano. Saludoss</t>
  </si>
  <si>
    <t>Ideales para correr Cómodo y perfecto para correr. La talla que elegí me queda perfecta</t>
  </si>
  <si>
    <t>Ro Perfecto para su precio. Sienta genial. Eso sí, es ajustadita . Normalmente uso S de Decathlon y de este modelo la M me va perfecta (entalladita, repito).</t>
  </si>
  <si>
    <t>Las Zapatillas son perfectas! Me encantan, no pesan nada, al ser con cuña quedan perfectas, son muy cómodas y el número es como debe ser, quedan genial. Las recomiendo, sin ninguna duda y me estoy pensando pedir otras.</t>
  </si>
  <si>
    <t>Cómodos Muy cómodos y ligeros para el verano. No sé recalientan los pies. Los uso con botas de trabajo y muy cómodos</t>
  </si>
  <si>
    <t>Contenta con la compra Muy chulas .como esperaba</t>
  </si>
  <si>
    <t>Sin problemas Todo perfecto</t>
  </si>
  <si>
    <t>Todo estupendo ! Todo según lo previsto</t>
  </si>
  <si>
    <t>Distinta Me ha gustado aunque parece fina es muy calentita y me queda genial.</t>
  </si>
  <si>
    <t>Muy chulo Muy chulo y cómodo</t>
  </si>
  <si>
    <t>Muy comodo Leggings muy comodo y fresquito. Se adapta perfectamente a mi cuerpo y bastante resistente. Me queda muy bien, y me da soltura y dinamismo.</t>
  </si>
  <si>
    <t>muy buena calidad estas carpetas era justo lo que quería además encajan en la caja que compré de la marca jalema atlanta. Buena relación calidad precio.</t>
  </si>
  <si>
    <t>Recomendable Perfecta</t>
  </si>
  <si>
    <t>Me ha gustado mucho El reposamuñecas es comodisimo, se ajusta a la muñeca perfectamente. Suave al tacto y precisa con el raton. Solo queda ver cómo evoluciona con el tiempo. Es de las mejores que he tenido a primera vista.</t>
  </si>
  <si>
    <t>Prefecto Compra perfecta.</t>
  </si>
  <si>
    <t>Ideal para la lista de la compra He comprado la pequeña para colocar cuatro notas y la lista de la compra. Me hace gracia que viene con la repisa para dejar los rotuladores y el borrador, pese a lo pequeña que es la pizarra. Esta repisita es opcional, puedes no ponerla si no la necesitas. La pizarra viene con un film protector para evitar ralladas, es un blanco muy brillante y de momento se pinta y borra súper bien y fácil.</t>
  </si>
  <si>
    <t>Memoria de calidad. He probado varias tarjetas de diferentes fabricantes y puedo afirmar que las mejores, las de Samsung. Las uso en todos mis aparatos y nunca me han dado un problema.</t>
  </si>
  <si>
    <t>super comodas super comodas para trabajar todo el dia de pie</t>
  </si>
  <si>
    <t>Muy practico y funciona Va muy muy bien, no solo para masaje. Yo lo utilizo para mover esos Kilos de más y se nota. Es muy muy práctico  y al no tener cable te facilita muchísimo la vida en todo...estoy muy contenta con la compra. Tiene muchos modos, muchos cabezales y mucha intensidad.</t>
  </si>
  <si>
    <t>Preciosa la recomiendo Es preciosa , aunque no trae cajita , es el pego k yo le veo , viene en una bolsita de terciopelo de Pandora , pero si no es para regalo la recomiendo 😍 , yo se la regale a mi hermana le encanto , es la original</t>
  </si>
  <si>
    <t>Como el que tuve hace años Funciona perfectamente, aunque sea Made in China. Sumergible y funcional. Pero la correa es malisima, se ha roto al año de comprarlo simplemente por el uso ya que se va desgastando debida a su pesima calidad. Por este motivo no aconsejo su compra.</t>
  </si>
  <si>
    <t>Necesario Tras pedirlo y llegarme el mismo día. Lo monté en la Torre del PC (os recomiendo el adaptador para 2/3.5 y fijarlo bien) En no más de 20 minutos; tenía todo conectado, ordenado de cables y con el Windows 10 (llevó 6/7 minutos de instalación en total). Tras ello (y tardar unos 15secs en entrar el nuevo Windows) puedo decir que comparado con el otro disco duro que uso (WD Caviar Black de 1tb con su ruido a "carraca") El cambio es interesante; en mi caso más por el ruido que la velocidad (el WD que tengo con más de 6 años va superápido) pero, sin duda es recomendable tener un SSD sobretodo con los programas que uso tanto de retoque de fotografía e ilustración, como edición de Video. Sus 480 gigas suficientes, cuenta que si ya tienes otros discos el añadido es perfecto. Muy satisfecho con la compra, pese hay SSD's más potentes en escritura y lectura. Saludos</t>
  </si>
  <si>
    <t>Se desconecta solo Los auriculares me han funcionado correctamente y tienen un aislamiento y funcionalidad muy buenos, pero de golpe y porrazo teniendo la carga de la batería al 90% se reinician solos perdiendo la comunicación con los dispositivos.</t>
  </si>
  <si>
    <t>publicidad engañosa El robot limpia bien, pero pasa varias veces por unas zonas agotando la  batería, con lo cual no termina de limpiar la casa, porque se agota la batería antes de hora. Mi casa tiene 50 mts y si quitamos muebles menos. Al final solo me limpia la cocina el salón y el baño. Si lo vuelves a poner, no continua donde lo dejo, empieza de nuevo otra vez. La aplicación del móvil, se desconecta constantemente y deja de funcionar. El robot se vuelve loco en zonas con espejos y añade un espacio inexistente. Todavía necesitan ajustar bastante cosas en este robot para que funcione bien. Lo he devuelto por no cumplir con lo que prometen. Estoy en proceso de que me reintegren el dinero. Un 10 para Amazon, devolucion sin ningun problema.</t>
  </si>
  <si>
    <t>Decepcionada En menos de dos meses ha dejado de aspirar, funcionaba muy bien y de repente no tiene nada de potencia. Una decepción pues había leído muy buenas opiniones sobre ella.</t>
  </si>
  <si>
    <t>NO merece la pena. No cumple con su función El aspirador pequeño extraíble no tiene potencia y el principal tampoco. Después de tenerlo ya 6 meses me arrepiento de la compra. Mejor gastar algo más de dinero y tener algo que aspire de verdad a tener un trasto en casa que no cumple con su función. Estoy totalmente decepcionada.</t>
  </si>
  <si>
    <t>bien bien</t>
  </si>
  <si>
    <t>Muy buena compra Botas muy cómodas. Totalmente recomendables. A pesar de que son de seguridad no pesan nada. Compra muy acertada. Volvería a repetir</t>
  </si>
  <si>
    <t>LIGERO y AGRADABLE Aceite ligero e inodoro debido al uso de aceite de girasol en lugar del de oliva. Yo lo prefiero. No esperen que huela a fruta, eso no sucede con ninguno, a menos que le agreguen aroma artificial, algo nada deseable. Envase plástico; preferiría de vidrio.</t>
  </si>
  <si>
    <t>Funcionalidad y moda juntos. Buena calidad y mejorable comunicación con iOS Es un reloj que queda elegante para ir vestida y tras meses de uso no se han resentido los acabados. Es hipercompatible con Android (sin llevar activa la aplicación reloj y teléfono se comunican con un nivel de información muy alto) y menos con iOS, que sí no llevas activa la aplicación WearOS se te desconecta el reloj</t>
  </si>
  <si>
    <t>Bien Están bien, tallan como se espera. Tardan como una semana en llegar</t>
  </si>
  <si>
    <t>Buen precio y buena calidad. el ruido es minimo, no se oye ningun motor, vaporiza bien y dura mucho, tiene el temporizador para 1,2,3h y mas tiempo.</t>
  </si>
  <si>
    <t>Buenas prestaciones ya puedo opinar sobre la tarjeta SD pues he hecho muchas fotos y video. Me gusta como sale el video sin "saltos" ni fallos en HD. Las fotos y velocidad de la transferencia de datos es correcta. Buena compra de una marca con gran prestigio. Volveria a comprarla.</t>
  </si>
  <si>
    <t>Lo esperado Muy buena calidad, fácil de ajustar.</t>
  </si>
  <si>
    <t>Auriculares TWS- 9 DELINUO GENIALES. Me decidí por estos auriculares porque había comprado hace unos días unos para mi marido y para no confundirnos los compré diferentes. Estos auriculares se ajustan mejor no se me caen. Tienen el doble de batería para cargar móvil u otro dispositivo. Los auriculares suena genial con unos bajos impresionantes y muy potentes. La conectividad sin problemas en un segundo se conectaron en cuanto lo saque de su caja mi hija con uno y yo con otro, un samsung S9 y la otra con un A 40 uno para cada, una genial. Tiene muchas funciones que viene muy bien explicadas en el libro de las instrucciones en español tiene un indicador con el porcentaje de la batería para que no quedarte tirado, una funda muy aparente para guardarlo y que no se dañe la caja, recambios de gomillas de diferentes tamaños, el color rojo de los auriculares es muy bonito. Calidad-precio muy buena tiene dos productos en uno: auriculares inalámbricos y una batería de carga de refuerzo que la puedes llevar en el bolsillo. También por lo que me decidí por estos auriculares fue por el cable de carga qué es USB del tipo C como los cargadores de los móviles de mi familia por lo que no tienen que llevar más cables solo el q viene para cargar su bateria. Son resistentes al agua y a mí me gusta ducharme escuchando música por lo que todo muy bien. Por ahora cinco estrellas.</t>
  </si>
  <si>
    <t>Mis pedidos Bien</t>
  </si>
  <si>
    <t>Buena compra Perfecto para empezar en el mundo de las grabaciones. Recomendado 100%.</t>
  </si>
  <si>
    <t>Amazing Really good sound, very happy with them, they came quick too. If you are looking for a top quality sound for your studio this is my pick. I tried Sennheiser HD 280 too, but this is another level up, much clearer sound and you can hear all even baseline very accurately. With Senh HD 280 it sounded like from a can :-D...well done Sony again!</t>
  </si>
  <si>
    <t>Elegante Simplemente Perfecto</t>
  </si>
  <si>
    <t>Genial Genial. Es como ir descalzo pero protegido. Además, tomas consciencia de lo mal q corremos o pisamos, "gracias" a las zapatillas running convencionales</t>
  </si>
  <si>
    <t>Recomendable Buen material se nota la calidad hasta de los accesorios ,pesa muy poco muy manejable a la hora de usar , buena potencia de succión ,tiene tres velocidades descargando y usando la app el modo manual solo tiene dos velocidades la más baja y el turbo,opino que es una buena compra calidad precio, los accesorios y el desmontaje muy intuitivo</t>
  </si>
  <si>
    <t>ok ok</t>
  </si>
  <si>
    <t>UNA GOTA DE BRILLO Se trata de un colgante de plata de la marca J.ROSÉE.  Está fabricado en plata de ley y circonitas, por lo que es ideal para personas con alergia. El tamaño de la cadena es de unos 43 cm, con un cierre rápidos. El colgante mide unos 21x12 mm y tiene forma de rombo curvo o gota, con un detalle interior. Es brillante y discreto al mismo tiempo, por lo que es perfecto para conjuntarlo en fiestas y eventos. La cadena es fina y casi imperceptible cuando se lleva puesta.  VENTAJAS - Discreto y elegante - Indicado para personas con alergia - Diseño bonito  DESVENTAJAS - Ninguna por el momento  Contenido del paquete: - Colgante - Paño de limpieza - Caja de transporte - Tarjeta de felicitación</t>
  </si>
  <si>
    <t>Me ha encantado Llegó antes de lo esperado y sin ningún problema. Lo estrené al momento y estoy encantada. Fácil y cómodo. Lo malo, lo mismo que cuando vas al fisio: al día siguiente tenía un dolor horrible. Pero como siempre, eso es lo que más alivia.</t>
  </si>
  <si>
    <t>Suavidad, varios niveles de calor y muy usada He regalado esta manta y las personas que lo están usando están bastante contentas. Comentan que es de material suave, tiene varias opciones para diferentes niveles de calor y ahora que viene el frío es muy utilizada. También lo están usando para mejorar problemas musculares en la espalda y como relajación de zonas cargadas.</t>
  </si>
  <si>
    <t>Una calidad de sonido increible, Sennheiser nunca defrauda Para mi personalmente, como aficionada a la música, son de los mejores auriculares que he utilizado por ese precio (soy fan de los auriculares de Sennheiser). Son un poco mas caros que unos auriculares basicos pero merece la pena invertir en ellos, y no tienen nada que envidiar a auriculares de precio superior. No pesan mucho y durán bastante. Este modelo lo tengo desde hace 2 años y funcionando perfectamente. También probe otros de la misma casa, modelo MX375 que también suenan expectaularmente bien. Sonido nitido y buenos bajos.</t>
  </si>
  <si>
    <t>Perfectas Muy cómodas. No son las primeras superga que me compro. Las recomiendo 100%. El color y material son muy buenos.</t>
  </si>
  <si>
    <t>Xulíssim Molt bonic</t>
  </si>
  <si>
    <t>No transpira Creo que me he equivocado , porque ese zapato no transpira y al rato el pie queda húmedo. Respecto a otros detalles , en lo demás bien.</t>
  </si>
  <si>
    <t>Buen reloj El reloj es un poco mas grande de lo imaginado, pero se han quitado eslabones de la cadena y ahora bien.</t>
  </si>
  <si>
    <t>Muy practica En comparación con una anterior que compré marca Amazón de color verde, me gustó el color negro . Por contra esta no se activa al pressionar el vaso que la otra sí lo hace y, por tanto, es más fàcil de usar.</t>
  </si>
  <si>
    <t>Poca calidad muy descontenta con las zapatillas. Parecen originales pero enseguida, y con muy poco o uso, se van "pelando"y rajando el material de las zapatillas. las mías son blancas con 1 mes, y ya se ven como su tuvieran 5 años. Calidad mala. No lo recomiendo</t>
  </si>
  <si>
    <t>Producto de malísima calidad El pantalón es malísimo, la tela súper fina, se transparentaba todo, lo tuve que tirar</t>
  </si>
  <si>
    <t>Bonitos y funcionales Muy bonitos aunque la calidad es un poco deficiente</t>
  </si>
  <si>
    <t>Dan mucha talla. Grandes. Entrega súper rápida. Calidad, excelente. Producto original y tal y como aparecía en las fotos. Sorpresa: el día anterior me probé en una tienda el mismo número y modelo, un 37, quedaba perfecto. El recibido, pese a ser un 37, me queda grande, me sobra 1 cm. ¿Cómo puede ser esto? No lo entiendo.</t>
  </si>
  <si>
    <t>Para tocar la guitarra en cualquier parte Me ha servido para tocar la guitarra cuando no podía llevar ampli. Es básico y de funciones limitadas. Tal vez, de haber tenido más conocimiento, habría comprado otro producto, pero habría sido más caro. Estoy contento, ha hecho sin función y lo sigo usando, y sin dar problemas, asi que magnífico.</t>
  </si>
  <si>
    <t>Bueno,bonito, barato Es muy bonito y funciona muy bien. No le pongo 5 estrellas porque no es un reloj de relumbrón. La única pega la correa es un poco corta para los que tenemos muñeca ancha.</t>
  </si>
  <si>
    <t>Es lo que anuncian Es un reloj cómodo, muy ligero y con las funciones que anuncia. Quizás al final la mayoría de ellas no se usan, pero no están de más. Muy bien el detalle del cristal protegido, al estar más bajo que el aro, con cual es difícil que se pueda rayar.</t>
  </si>
  <si>
    <t>genial muy buen tamaño y rápido de calentar.  muy contenta</t>
  </si>
  <si>
    <t>Buena compra. Cumple su funcion Esta muy bien, gira muy facil y se colocan las capsulas sin dificultad. Buena compra</t>
  </si>
  <si>
    <t>Hdd Seagate 4TB, un clásico de almacenaje de datos Seagate es una apuesta segura para cualquier Hdd. Con varias particiones en formatos independientes funciona perfecto</t>
  </si>
  <si>
    <t>Pandora Es perfecto viene con el librito y caja de pandora</t>
  </si>
  <si>
    <t>Correa oficial duradera Correa oficial duradera la cual no da problemas y es idéntica a la que te viene con el reloj al comprarlo.</t>
  </si>
  <si>
    <t>Buena batidora Me ha gustado su potencia y consistencia, además de la relación calida/precio y siempre en relacion con la anterior, que, por el poco uso, me ha dirado muchos años.</t>
  </si>
  <si>
    <t>Cómodos y prácticos Auriculares con función bluetooth muy cómodos y ligeros. Se fijan las orejas sin molestar, la diadema que va por detrás del cuello impide se caigan. Llevan y tiene la posibilidad de insertar una tarjeta de memoria hasta 32GB, lo que hace que no tengas que llevar tu smartphone o MP3 encima para hacer deporte. Además tienen radio integrada, muy sencilla de sintonizar. Se sincroniza con facilidad con el móvil y tiene un sonido espectacular.  La autonomía es de unas 2 horas. El paquete trae:  1 x auriculares inalámbricos, 1 x instrucciones en castellano,  1 x cable usb de carga, 2x almohadillas de recambio.</t>
  </si>
  <si>
    <t>Estan bien. Fueron un regalo para mi padre. Esteticamente son preciosas pero no le duraron muchisimo tampoco.</t>
  </si>
  <si>
    <t>Sencillo y práctico Sencillo pero muy práctico. Cumple su función y ocupa poco espacio ya que el mango es flexible y se puede enrollar.</t>
  </si>
  <si>
    <t>Calidad producto Me a gustado el color, ya que es discreto perfecto para el gym</t>
  </si>
  <si>
    <t>No es muy duradero Chulo,no aguanta bien los lavados y con un uso normal se desgasta rapidamente los tejidos, aunque es bonito i agradable</t>
  </si>
  <si>
    <t>Buen producto buen funcionamiento. Los mando fallan un poco, por lo demás, genial</t>
  </si>
  <si>
    <t>Lo recomiendo Buenos graves, está bien que puedas conectar micrófonos o la guitarra con los micros!! La batería dura bastante.</t>
  </si>
  <si>
    <t>No se puede pedir más. Buena compra a este precio. Hola. Buscaba un reloj tipo Casio G Shock y este reloj a este precio me ha valido la pena enormemente.  Soy una persona grande, de manos y muñeca gruesa y buscaba remplazar mi actual reloj (pongo foto para la comparación) por algo más grande. Además lo compré en color rojo por lo que le da un toque más informal, que era lo que realmente buscaba.  Estoy muy satisfecho.</t>
  </si>
  <si>
    <t>Útil Linda</t>
  </si>
  <si>
    <t>Muy buenos para hacer deporte Con un acabo en estricto plásticos para conseguir un ahorro de peso sustancial, estos auriculares se colocan por el cuello y tras pinzarse con la oreja, los suaves auriculares proporcionan muchas horas de funcionamiento durante nuestro ejercicio.  Aunque el objetivo de estos auriculares es resistir vibraciones, golpes y humedad, la calidad del sonido no ha quedado atrás, las espumas de los auriculares son muy suaves y se adaptan a cualquier posición, aunque se fugue un poco de sonido la calidad se mantiene en unos niveles aceptables para amenizarnos el deporte. Destacar que estos auriculares no admiten ajuste alguno en cuanto a tamaño de la diadema, la distancia es única, abstenerse melones de gran tamaño.  Tanto la carga como el manejo de todas las funciones se encuentra en el auricular derecho, donde controlaremos volumen, llamadas y encendido/apagado.  Junto a los auriculares se entrega una bolsa para guardarlos, manual en 5 idiomas con Español incluido, cable cargador y una tarjeta de fidelización.</t>
  </si>
  <si>
    <t>Todo como en las fotos y la descripción del producto Muy satisfecho con mi compra, económico y de muy buena calidad, lo uso para grabar videos youtube y para juegos. Muy fácil de montar y me gusta mucho que traiga todos los accesorios necesarios, relación calidad precio extraordinaria, recomiendo su compra.</t>
  </si>
  <si>
    <t>Zapatillas Entregadas a tiempo,calcero de gran calidad</t>
  </si>
  <si>
    <t>Encantados! Recomendable 100% Hemos probado biberones de otras marcas y el que más le gusta es el suavianex. Muy recomendable para el tema de cólicos. Nuestra peque no ha tenido. Biberón muy recomendable</t>
  </si>
  <si>
    <t>normal son básicos en las fotos parecen q es más largo de pierna pero nada los compre x que lo creía asin</t>
  </si>
  <si>
    <t>Esta acertada Esta  bastante bien</t>
  </si>
  <si>
    <t>Caro para lo que ofrecw La verdad que lo esperaba mejor, un  metro de lo más normal, un poco caro para lo que es</t>
  </si>
  <si>
    <t>Malísimos Acaban de llegar y al probarlos, resulta que el sonido se entrecorta porque no hace buena conexión, el micrófono en llamada se escucha muy, muy bajito y también, se entrecorta . En fin... Que para lo que cuestan son una castaña</t>
  </si>
  <si>
    <t>Huele a plástico.No se puede utilizar No se puede utilizar.Viene con un olor a plástico insoportable que no se le quita ya he probado con todo...No lo compren.</t>
  </si>
  <si>
    <t>Correcta Tot be i va arribar en la data esperada</t>
  </si>
  <si>
    <t>Reloj clasico Un reloj de toda la vida de casio. Es el tipico reloj que encentras en cualquier tienda, sirve para mirar la hora y que no se rompa. Es muy resistente y por menos de 10€ no puedes pedir mas. Si tienes un trabajo donde tienes que remangarte y ponerte manos a la obra, es tu reloj.</t>
  </si>
  <si>
    <t>Pantalones gimnasia Quedan perfectos y el color es más bonito de lo que se ve en la foto. Al estar forrados por dentro son perfectos para el invierno. El largo es para personas altas.</t>
  </si>
  <si>
    <t>Talla pequeña La verdad es que precio-calidad no se puede pedir más. Lo único que el tallaje es más pequeño, queda así ajustadito así que mejor pedir una o dos tallas más.</t>
  </si>
  <si>
    <t>Perfecto para conectar a un ordenador El producto es perfecto, pero el tema del software que lo acompaña para descargarlo, etc., algo complicado</t>
  </si>
  <si>
    <t>Perfectos Son muy cómodos. Yo los uso para el Pádel y me van perfectos. De hecho, cuando necesite otra vez calcetines, miraré para volverlos a comprar.</t>
  </si>
  <si>
    <t>entrega rapida zapatillas comodas y muy bien de precio porahora perfecto</t>
  </si>
  <si>
    <t>Muy buen precio. Es un filtro para micro, yo tengo el micro y soporte de tijera me faltaba el filtro para mejorar la calidad de mis grabaciones. Este me gusta, ademas de por el precio, por que tiene doble pantalla, por el  brazo flexible y por la presilla para cogerlo. Buen producto a buen precio, perfecto.</t>
  </si>
  <si>
    <t>Perfecto!! La talla perfecta</t>
  </si>
  <si>
    <t>Muy bonitas Hola. Compre las Converse Chuck Taylor All Star Ox en color navy, me costaron por oferta unos 30€. El paquete llegó en la fecha estimada y perfectamente embalado. Escogí el color navy por el precio en oferta aunque no me convencían mucho por cómo se veían en la foto, pero una vez recibidas en físico se ven muy bonitas y elegantes. El tallaje parece correcto, al menos yo elegí el que uso habitualmente y me van bien. Quizá por sacarle una pega cada vez que me las pongo parece que los primeros 5 minutos noto las zapatillas un poco estrechas pero luego me acostumbro, no me produce ninguna rozadura ni malestar. Espero haberle ayudado.</t>
  </si>
  <si>
    <t>parche de mu buen acalidad</t>
  </si>
  <si>
    <t>Ideales Súper prácticos. Mi bebé no ha tenido cómicos usándolos, además que sean auto esterilizables es genial para llevártelos de viaje o simplemente para no tener tantos trastos en la cocina. Muy sencillos de usar y más higiénicos para lavar porque se desmontan completamente.</t>
  </si>
  <si>
    <t>Calidad precio Ya ye comprado 3 pares,unos para mi abuela,otros para mi chica y otros para mi. Son comodos y la suela es muy buena ya que no resvala en ninguna superficie. Lo unico que le falta seria zona acolcjads debajo de la lengüeta</t>
  </si>
  <si>
    <t>Buenos separadores Archivadores de papel de calidad , justo lo que quería</t>
  </si>
  <si>
    <t>Preciosos Este modelo de Reebok me encanta, lo uso desde la adolescencia, hace algunos años que no me compraba ninguno y esta vez lo elegí en negro. Es suave, ligero y cómodo. Su calidad y acabados son impecables, pero o el tallaje es algo pequeño, o a mi me ha crecido el pie últimamente. De todas formas no lo pienso cambiar, me queda justo pero la piel cede con el uso.</t>
  </si>
  <si>
    <t>Exactamente lo que se esperaba Pues esta tarjeta es ideal para por menos de dos euros ampliar la memoria de un móvil de gama baja, liberando así memoria interna y evitando que se queje de que le falta espacio. Simplemente traspasando a ella las fotos, vídeos, y las aplicaciones más pesadas, se desahoga un poco la memoria interna que como digo, en móviles de gama baja, queda ocupada prácticamente por el propio Android.  No he detectado ningún problema de incompatibilidad.</t>
  </si>
  <si>
    <t>Funciona muy bien, tiene mucha variedad de colores y no pesa mucho. El tamaño perfecto ya que no ocupa mucho espacio, es ligero y lo puedes colocar de adorno.</t>
  </si>
  <si>
    <t>Excelente compra Excelente calidad llego súper rápido lo recomiendo</t>
  </si>
  <si>
    <t>Comodísimas Las Skechers son las zapatillas más cómodas que he tenido nunca, sea cual sea el modelo. Desde que me compré el primer par no he querido otra marca, y ya tengo tres pares. Lo único que hay que saber es que tallan grande por lo que siempre hay que comprarse un número menos, sabiendo eso no hay problema. Por otro lado yo procuro pedir los modelos que están incluídos en "PRIME", así no tengo ningún problema para devolverlas si no me están bien. El servicio de Amazon como siempre muy bueno.</t>
  </si>
  <si>
    <t>pen drive me gusta su diseño</t>
  </si>
  <si>
    <t>Buen producto La tengo desde hace bastante tiempo y puedo asegurar que es impermeable , lo que lleves dentro no se moja ni en condiciones de lluvia intensa , totalmente comprobado. Muy buena capacidad</t>
  </si>
  <si>
    <t>Ligero, preciso y precioso Reloj tipo retro, elegante y a la vez liviano en peso, a veces no me he dado cuenta ni de qué lo llevaba del poco peso que tiene. El segundero gira y está totalmente acorde con el diseño del reloj. Tiene un cristal curvo, al girarlo es una pasada por su efecto óptico. Lo uso tanto en mi día a día, cómo también en momentos más formales. Simplemente genial 👍</t>
  </si>
  <si>
    <t>Muy buena calidad muy satisfecho, pero tenia que pedirle una talla mas grande</t>
  </si>
  <si>
    <t>Demasiado pesada Le compro a mi madre esta batidora por lo largo de su brazo y las opiniones.De primeras los botones de las velocidades estaban bastante duros y se hacia pesado usarla haciendo tanta fuerza y sujetarla.Al traer el brazo tan largo pesa mas que el resto y se hace incómodo.Antes del año dejó de funcionar y es como si los interruptores de los botones se desplazasen porque consigues que funcione pero rebuscando alrededor del botón.La mando al servicio técnico y le compré otra aqui tambien</t>
  </si>
  <si>
    <t>Tere Están muy bien. Se adaptan perfectamente. No resbalan fuera del agua. En superficie de piscina. Xo si haces aquagym no sirven mucho pq no puedes correr mucho ya q te resbalas. X lo demas perfecto.</t>
  </si>
  <si>
    <t>es un rollo mas pequeño de lo que pense la cinta en si todavia no la he probado, parece que pega fuerte, lo unico que el rollo es bastante mas pequeño de lo que pensaba, relaccion calidad precio, me parece un poquillo cara para mi gusto, pero bueno en general cumple lo que promete, y estas cintas, suelen ser carillas</t>
  </si>
  <si>
    <t>Ana P Se escucha bien. Correcto. Pero los compré para poder hablar con ellos también y es imposible: mi interlocutor o no me escucha, o me pierde o me escucha pésimamente. Sigo con los viejos. Barato pero sale caro si no sirven para lo que deberían servir.</t>
  </si>
  <si>
    <t>Fraude Una estafa, un pendrive de esa capacidad vale más de 1000€. Es evidentemente un Hack, al enchufarlo pondrá que tiene 1,8TB pero si tratas de meter vídeos con más de 64GB será imposible y se parara.</t>
  </si>
  <si>
    <t>Podría ser mejor, pero no está mal El diseño y el peso está bien, pero es muy estrecho para mi pie. Quizás con más uso, estiren un poco y me acomode mejor. Otro aspecto positivo, es la amortiguación del impacto al caminar o correr.</t>
  </si>
  <si>
    <t>Buen producto Calidad precio están muy bien, no son totalmente transparentes pero casi. Muy contento con la compra. La recomiendo</t>
  </si>
  <si>
    <t>Comodidad Son muy cómodos y después de 3 semanas paracen bastante resistentes</t>
  </si>
  <si>
    <t>Satisfecho Me gusta el producto, tiene las características esperadas en general. Está por ver su durabilidad. De momento contento con la compra y el servicio de transporte.</t>
  </si>
  <si>
    <t>Calidad de producto Hervidor de agua de la marca Bosch.  Nos tiene acostumbrados la marca Bosch, a unos acabados de calidad y un diseño elegante en sus productos, En este hervidor no podía ser menos. Se aprecia un producto muy bueno.  El hervidor es de acero inoxidable, y con acabados en plástico negro. Tiene una potencia de 2200 vatios. Tiene forma de jarra cilíndrica. La capacidad máxima es de 1,7 litros, para ponerlo en uso deberemos añadir como mínimo 0,25 litros. A simple vista, da la sensación de que es más pequeño de la capacidad que tiene, casi de dos litros.  Es muy rápido en calentar el agua, ahí se nota su potencia. Se hecha de menos el poder saber a que temperatura tenemos el agua, por medio de alguna escala de temperaturas.  El filtro está en la parte superior, por la boca donde añadimos el agua, y es desmontable, para poder lavarlo.  Sin duda recomendable, si podemos pagar el precio que tiene este hervidor, los acabados premium y la calidad del producto es indiscutible.</t>
  </si>
  <si>
    <t>LAS MEJORES En mi opinión, el mejor producto de plastificado de papel que hay en el mercado. Los acabados que tiene son muy buenos, y la marca de agua desaparece al plastificar. Merece la pena.</t>
  </si>
  <si>
    <t>Muy bonito y confortable, mejor de lo que esperaba Muy bonito, buena calidad, confortable. El diseño estupendo, no conocía esta marca pero muy recomendable</t>
  </si>
  <si>
    <t>grande y util trae tambien una bandeja para las monedas, son grandes, util para guardar tambien algun papel o sobres, y parecen robustas</t>
  </si>
  <si>
    <t>Para lo que la necesito, me vale. Buena tarjeta a buen precio y funciona OK. La uso en una cámara reflex y de momento va genial.</t>
  </si>
  <si>
    <t>Originalidad Muy originales</t>
  </si>
  <si>
    <t>Calidad precio La verdad es que da buenos masajes. Por el precio que tiene se lo recomendaría a cualquiera!</t>
  </si>
  <si>
    <t>Lo recomiendo Nos encantó. Estéticamente es muy bonito y hace perfectamente su función como humidificador. Yo le echo unas gotitas de aceite esencial (natural y de buena calidad) y huele toda la estancia. Puedes poner el temporizador y si no, cuando se acaba el agua se apaga sólo.</t>
  </si>
  <si>
    <t>Portátil, rápido  y con mucha memoria. Es una memoria USB de muy pequeño tamaño, con enganche para llevarlo en el llavero siempre encima sin molestar. El enganche se ve fuerte y resistente por lo que no hay miedo de que se rompa y pierda. Además tiene protección contra polvo y salpicaduras lo que lo convierte en muy portable. En temas de escritura y lectura realizandole pruebas he obtenido un valor de lectura de 137 MB/s y 75 MB/s en la escritura, osea que son muy buenos resultados. Es rápido y tiene muy buena capacidad.</t>
  </si>
  <si>
    <t>Bonita Hacia tiempo que no me gustaba tanto como queda una sudadera, justa de cintura y con cuerpo arriba. Estiliza.</t>
  </si>
  <si>
    <t>Perfecto y con targeta Perfecto, derecho a mi colección</t>
  </si>
  <si>
    <t>Lo esperado Ibiza Sound siempre responde , buena calidad  de sonido , batería más que decente , micro inhalambrico con buen sonido y larga distancia , por poner un pero las ruedas para transportarlo no están bien diseñadas , es imposible llevarlo sin que se desestabilice , pero no es lo importante</t>
  </si>
  <si>
    <t>Rápido y recomendable 100%. Elegante y muy bonito.</t>
  </si>
  <si>
    <t>Excelente juguete Masajeador femenino de la zona íntima de la marca Fidech. De tamaño reducido, fácil de llevar a cualquier parte y de diseño sencillo. Su suavidad debido al material de silicona del cual está hecho le otorga comodidad a la mujer a la hora de usarlo. Dispone de varios modos y distintas velocidades. No es muy ruidoso pero hay que tener cuidado de donde se usa (cara lujuriosa). Mi chica lo usa mucho y hasta por la calle, dice que no molesta cuando lo tiene puesto. Con todos contentos, la compra vale la pena.</t>
  </si>
  <si>
    <t>Cumplen con su cometido. Las he comprado como repuestos de la guillotina y en principio han de cumplir su cometido ya que son iguales a la que porta. Aun no he utilizado ninguno de estos recambios ya que la guillotina es nueva.</t>
  </si>
  <si>
    <t>el mejor regalo para el dia de la madre es una joya preciosa si en la imagen te gusta al natural aun te gustará más</t>
  </si>
  <si>
    <t>Zapatillas de trekking de calidad, ligera y de pisada suave Estas nuevas zapatillas multiusos de la marca Columbia ya me gustaban cuando las vi por Internet pero en vivo y en directo me parece que tienen un diseño muy bonito.  Una vez puestas dan un aspecto de pie compacto. Son ideales tanto para paseos por el campo, como para excursiones por ciudad en la que necesites caminar mucho. Son muy cómodas, ligeras, se adaptan muy bien al pie, no deja holguras por lo que notas el pie muy sujeto. También me gusta el tacto suave de la plantilla, el pie apoya de forma muy cómoda.  Tanto mi mujer como yo la hemos utilizado (cada uno en su talla) este fin de semana por un pueblo de -Segovia por terreno embarrado, hemos cruzado un riachuelo y nos ha llovido, y parece que su cualidad de waterproof ha dado resultado. La suela parece resistente y antideslizante. Su color grisáceo, la hace muy sufrida, y se limpia con facilidad pasándole un paño húmedo.  Una bota muy recomendable.</t>
  </si>
  <si>
    <t>Ningún resultado. Lo compré para limpiar restos de cal del depósito de agua de la Babycook. He seguido las instrucciones en un par de ocasiones, ha quitado algo de cal pero esperaba mucho más. Lo mismo que utilizar vinagre. No lo volvería a comprar.</t>
  </si>
  <si>
    <t>Decente No soy experto pero lo peor es que tiembla un poco y que la unión de giro de la pata con la jirafa hay que apretarla a conciencia. El resto bastante bien para el precio.</t>
  </si>
  <si>
    <t>Decepcionante, plastiquero y la pila gastada. Muy frágil, mala calidad de los materiales y no funciona desde el primer día, no le  cambio pila vale mas que el reloj. Gracias</t>
  </si>
  <si>
    <t>defectuoso el micro no funciona, me refiero al micro inalambrico sin batería, le puse las pilas y nunca funcionó, una lástima</t>
  </si>
  <si>
    <t>monos muy bonitos, como en la foto!</t>
  </si>
  <si>
    <t>Divertidos Mi hijo esta muy contento.Viene cada par en bolsitas individuales y son muy bonitos.Con el tiempo se verá si no se pelan y son buenos.</t>
  </si>
  <si>
    <t>su Impermiabilidad muy complicado para ponerlo en funcionamiento</t>
  </si>
  <si>
    <t>Crema para dolores musculares Buena crema para los dolores musculares y las contracturas</t>
  </si>
  <si>
    <t>Cinta abdesiva Rápido y todo biennn</t>
  </si>
  <si>
    <t>Gran calzado Todo bien</t>
  </si>
  <si>
    <t>Lupa de mano. La unica pega es que pesa un poco , por lo demas la luz es un plus a favor que  mejora el aumento que tiene k es bastante y esta muy bien ,y perfecto para utilizarla en cualquier lugar mas o menos oscuro , sin tener que estar acercandome a ventanas con claridad o luces adicionales para ver lo que sea, es justo lo que buscaba y por lo menos a mi para utilizarla a diario en casa  me ha ido muy bien.</t>
  </si>
  <si>
    <t>Cómodos Hasta el primer lavado se desprende mucho algodón</t>
  </si>
  <si>
    <t>Un reloj muy bueno El reloj es muy bonito, bueno y cómodo. Lo elegí como regalo a mi pareja ya que a él le gustaba mucho. Está muy contento, la correa le encanta y lo que nos encantó fue que no tiene pila, genial!!! El envío en 24 horas es estupendo, ya que no hay que esperar para recibirlo y llegó en perfecto estado.</t>
  </si>
  <si>
    <t>Menuda compra! Desde hace unos meses me gusta hacer algunos videos de tutoriales, etc, para subirlos a youtube pero el micrófono que tenía no era demasiado bueno. En este caso me ha sorprendido lo bien presentado que viene y la sensación de dureza y calidad de las piezas que trae para el montaje. Dicho lo anterior configurarlo en el PC es simplemente conectarlo por USB y el windows me lo ha detectado; he probado con el programa OBS y simplemente ha sido decir que grabe el sonido por este micrófono y la verdad es que he notado una diferencia abismal con respecto al que tenía antes. El sonido sale claro, limpio y tiene una sensibilidad bastante buena ya que como haya sonidos en otra habitación es capaz de pillarlos.  De las mejores compras que he hecho.</t>
  </si>
  <si>
    <t>Muy satisfecha con la compra Son las zapatillas más cómodas del mundo!!! Son las segundas que compro, trabajo de pié y jamás me duelen las piernas con estás zapatillas. Las recomiendo a todo el mundo!</t>
  </si>
  <si>
    <t>Verbatim como siempre hasta ahora no me ha fallado. Poco tengo que decir sobre los DVD  Verbatim, simplemente que como siempre en mi caso hasta ahora no me ha fallado ni uno y todos me han funcionado correctamente. En el caso de este pack no los he gastado todos pero hasta ahora que llevare mas o menos la mitad todos se han portado bien.  En cuanto al envió ha sido rapidísimo y correcto, por mi parte un 10 en cuanto a envió y producto.</t>
  </si>
  <si>
    <t>Compra perfecta Crocs de invierno por 19€ en oferta. Nada más que añadir</t>
  </si>
  <si>
    <t>Muy buena compra. Me quedan perfectas, pero ya sabía cual era mi talla porque no era la primera vez que las compraba. Dan poca talla, así que hay que pedir mínimo un número más del que habitualmente calce cada uno. Para que os hagáis una idea yo uso una 43-44 y en las New Balance pido una 45 y me está perfecta. Por otro lado decir que son unas zapatillas comodísimas, eso si, para vestir o salir a caminar, no para hacer deporte.</t>
  </si>
  <si>
    <t>Perfecto Es una batidora cómoda de utilizar y limpiar con una gran potencia, aún no he probado con el hielo, pero para gazpacho y crema de verdura es super eficiente. Me llegó muy rápido y en perfecto estado.</t>
  </si>
  <si>
    <t>Muy bueno Un buen aislante acústico. Perfecto para M audio b5 d3</t>
  </si>
  <si>
    <t>Cómodas Cómodas</t>
  </si>
  <si>
    <t>Buena calidad-precio Buena calidad-precio</t>
  </si>
  <si>
    <t>Microfono Top Microfono muy sutil, comodo y compacto donde lo puedes plegar y llevartelo a donde quieras. Lo recomiendo al 100%. Esta genial.</t>
  </si>
  <si>
    <t>Muy bien Perfecto</t>
  </si>
  <si>
    <t>relación calidad - precio Se sienten muy livianos y no pesan casi nada, la calidad del acolchado es optima, no se oye nada del exterior y resultan muy comodos, la calidad del sonido es buena, sobretodo los bajos se oyen de una forma nítida y clara, en cuanto al control del volumen esta disponible desde el cable que va al ordenador permitiendote bajarlo, subirlo o silenciarlo. estoy muy contento con la compra lo recomiendo.</t>
  </si>
  <si>
    <t>Compra maestra. Increíble! Sin detergente y mejor resultado</t>
  </si>
  <si>
    <t>Increíble Realmente nos ha sorprendido. Es impresionante su calidad con respecto al precio.</t>
  </si>
  <si>
    <t>Microfono ESTE MICROFONO CON BLUTH ,TAMBIEN PUEDE CON TRAJETA MIRO SD .fácil para usarse. Y el color rosa mi hija le gusta mucho.</t>
  </si>
  <si>
    <t>Correcto Por poco más que lo que pague por un pack podría haber comprado uno más grande, pero al no estar seguro de que eran compatibles con mi grapadora compre estos. Grapas correctas, pero al precio que los compre no fueron nada económicas.</t>
  </si>
  <si>
    <t>Es bonita Llegó  bien. Es muy chula. Espero que me dure. el morrito de la vaca es muy suave y esponjoso. Bien</t>
  </si>
  <si>
    <t>Pequeñosfalllos Calzadodediario pero llaviene las suelas por los laterales rajadas un poquito</t>
  </si>
  <si>
    <t>Sorpresa a los 4 dias de uso. Justo 4 dias han durado las plantillas. Despegadas por su parte trasera y lo de despegadas tampoco es cierto porque no se aprecia ningún tipo de pegamento. Decepción total con la marca</t>
  </si>
  <si>
    <t>Cara y rota Batidora rota</t>
  </si>
  <si>
    <t>Mienten en el color No me ha gustado nada. Es mentira, no es blanco es traslucido o sea blanco y casi transparente. Lo quería para recoger y ocultar una grupo de  cables que son negros, gris y amarillos, junto a una regleta blanca y no me ha servido de  nada. No lo he devuelto porque me cuesta más devolverlo que tirarlo. Una decepción</t>
  </si>
  <si>
    <t>Buen precio Al principio me hizo rozadura luego bien</t>
  </si>
  <si>
    <t>Funciona bien Es lo que esperaba. Guapo y con tapa. Bien de precio frente a otros. Lo único que la parte superior quema al tocarlo. Volvería a comprar.</t>
  </si>
  <si>
    <t>Cumple bien su función Me encanta. Te ahorra el trabajo de fregar y hasta de barrer antes. No le pongo 5 estrella porq a veces se pierde en la habitación y termina en el lado contrario al q empez,ó que supuestamente debe volver al sitio inicial, pero aún así te deja la habitación barrida, fregada y mientras tú a otra cosa. Los paños son caros, eso sí, pero se puede estirar el uso un poco más del un sólo uso que recomiendan. Y además hay un paño de fregar lavable q aún no he probado. Recomiendo la compra sobre todo si no tienes tiempo para ocuparte de la casa. Libera mucho y además es monísimo!</t>
  </si>
  <si>
    <t>Talla L. 1,83 m. 93 kg Tengo varias prendas Joma para correr pero es la primera vez que me decidí a comprar online esta marca. Tenía dudas con la talla. De largo me queda perfecto y de talla también. La parte del tobillo/gemelo es estrecha aunque no incómoda. Tiene cremallera para abrir y así poder sacar la pierna con el calzado puesto en caso de prisas. El material, como todo lo que hace Joma, es excelente y espero sea duradero. Buena compra y a precio razonable.</t>
  </si>
  <si>
    <t>Muy buena relacion calidad/precio Fabricada en una pieza, de calidad, talla correcta y comodas. Destacar que tiene bien marcado el puente del pie y si no estas acostumbrado  resulta raro los primeros dias, tras eso son muy comodas. Si tienes pies planos tal vez no te sientas comodo, apesar de ser blanditas.</t>
  </si>
  <si>
    <t>Muy bien Los calcetines son como aparecen en la foto. Ajustan bien y son cómodos. La compra ha estado bien y creo que son recomendables.</t>
  </si>
  <si>
    <t>Todo Cumple con todo lo que esperaba</t>
  </si>
  <si>
    <t>Calidad Clark Como en la foto</t>
  </si>
  <si>
    <t>Me encantan, unos olores maravillosos....!!!!! Me gusta hacer mis jabones, y ambientadores naturales en casa, y con unas gotas de alguno de estos aceites quedan con unos olores deliciosos. El de rosa y el de jazmín para los jabones.... me encanta. Y hago con ellos como veía hacer a mi madre, los guardo entre las sábanas y toallas y no podéis imaginar el olor que sale cuando abro el armario. Y para los ambientadores .... me chifla el de cereza, un olor fantástico. El de ylang ylang me encanta usarlo en el difusor en mi habitación..... es un aroma que me relaja y tranquiliza. Y el de té blanco, era un olor que no conocía, pero me gusta esa sensación de frescor que tiene, todavía no lo he usado, pero seguro que la próxima vez que haga jabón lo utilizaré seguro. La presentación de los aceites, es preciosa. Una caja con flores muy bonita. Y una cosa muy importante es que me llegaron todos los aceites perfectos, sin fugas de ningún bote. No como los que pedí anteriormente de otra marca, que me llegaron 3 botes casi vacíos y toda la caja llena de aceite.</t>
  </si>
  <si>
    <t>Muy chulo Es un reloj grande, pero muy bien hecho, el color es un poco mas oscuro que el de la foto, que mas decir es un G-shock, preparados para todo, golpes, agua, la verdad es que son uno relojes muy agradecidos, por que despues le compras la correa y el bisel (la caja) y se lo cambias y vuelves a tener reloj nuevo.</t>
  </si>
  <si>
    <t>Excelente artículo. Mi reloj de toda la vida. Ojo, no usar ara hacer deporte, para eso no vale. Sin duda, buen reloj ocasional y de diario.</t>
  </si>
  <si>
    <t>Ajusta muy bien y tiene buen precio Buen producto. Precio muy bueno en comparación con otros similares. He comprado la talla M y su tallaje es bueno. Contenta con el</t>
  </si>
  <si>
    <t>Perfectas! Van perfectas tanto para salir como para deporte, muy buena calidad</t>
  </si>
  <si>
    <t>Por ese precio, la relación con calidad buena Buen sonido por ese precio no se puede pedir mas</t>
  </si>
  <si>
    <t>Bien Funciona perfecto</t>
  </si>
  <si>
    <t>Buena calidad Super buena calidad y muy comoda para deporte o para el dia a dia. La recomiendo muchisimo.</t>
  </si>
  <si>
    <t>CALIDAD Y CONFIANZA Recomendable para la lavadora.Yo le pongo una pastilla cada vez que pongo ropa blanca y la ropa también lo agradece. En la cisterna del baño también hace su función si le pones una pastilla cuando teneis que salir y no usaras en unas horas.</t>
  </si>
  <si>
    <t>Biberones Man. Los mejores biberones sin duda.</t>
  </si>
  <si>
    <t>Perfectas Muy bonitas.. El color como en la foto la talla perfecta y son muy fuertes.. Mi marido está encantado yo las recomiendo</t>
  </si>
  <si>
    <t>100% recomendable Muy cómodas. Las he probado ya en largas caminatas, piedras, piso mojado y me han cautivado. La relación calidad precio es extraordinaria. Las recomiendo al 100%</t>
  </si>
  <si>
    <t>como esperado Buena tarjeta, rápida, gran capacidad, buen funcionamiento. Calidad-precio buena, vale la pena gastar un poco más, tiene velocidad de procesado alta</t>
  </si>
  <si>
    <t>Percfectos Pe f ctos comodos</t>
  </si>
  <si>
    <t>Bueno Muy bien de calidad</t>
  </si>
  <si>
    <t>Preciosa sudadera, super agradable y ligera. Preciosa sudadera, muy suave y agradable al tacto y ligera, es mejor de lo que esperaba. La XXL es bastante grande, incluso un poquito más de lo que me esperaba.</t>
  </si>
  <si>
    <t>No cumple sus expectativas Lo devolvimos, no era cómodo ni se escuchaba bien, con el siguiente dimos en el clavo,no lo recomiendo.</t>
  </si>
  <si>
    <t>... No és como esperava</t>
  </si>
  <si>
    <t>La cafetera está bien, Pero hay un error en la descripción, el reservorio de agua no es extraible La cafetera está bien. Pero en la descripción de las caracteristicas del producto hay un error, el reservorio de agua no es extraible</t>
  </si>
  <si>
    <t>No funciona en para ipad. No es compatible con iOS lo he probado en dos que tengo, descargando la aplicación que indican y no lee los archivos que he incluido. Lo he formateado desde el mac, le he metido distintos tipos de archivo, y nada. he intentado copiar fotos del ipad al usb y tampoco funciona. No es compatible con iOS</t>
  </si>
  <si>
    <t>La rapidez Alponerlo en marcha se suelta la barilla</t>
  </si>
  <si>
    <t>Es bonita Es bonita,no está mal</t>
  </si>
  <si>
    <t>El tiempo no se puede comprar y yo lo he comprado comprando el deebot 900 Aparte de comprar un aspirador he comprado tiempo,mientras q yo hago otras cosas el me mantiene la casa sin una pelusa.Genial y a penas hace ruido, quizás me gustaría un depósito de basura algo más grande</t>
  </si>
  <si>
    <t>Cumple y queda bien Contento por el momento con el reloj. Lo compré como alternativa a mi smartwatch para usarlo en entrenamientos y cumple con su cometido. Queda bien puesto, además. Veremos a largo plazo.</t>
  </si>
  <si>
    <t>Bueno Muy bien</t>
  </si>
  <si>
    <t>versatil perfecto, tal como se describe.</t>
  </si>
  <si>
    <t>Todo un clásico Hacia tiempo que las andaba buscando, siempre me encantaron y hacia más de 14 años que no las compraba. Me gusta ver como han podido aguantar tantos años vendiendo este modelo. Calidad perfecta, se adaptan increíblemente, son comodisimas. Eso si en verano mucho calor al pie.</t>
  </si>
  <si>
    <t>4 tb por 58€, un regalo! Lo compré porque lo vi a 58€, por ese precio no podía dejarlo pasar, me llegó en 3 días y todo perfecto, encantado por la compra</t>
  </si>
  <si>
    <t>Buena compra Cómodos de calidad y baratos</t>
  </si>
  <si>
    <t>La calidad, y sobre todo su medida Lo perfectas que quedan,hacen una bonita pierna,y son preciosas,era reacia, pero son muy chik, vamos encantada ,espero que me duren</t>
  </si>
  <si>
    <t>Ideal para regalar Esta genial ,las piezas encajan perfectamente .Yo lo compre para regalar en símbolo de amistad .</t>
  </si>
  <si>
    <t>Me gusta.  No hace ruido.  Es sencillo y bien acabado.  Se nota que sube humedad al ponerlo. Me gusta, está muy bien. No hace casi ruido aunque de noche no lo he dejado puesto. El acabado está muy bien, queda bien en cualquier sitio.  Se nota que en seguida de ponerlo la humedad sube. Aún no lo he probado con aceites esenciales, solo con agua. Cuando el nivel de agua baja se para, ya me ha ocurrido y se ha parado, por lo que cumple también esta característica de seguridad.  El agua no se calienta ni el aparato tampoco. Los colores son sencillos y puede estar bien para relajarse.</t>
  </si>
  <si>
    <t>vaquita Me encanta es una cucada la vaca y me llego super pronto y queda perfecta en la mesa es muy comoda para el ratón</t>
  </si>
  <si>
    <t>Perfecto Todo correcto y bien embalado.</t>
  </si>
  <si>
    <t>Buena compra Le quedan a mi mujer perfectas</t>
  </si>
  <si>
    <t>Buen cable Buen cable para hacerte tus propias conexiones en el equipo de música o la tele.</t>
  </si>
  <si>
    <t>La velocidad de escritura La instalación es facilisima como segundo disco de mi xioami air 13,5 pulgadas. Va como una bala</t>
  </si>
  <si>
    <t>Bien Tube que devolverlo porque no venia todo pero aun asi un amigo mio lo tiene y le va de lujo un gran micro y todo genial la devolucion sin problemas y rapido</t>
  </si>
  <si>
    <t>Zapatillas top Muy buenas zapatillas, de las mejores del segmento de zapatillas “mixtas”. Diseñadas para carreras a ritmos alegres, el pie encaja como un calcetín. Son muy ligeras y amortiguadas.  Por si sirve de orientación, las tallas de NB coinciden con las de Nike.</t>
  </si>
  <si>
    <t>PRECIOSOOOO Muy bonito, yo ya lo habia visto en una tienda pero a 69 euros, cumplia todos los requisitos, pero la caja era de carton y me parecio un poco cutre, por lo demas genial.</t>
  </si>
  <si>
    <t>Me encanta Me encanta, son muy bonitas y se lo pone siempre. Lo recomiendo para niñas entre 10 y 15 años ME ENCANTA GRACIAS</t>
  </si>
  <si>
    <t>Muy útil para ahorrar espacio Funciona súper bien, creas una carpeta en tu Mobil y puedes guardar todos tus archivos y fotos directamente en ele usb</t>
  </si>
  <si>
    <t>Saca zumo de todo Travaja como un cavallo.</t>
  </si>
  <si>
    <t>Preciosa Lo compre para un regalo, le encanto. Es una pulsera que adapta a la muñeca, es de plata y no se descolora, es de muy buen material. Se queda preciosa puesta.</t>
  </si>
  <si>
    <t>SUELA RUIDOSA La suela es muy ruidosa y lo confortable del interior rápidamente queda hundido y no vuelve a su estado inicial.</t>
  </si>
  <si>
    <t>Esta bien el precio La talla es algo pequeña, no encontrarás un producto con calidad, por el precio que pagas, al menos sirve para estar por casa.</t>
  </si>
  <si>
    <t>No es suficiente velocidad para un Xiaomi M3 He comprado esta memoria concretamente por que relacionadas con el resto es la que mejor tasa de lectura y escritura tenia, además se supone que es una V3, pues bien la he puesto en un Xiaomi nuevo M3 y me lanza un mensaje de error de que es demasiado lenta para funcionar como complemento de memoria del teléfono , una de dos, o las velocidades que exponen no son correctas o xiaomi es muy tikismikis con las memorias. No obstante realizaré test y os diré el resultado.</t>
  </si>
  <si>
    <t>Malísima calidad Malísima calidad funcionan fatal</t>
  </si>
  <si>
    <t>Bota en mal estado por rotura Me ha llegado con un golpe en la parte delantera de la bota</t>
  </si>
  <si>
    <t>Queda muy xulo pero se ve la mala calidad... pero por su precio merece la pena Es muy xulo, pero se ve que es de mala calidad; por su precio vale la pena.</t>
  </si>
  <si>
    <t>Cascos inalámbricos Son unos cascos muy bonitos en color rosa. Son muy flexibles porque se pueden plegar y se pueden guardar en cualquier sitio. Me gusta mucho que se pueden contestar llamadas desde el propio casco mientras escuchas música y también se puede escuchar la radio. Recomiendo los cascos para regalar en navidad porque son comodos y blanditos.</t>
  </si>
  <si>
    <t>Buena compra (a la segunda...) Después de la desilusión inicial de recibir un producto claramente usado (venía sin plastiquitos, sin filtro, sin tira medidora de dureza de agua, sin cucharita para el café molido...) y con molinillo atascado, una vez devuelta y sustituida por Amazon (en dos días!!), puedo decir estar satisfecho con su funcionamiento y con el café que prepara. Veníamos de consumir café en capsulas y a propósito del cambio, en mi opinión: 1: se pierde la inmediatez típica del sistema por cápsulas (hay que admitirlo...). Este tipo de máquina necesita de un encendido más largo y consume agua al encenderla y apagarla (el equivalente de una tacita al encender y una al apagar) 2: el aparato ocupa bastante, si se anda cortos de encimera es algo a tener en consideración 3: aún consumiendo más agua, la frecuencia con la que hay que reponer agua o vaciar posos es menor que la frecuencia de rellenado de agua o vaciado de cápsulas de una típica Nespresso Inissia 4: el nivel de ruido es parecido 5: la posibilidad de configurar diferentes parámetros de preparación y de poder usar el café que a uno más le guste (o una mezcla de), lleva a una mayor probabilidad de acabar obteniendo el café optimo para cada uno (no voy a hablar de calidad... :) ) 6: la opción de usar café molido está bien (para descafeinado o café con más/menos cuerpo que el en granos), pero tener que ponerlo a cada café no es tan cómodo. Estaría bien un recipiente para el molido. Por lo general, no creo que en casa se usen más de dos tipos de café... 7.: en cuanto al medioambiente estamos hablando de un electrodoméstico clase A que produce posos de café que van al contenedor orgánico (o a las plantas o a desatascar el fregadero :)), nada de tener otra bolsa de basura y llevar las cápsulas al punto de recogida cada X tiempo... 8.: finalmente, a menos de usar cafés carísimos, resulta mucho más económico que el sistema en capsulas (aún considerando el coste del filtro del agua)</t>
  </si>
  <si>
    <t>Calidad precio Cumple con lo descrito</t>
  </si>
  <si>
    <t>Muy bien. Recomendable La prenda abriga, me la pongo debajo de una chaqueta de running para salir a correr por la noche y no tengo frío. Se ajusta perfectamente y saca el sudor perfectamente.</t>
  </si>
  <si>
    <t>Piedra tipo amatista. Es muy bonito.</t>
  </si>
  <si>
    <t>Practics Excelente</t>
  </si>
  <si>
    <t>Todo correcto Me llegó antes de lo previsto y me encantan!!!! No puedo estar más contenta 😊</t>
  </si>
  <si>
    <t>Hawaiana Para que queden bien hay que mirar la talla europea mi hijo gasta  41/42 y pedimos 43/44 y quedan perfecta.</t>
  </si>
  <si>
    <t>Potente y práctica Buena potencia, fácil uso, me gusta.</t>
  </si>
  <si>
    <t>Gran zapatila Excelente.</t>
  </si>
  <si>
    <t>Buena compra Tal y como se anuncia, muy útil.</t>
  </si>
  <si>
    <t>Buen producto Lo mejor, lo peque que es.</t>
  </si>
  <si>
    <t>Gran calidad Muy buena calidad ,mandado en una caja de muy buena resistencia y muy bien cuidado. La correa tiene muy buena pinta, fuerte y bonita</t>
  </si>
  <si>
    <t>Mal empaquetado El bolso cumple con las expectativas, ( buen producto) pero el mal empaquetado junto con otro articulo que compré (sombrero) arrugó en demasía los artículos. Decepcionado con el embalaje.  Bueno, ya parece que ha cogido su forma y queda bien puesto. Es un alivio. Es justo comentarlo, después del susto inicial. Un saludo.</t>
  </si>
  <si>
    <t>Geniales! Ya tengo 3 y los uso con diferentes tetinas, para cereales, para leche normal, etc. Vienen con la tetina de nivel 1 para recién nacidos, a los 3 meses hay que cambiarla. Son geniales!!! Y nada de cólicos!</t>
  </si>
  <si>
    <t>Auriculares cómodos y con muy buena calidad de sonido Auriculares de una muy buena calidad a nivel general. Aunque lo que más me ha llamado la atención es el sonido, es francamente muy bueno sin importar el estilo de música que estés escuchando. También me ha gustado lo cómodos que son y cómo se ajustan al oído, resulta bastante fácil usarlos por horas sin sentir ningún tipo de incomodidad.</t>
  </si>
  <si>
    <t>Pendientes bonitos Comprado como un regalo para mi mujer, a ella le gusta mucho. Dice que son bonitos y de plata ya que le ponga alergia de otro material Buena compra</t>
  </si>
  <si>
    <t>Volveré a comprar Muy bueno.. Para suciedad incluso de las yantas del coche..</t>
  </si>
  <si>
    <t>Se ajustan y son fáciles de usar. ¡Estos auriculares funcionan muy bien! Se sostienen en mis oídos y se mantienen incluso corriendo. Cancelan el ruido externo y me permiten concentrarme en los podcasts que me gusta escuchar. Están bien diseñados y son fáciles de usar.</t>
  </si>
  <si>
    <t>Comodas Perfectas</t>
  </si>
  <si>
    <t>Genial calidad/precio Lo limpia absolutamente todo, desde trozos de pienso del gato, hasta azucar, pelusas, migajas de pan... Es espectacular lo que consigue esta marca. No tiene sistema de navegacion pero funciona perfectamente, lo aislas en una habitacion y la limpia de pe a pa. Y en la casa entera tmabien, pero tarda mas tiempo. Lo suyo es dejar las casas completas y grandes para modelos superiores, en cuanto a tiempo. Para limpiar mi casa de unos 100m2 mas o menos le ha llevado una carga completa muy ajustada. Pero ha quedado genial. Quizas otros modelos optimizan mas el tiempo.</t>
  </si>
  <si>
    <t>Producto de calidad Son un poco caras pero merece la pena pagar un poco más. Son muy cómodas, elegantes y resistentes, se nota que están hechas con materiales de calidad. Suela de caucho blanda (agarra pero no suena al pisar) y sin costuras a la vista. La presentación me ha gustado también, vienen en una caja adaptada muy elegante e incluye una bolsa de tela para llevar las zapatillas. Sin duda una buena compra.</t>
  </si>
  <si>
    <t>Pi. solo lo he podido usar 1 vez, ya se me ha estropeado el cierre. La verdad es que es una pena porque es bonito, pero ya no me vale para nada, sacaré las bolas haber si me vale para otra pulsera, en fin decepcionada</t>
  </si>
  <si>
    <t>Memoria practica pero posible poca duración La valoración no es mayo aunque la memoria funciona bien, pero se calienta excesivamente tanto al conectarla en Móvil como en PC.  Tuve que devolver la primera USB por este motivo y la segunda que me han enviado le ocurre lo mismo. No la he devuelto tambien esta y la ire observando, pero me temo que si sigue calentandose de esta manera se deteriora la memoria.</t>
  </si>
  <si>
    <t>Suela Lo único malo que le veo es la suela es súper fina por fuera parece que tiene una suela más gorda pero por dentro con la suela tan fina es incomodar andar después de unas cuantas horas con ellas puestas</t>
  </si>
  <si>
    <t>Low quality This toaster looks fine in pictures as a "retro" style toaster but for the price it is very poor quality overall. The slider bar for making the colour of toast at the bottom is thin plastic and will surely break over a short time. The crumb tray is so shallow it will need to be emptied every day as will hold few crumbs. It is so lightweight that when adding bread and pressing the slider down the toaster tips up. The outside walls of the toaster get very hot. The fancy timer dial on the front means nothing, although the needle moves to show an approximate time to toast the item to your selected number on the slider. But if you rely on this the toast burns badly. The slots are narrow and barely take bread over 10-12mm thick. Overall, this toaster is no better than a non-brand, or cheap supermarket toaster I could have bought for around 20€. I paid extra shipping too, for two day delivery and it arrived 8 days later than that!! All in all the worst buy I have made on Amazon ever. Esta tostadora se ve bien en imágenes como una tostadora de estilo "retro", pero por el precio es de muy mala calidad en general. La barra deslizante para hacer el color del pan tostado en la parte inferior es de plástico delgado y seguramente se romperá en poco tiempo. La bandeja de migas es tan poco profunda que deberá vaciarse todos los días, ya que contendrá pocas migas. Es tan liviano que al agregar pan y presionar el control deslizante, la tostadora se inclina hacia arriba. Las paredes exteriores de la tostadora se calientan mucho. El elegante dial del temporizador en la parte delantera no significa nada, aunque la aguja se mueve para mostrar un tiempo aproximado para brindar el elemento al número seleccionado en el control deslizante. Pero si confías en esto, la tostada quema mucho. Las ranuras son estrechas y apenas tienen pan de más de 10-12 mm de espesor. En general, esta tostadora no es mejor que una tostadora de supermercado barata o de marca que podría haber comprado por alrededor de 20 €. ¡También pagué un envío adicional, por dos días de entrega y llegó 8 días después! En general, la peor compra que he hecho en Amazon.</t>
  </si>
  <si>
    <t>En 1 mes se dejó de oir 1 auricular En tan solo 1 mes, dejó de escucharse el auricular derecho. Los originales que me vinieron con el movil me duraron 2 años....</t>
  </si>
  <si>
    <t>Buena calidad y servicio excelente Buena calidad y servicio excelente, es un poco más largo de lo que esperaba, pero nada que una buena sastra no soluciones.</t>
  </si>
  <si>
    <t>Bueno Lo compré para mí novia y le gusta</t>
  </si>
  <si>
    <t>Sony MDR-ZX110 Auriculares cerrados, blancos para un regalito de última hora a un sobrino, Autenticos Sony a precio de derribo, suenan decentemente.</t>
  </si>
  <si>
    <t>Muy buena sensación Me gusta esperaba por el precio sudadera delgada y mala, pero es de muy buena calidad</t>
  </si>
  <si>
    <t>Muy bueno Es bastante fuerte y viene con adaptadores de rosca que son útiles, buen servicio pero hecho de menos que tenga una bolsa de transporte para guardarlo</t>
  </si>
  <si>
    <t>Rápido Muy buen producto. Rápido funcionamiento y además es de cristal.</t>
  </si>
  <si>
    <t>Regalo y éxito Fue un regalo a la pareja y todo un éxito son pequeñitos pero elegantes, ya que se disimulan bien. Quedó encantada</t>
  </si>
  <si>
    <t>Todo perfecto Muy contento con este maravilloso colgante , un regalo perfecto y un 10 por el detalle de la nota y la bolsita en el envío</t>
  </si>
  <si>
    <t>Tiene muchos compartimentos y bastante capacidad Me ha gustado el material muy agradable al tacto.</t>
  </si>
  <si>
    <t>Muy, muy recomendable. Una navaja perfecta. Yo la queria para salidas de senderismo y acerte, es perfecta. Por tamaño y filo de la hoja. La recomiendo sin duda.</t>
  </si>
  <si>
    <t>Una de las mejores opciones Se oyen realmente muy bien, a este precio es una ganga!</t>
  </si>
  <si>
    <t>Calidad Buena calidad y bonito</t>
  </si>
  <si>
    <t>Genial Lo utilizo en la construcción y por ahora aguanta sin ralladuras lo recomiendo totalmente.</t>
  </si>
  <si>
    <t>Gran calidad Gran calidad</t>
  </si>
  <si>
    <t>recibido hoy  20 de marzo de 2019 todo correcto de acuerdo a lo enunciado</t>
  </si>
  <si>
    <t>Genial La verdad q antes lo teníamos q haber comprado, una maravilla totalmente recomendable. Un volumen espectacular fácil de llevar. Lo utilizamos en un aula</t>
  </si>
  <si>
    <t>Excelente Muy bueno. Tamaño correcto y con el sistema de rosca para colocarlo encaja perfectamente con el blue snowball. Muy recomendado</t>
  </si>
  <si>
    <t>Muy buena replica a un precio increíble. Perfecto! Muy bonito y detallado, es el tercero que compró, todos para regalo, les encantó tanto a mis sobrinas como a mi amiga fan de Harry Potter.</t>
  </si>
  <si>
    <t>Unas zapas geniales Son una zapatillas muy chulas y calentitas. Quedan muy bien. Hay que avisar que tienen la suela muy fina y es como caminar descalzo. Así que si no te gusta la sensación de ir descalzo busca otro modelo.</t>
  </si>
  <si>
    <t>Es el reloj que tuve cuando era joven. Y sigue igual de fiable y bonito. Es un clásico. Lo tuve a los 18 años y me encanta volver a tenerlo ahora, que no veo tan bien como antes y además no me pesa nada en la muñeca.  He buscado en otras web y lo ofrecían por  un precio significativamente más alto.</t>
  </si>
  <si>
    <t>Excelente producto &lt;div id="video-block-R1NQY6GIQNG9A5" class="a-section a-spacing-small a-spacing-top-mini video-block"&gt;&lt;/div&gt;&lt;input type="hidden" name="" value="https://images-eu.ssl-images-amazon.com/images/I/91U0NIVnjBS.mp4" class="video-url"&gt;&lt;input type="hidden" name="" value="https://images-eu.ssl-images-amazon.com/images/I/71An65c45yS.png" class="video-slate-img-url"&gt;&amp;nbsp;Lo compre porque quería calentar el agua con mucha rapidez, y sin ninguna duda cumple su función, solo hacen falta 10 segundos para que empiece a hervir.</t>
  </si>
  <si>
    <t>Buena compra Geniales crocs totalmente originales y perfectas de talla, me las compre para probar y no puedo estar mas contento, estoy seguro que compraré más.</t>
  </si>
  <si>
    <t>Sensación de spa Me encanta la sensación que transmite, es como estar en un spa. Apenas hace ruido, es muy silencioso, se puede ajustar tanto la luz como el nivel de vapor. También tiene un programador para que se apague a ciertas horas. Huele de maravilla toda la habitación y según el tipo de aceite que pongamos aporta sensación de relax, sueño, energía, etc.</t>
  </si>
  <si>
    <t>Material resistente Tal cual como se muestra en La foto, yo pensaba que era en plan bolso cuando en realidad es un portafolio de Lona, de excelente calidad . La recomendaría sin duda alguna</t>
  </si>
  <si>
    <t>pendientes son demasiado pequeños, casi no se ven. no son ni la cuarta parte del pendiente de la foto. son super pequeños</t>
  </si>
  <si>
    <t>Muy buenos pero el pack viene con la tetina pequeña Cuando nacio mi hijo me regalaton un pack con biberones de esta marca. Al principio no me convencian mucho pero al final son los que mejor me han ido, he intercalado pecho y biberon y el bebe lo ha cogido bien sin rechazar el pecho. Ojo hay que poner la valvula easyvent hacia arriba. He comprado este pack para una segunda residencia. No le pongo mas estrellas por que te obligan a comprar los bibes con la tetina del 1 cuandomi hijo ya necesita la del 2-3, deberian haber paks con tetinas de tamaño grande.</t>
  </si>
  <si>
    <t>Ok Devuelto</t>
  </si>
  <si>
    <t>Mal Pues me tuvo que tocar una bota mala, porque se me hizo un agujero en la suela de una de las botas al poco tiempo de usarlas.</t>
  </si>
  <si>
    <t>yo no se lo que entienden por 3 metros de un metro escaso, semirrigido, nada flexible. y peligro de llevarte el amplificador detras inadvertidamente. muy mala compra</t>
  </si>
  <si>
    <t>Sencillos pero suficientes Lo dicho, son sencillos, básicos, pero no se necesita más. Música, radio, ..., y contestar llamadas si se quierre.. .</t>
  </si>
  <si>
    <t>Práctico y sencillo. Por el precio que tiene poco más se le puede exigir. Incluye, una licencia de Ableton Live Lite, que permite añadir hasta 8 pistas y viene con bastante contenido de librerias, unos 600 MB.  En un MacBook Pro con Yosemite y Logic Pro X es conectarlo y funcionar, sin más complicaciones.  El tacto de las teclas quizás parezca algo endeble, pero según mi criterio, cumple de sobras con el uso que se le va a dar. Teclas ligeramente pequeñas. Incluye el control de volumen del canal MIDI.  Tiene un tamaño bastante contenido, que permite meterlo en cualquier bolsa de transporte y pesa poco.  En resumen, recomendaría su compra para un uso básico y principiante.</t>
  </si>
  <si>
    <t>Bueno, aunque la perilla podria ser mas robusta Me ha gustado y hace su funcion</t>
  </si>
  <si>
    <t>Talla 40,5, Creo que es para corredores con más talla y un peso de 80 kilos o más Zapatillas de Running modelo color Negro Black Lemon Spark 003 de la marca ASICS Gel Nimbus 21 en talla 40,5 Peso de zapatilla Izquierda 284 gramos. Peso de zapatilla derecha 287 gramos. Altura (aprox) del talón unos 11 cm. La Medida tomada personalmente de la plantilla es de 26,5 cm (máximo).  _Conclusiones: Tengo un peso menor a los 80 Kilos y la talla que adquirí es una 40,5. Al igual que los comentarios de algunos compradores, las zapatillas no "descansaban" correctamente sobre una superficie plana, las dos tenían un "liguero balanceo", este no era muy exagerado y una vez usadas durante varios días no noté molestias en la pisada por este motivo. Lo que sí noté es que me resultan algo duras en zonas de asfalto o superficies/terrenos duros, la amortiguación no la noto como en otras zapatillas (no voy a hacer publi de otras marcas). Considero que las Nimbus 21 son unas buena zapas, pero están más orientadas a corredores con un peso superior a los 80 kilos (preferiblemente más) y una talla también superior a la 40,5 que es la que yo uso.  _Conclusión Final: En fin, que tengo un sabor "agridulce" por que esperaba más de ellas, creo que un pié pequeño como el mío combinado con el "poco" peso hace que no sean tan buenas "amortiguando" que otras.  Saludos By Flype</t>
  </si>
  <si>
    <t>LA CUARTA VEZ QUE LOS COMPRO. PERFECTOS PARA ENTREGAR SESIONES DE FOTOS. Ésta ha sido la cuarta vez que he comprado estos pendrives para entregar mis trabajos fotográficos. En solo un par de ocasiones he tenido que formatearlos para que funcionasen mejor. Pueden ser algo lentos a la hora de grabarlos, pero funcionan a la perfección, además del bonito diseño que tienen.</t>
  </si>
  <si>
    <t>ideal tengo 2 horas de bus todos los dias al trabajo y me ha resultado perfecto para meterle series y ver un par de capitulos en ese trayecto, se transfieren muy rapido los archivos al ser 3.0 recomndable</t>
  </si>
  <si>
    <t>Buena calidad / Tallaje perfecto La tela es de buena calidad, el corte de la camiseta es regular por lo que no se adapta. Ideal si no te gusta la ropa ajustada. Para una altura 173cm y un peso de 77kg compre la M y me queda perfecta.</t>
  </si>
  <si>
    <t>Recoge muy bien el pecho Me ha gustado un montón quedan muy sujetos y al mismo tiempo comodísimos, muy satisfecha porque ya he comprado muchos que no me han gustado tanto.</t>
  </si>
  <si>
    <t>Gran zapatilla todo terreno Gran zapatilla para corredores todoterreno minimalistas . La suela absorbe perfectamente las piedras o raíces . Es perfecta para pistas y asfalto. En terreno más técnico no las he probado  . Ojo con la talla ,  son  medio número o  uno más  grande de lo habitual en Merrell .</t>
  </si>
  <si>
    <t>Rapidez y calidad Tal como lo pedido, muy bien</t>
  </si>
  <si>
    <t>Bien Me ha gustado mucho. Uso para todo , pasear, correr, entrenar . Muy comodo</t>
  </si>
  <si>
    <t>Gran compra Gran compra</t>
  </si>
  <si>
    <t>Recomendable Realmente cumplió con las expectativas. Muy buen sonido y calidad del material también.</t>
  </si>
  <si>
    <t>Muy bonitas Quedan chulísimas ,talla normal ,buen material</t>
  </si>
  <si>
    <t>Excelente A mi esposo le encantó,buen reloj,gracias</t>
  </si>
  <si>
    <t>Bien ok Todo OK más barato q en Carrefour o dia</t>
  </si>
  <si>
    <t>domingo Buena compra, es Verbatim una marca conocida y muy buena, buena capacidad y memoria, satisfecho cien por cien, gracias, os lo aconsejo que lo compren</t>
  </si>
  <si>
    <t>Turbantes para cada día Bonitos colores, material agradable, no resbalan del pelo. De momento muy bien todo</t>
  </si>
  <si>
    <t>Producto ya conocido y que se modeerniza Ninguna sorpresa. Se adquirió porque con los años el anterior ya necesitaba relevo en el pie batidor,...y prácticamente casi es tan caro el repuesto como el aparato completo al añadir el pie de puré.</t>
  </si>
  <si>
    <t>Calidad y envío 5 estrellas Fabuloso!! Rápido envío. Buenísima calidad de los materiales. Respecto al tamaño q tantas dudas crea, entra más q de sobra monedas de 2€. He pedido otros 10!!</t>
  </si>
  <si>
    <t>Geniales Me ha sorprendido lo cómodas que son.</t>
  </si>
  <si>
    <t>Muy practico Estoy muy satisfecha con el biberon, lo llevo a todos sitios y como es vidrio es mejor para mi bebe</t>
  </si>
  <si>
    <t>Perfecto para iniciarse a la guitarra He empezado ahora a tocar la guitarra y necesitaba un cable para conectarla al ampli y puas para tocar. El cable funciona perfectamente, suena bien (a oídos de novato como yo) y se ve de calidad con este acabado. Y las púas son todo un detallazo: de muy buena calidad, diferentes grosores para empezar a ver cual te gusta mas, bonitas y con una cajita metálica muy práctica para guardarlas.</t>
  </si>
  <si>
    <t>kike No cumple con la descripción del producto, no funciona con Android como indica en las expecificaciones, a no ser que tengas Samsung 5 o superior.</t>
  </si>
  <si>
    <t>Bonito pero corto Es bonito pero corto para las personas que somos muy altas.</t>
  </si>
  <si>
    <t>calzan algo justas las zapatillas en si estan muy bien, ley que habia que coger un numero mas grande xk son justas asi que yo que calzo un 37,cogi un 38 y aun asi son justas..pero las zapatillas son muy comodas y muy chulas.</t>
  </si>
  <si>
    <t>Correcto Correcto calidad precio</t>
  </si>
  <si>
    <t>Ni lo compreis,  un tanque, no vale ni el poco dinero que vale. Ni para tacos de escopeta</t>
  </si>
  <si>
    <t>No megusto No funciona</t>
  </si>
  <si>
    <t>Buen producto Producto tal cual se esperaba, nada fuera de lo común, igual a la descripción. Buena relación calidad/precio. Contento con la compra</t>
  </si>
  <si>
    <t>bien Biberon de buena calidad, aunque evidentemente es de plástico y eso no lo recomiendo prefiero de cristal o vidrio, lo que pasa que para el transporte si que es mucho mas práctico este, además trae otro bote dentro más pequeño para meter los polvos de la leche, es super practico!!, por este motivo es que lo he comprado porque si que el precio me parece algo elevado y por el tema del plástico, pero claro si quiero portabilidad tiene que ser así. Trae un sistema anti-cólico innovador, de la tetina sale el liquido muy lentamente.</t>
  </si>
  <si>
    <t>Rapidez y eficacia en servir el artículo Cable muy delgado, frágil.</t>
  </si>
  <si>
    <t>buenas botas para trabajar botas bien acabadas con muy buen precio,comodas y seguras,perfectas para la lluvia,es un producto con una muy buena relacion calidad/precio,las recominedo sin dudar</t>
  </si>
  <si>
    <t>Recomendable al 100% Talla L. Se adapta bastante bien al cuerpo,muy cómodo y de material bueno. Lo recomiendo al 100%</t>
  </si>
  <si>
    <t>Perfecto Todo bien</t>
  </si>
  <si>
    <t>Sin problema Me queda grande pero me valen</t>
  </si>
  <si>
    <t>Cumple 100% con las expectativas. A pesar de leer varios comentarios no muy buenos, me decidí por comprar este modelo. La verdad que no creo que sea suerte, pero el mío funciona muy bien. El embalaje fue muy bueno, con instrucciones claras, hay hasta vídeos explicativos. Después de unos días de pruebas, nada que objetar. Marca bien las temperaturas (contrastado), y me tendré que fiar de la humedad. En día de lluvia marca el 99%, con lo cual considero que el rango alto está ok. La inercia de lectura de temperatura es lenta, pero imagino que es correcto por el tipo de sensor que lleve. Estos sensores no son de lectura instantánea (nos vamos a equipos de +600€) Y tardan unos minutos (bastantes) en alcanzar la temperatura correcta. Resumiendo, relación calidad-precio, más que adecuada.  &lt;a data-hook="product-link-linked" class="a-link-normal" href="/ThermoPro-TP65-Inalámbrico-Termómetro-Higrómetro-Digital-exterior-y-interior-con-gran-Pantalla-táctil-y-Retroiluminación-azúl-Medidor-de-Humedad-Temperatura-Función-de-memoria/dp/B075VMLZB9/ref=cm_cr_getr_d_rvw_txt?ie=UTF8"&gt;ThermoPro TP65 Inalámbrico Termómetro Higrómetro Digital exterior y interior con gran Pantalla táctil y Retroiluminación azúl, Medidor de Humedad Temperatura, Función de memoria&lt;/a&gt;</t>
  </si>
  <si>
    <t>Reloj sencillo pero de momento va bien Por el precio, no puedes pedir nada mas. Es fantástico el relieve del tren, aunque tiene tacto a latón, plástico, pero el color cobrizo le da el pego.</t>
  </si>
  <si>
    <t>Muy bonito Es preciosa a mi me ha encantado la recomiendo , tiene mucho brillo como se puede apreciar en la foto y su medida es perfecta la volveria a comprar sin dudarlo una buena compra.</t>
  </si>
  <si>
    <t>Altavoz Calidad precio genial</t>
  </si>
  <si>
    <t>Son Buenos Buena calidad de sonido, graves profundos y agudos claros y buena calidad de construcción. Ademas vienen con estuche para transporte, funciona en casi todo los dispositivos que he probado, los recomiendo 100%.</t>
  </si>
  <si>
    <t>Perfecto Necesitaba esto para caber en un lugar particular en mi cocina y lo hace, realmente necesito un trapeador más pequeño pero eso no es culpa del cazo</t>
  </si>
  <si>
    <t>biberon rapidos en el envio, perfecto. el biberon es de muy buena calidad, la tetina imita la forma del pecho, perfecto para el bebé tal y como queríamos.</t>
  </si>
  <si>
    <t>Preciosa Preciosa, repetiría seguro. Lo recomiendo 100%.</t>
  </si>
  <si>
    <t>¡Fantásticos! Estoy impresionada con estos auriculares. Para empezar, la caja donde vienen tiene un contador electrónico con la batería que le queda. Son ergonómicos y se adaptan perfectamente a la forma de la oreja, por lo que no se te van a caer, hagas lo que hagas. Se emparejan muy fácilmente con el teléfono o el mp3, tablet, portátil, etc. y no da problemas de conexión, puedes estar alejado y sigue funcionando sin interferencias. Lo suelo usar con el móvil para salir a caminar. Aguantan el sudor sin problemas.  Tienen un botón en cada auricular pudiendo pasar de canción o subir o bajar el volumen sin necesidad de tocar el teléfono. Los auriculares se escuchan fenomenal, con una insonorización del exterior excelente y el sonido es espectacular. Lo que más me gusta es la autonomía, en si mismo la base es una powerbank, que te sirve para cargar los auriculares. Sin duda los recomiendo y es más... compraré otros para regalar estas navidades.</t>
  </si>
  <si>
    <t>Encantada Es para regalar y encantada</t>
  </si>
  <si>
    <t>Muy bien El reloj es muy bonito y vino en el plazo y muy rápido de momento funciona de lujo y no es muy lioso a la hora de manejarlo ni a la hora de cambiar la hora y demás aparte de que te trae un manual de instrucciones donde lo explican muy claro</t>
  </si>
  <si>
    <t>Funcina Está bien</t>
  </si>
  <si>
    <t>Durabilidad llevo los aros de color negro bastante tiempo y la pintura sigue intacta otros pendientes de descascarillan en seguida son de buena calidad estoy satisfecho</t>
  </si>
  <si>
    <t>Muy recomendable Quizás sea un pelín ancho, pero tampoco demasiado. Desde luego es una zapatilla muy cómoda. Llegó todo a tiempo y en perfecto estado.</t>
  </si>
  <si>
    <t>Súper cómodos Perfectos de talla y muy cómodos, los pongo todos los días y van con todo.</t>
  </si>
  <si>
    <t>Cómodos y modernos a buen precio Excelentes zapatos de Clarks a un precio muy ajustado (45€). Cómodos y modernos.</t>
  </si>
  <si>
    <t>Incómodas A pesar de ser Asics (supuestamente) son muy incómodas, ya que las noto muy duras, razón por la cual casi no las uso</t>
  </si>
  <si>
    <t>100 % Plastico 100% de materiales reciclados = 100% Poliester. Esta bien, pero no creo vale el precio.</t>
  </si>
  <si>
    <t>Tela pobre Barato, pero casi transparente, de fino que es no luce .</t>
  </si>
  <si>
    <t>Pequeñas y estrechas La talla es más pequeña de lo normal y son muy estrechas para niño</t>
  </si>
  <si>
    <t>No esta mal No está mal pero para el precio que tiene esperaba algo más.</t>
  </si>
  <si>
    <t>Bonitos... El primer par de pendientes queda muy grande y no se ve como en la foto pero el resto quedan bien. Son bonitos.</t>
  </si>
  <si>
    <t>Un disco con mucha capacidady barato. Tengo otro disco de la misma marca y capacidad,  hace ya  tiempo,  creo que no me dio ningún problema.  Sin embargo este nuevo  disco al conectarlo en el TV no me lo reconocía,  ni una LG ni una Samsung,  no había manera.El ordenador lo reconocia a la primera,  asi que lo formateé,  pero ni por esas me lo reconocían los Televisores.  Mirando los comentarios en Amazón vi que había alguine que indicaba que había que formatearlo con una programa de la pagina WB,  dicho y hecho,  y milagro..........ya lo reconecen los TV.</t>
  </si>
  <si>
    <t>Buen producto La calidad y empaquetado del producto es buena pero no es compatible con la pulsera mi smart band 4 por el grosor de esta.</t>
  </si>
  <si>
    <t>Cómodos Quizás tenga demasiada ventilación, algo que veo mal porque cuando llueva o pille un charco, se me mojará el pie (con la compra de un cubre zapatillas, lo soluciono) . Pero para buen tiempo, serán perfectos.</t>
  </si>
  <si>
    <t>brutales buena tela, buen acabado, tallo la 34,36 y pedí la S. Merece la pena chicas</t>
  </si>
  <si>
    <t>Como juguete están genial. Como juguete para niño/as están genial.  Suficiente volumen, son robustos, y la conexión por bluetooth al móvil es puntazo para ponerles la música que les gusta.</t>
  </si>
  <si>
    <t>Diseño, calidad, precio. &lt;div id="video-block-R1RYJCJGEJQ3TI" class="a-section a-spacing-small a-spacing-top-mini video-block"&gt;&lt;/div&gt;&lt;input type="hidden" name="" value="https://images-eu.ssl-images-amazon.com/images/I/C1TplfEZrBS.mp4" class="video-url"&gt;&lt;input type="hidden" name="" value="https://images-eu.ssl-images-amazon.com/images/I/91A4RX8JN-S.png" class="video-slate-img-url"&gt;&amp;nbsp;A mi me ha encantado, tiene sólo una ranura pero me caben 2 rebanadas de pan de molde también pan normal y con el aplique que se pone arriba se tuestan panecillos, pan de perritos mientras hago las salchichas...el diseño es precioso de acero inoxidable del que no queda huella. Relación calidad-precio perfecta.</t>
  </si>
  <si>
    <t>Cinturón deportivo porta botellín perfecto para salir a entrenar Cinturón súper cómodo con bandas reflectantes para ser visto corriendo por la noche! Bolsillos muy amplios y ubicación del botellín muy ajustable.</t>
  </si>
  <si>
    <t>Recomendado Excelente relación precio/valor. Elimina bastante bien los pops de la voz sin cambiar el timbre en demasía.</t>
  </si>
  <si>
    <t>eficaz Eficaz. Absolutamente recomendable. Entro agua en mi coche. Olía a perros y gracias a los saquitos, medio kilo en total, el olor desapareció al cabo de 48 horas.</t>
  </si>
  <si>
    <t>Buena relación calidad-precio Me ha gustado mucho la compra de este pack de calcetines por la calidad/precio. Los calcetines se ajustan al pie de tal forma que no forman ninguna arruga. La puntera viene reforzada y el diseño está muy bien pensado. En resumen, son unos calcetines muy prácticos y además bonitos.</t>
  </si>
  <si>
    <t>Buena calidad, resistentes y fuertes Geniales. Normalmente usaba Grafoplas con referencia 55700 que son fuertes y rugosas, porque las demás parecen papel de fumar, pero esta marca me ha gustado mucho, son resistentes, duras y transparentes! Buenisima calidad, repetiré seguro!</t>
  </si>
  <si>
    <t>Muy bueno recomendable Genial parece que tienes un físio detrás es genial y así me he ahorrado pagar físio cada mes</t>
  </si>
  <si>
    <t>Muy buena compra Auriculares muy buenos y muy polivalentes. Les he usado para varias situaciones y van perfectos. Para correr suenan genial y no se caen, ni se mueven, les llevo sincronizados con smartwatch y sin problema, los llevo al mínimo de volumen y se oyen una barbaridad, además puedes llevar uno o los dos y puedes pausar la música con dar solo un toque en cualquier botón de los dos auriculares, o pasar de pista dando dos toques seguidos, también en cualquiera de los dos. Para correr dura de sobra, aunque solamente les he probado hora y media seguida aproximadamente. Les he sincronizado con varios dispositivos y genial, en tablet, smartphone, etc.... además puedes usarlos sin problemas con otra persona y de lujo (escuchar ambos la misma música donde no quieres molestar y estás en movimiento, usar de audioguia en visitas turísticas a través del móvil, escuchar una película en la tablet sin necesidad de líos de cables, etc...). Viene muy bien presentado y la caja donde se recargan es un puntazo, con imán en la base para que no se caigan y esta no ocupa nada, los materiales están muy bien, además son muy cómodos y trae varias almohadillas de distintos tamaños para el oído. De momento la batería no puedo decir si dura mucho o no, como decía antes sólo usados de seguido durante hora y media. Para lo que buscaba, totalmente recomendables.</t>
  </si>
  <si>
    <t>Cumple perfectamente Buena relación calidad precio</t>
  </si>
  <si>
    <t>Ecelente Producto Me encanta, está inmantado y se queda pegado en la Nevera, por eso me gusta, os aconsejo la Compra, espero haber ayudaros a decidiros con la Compra.</t>
  </si>
  <si>
    <t>Buena oferta Una oferta muy buena a un precio mucho mejor que en el super o hiper. Buen servicio de entrega. Es el producto normal.</t>
  </si>
  <si>
    <t>Buenisima calidad de construccion y sonido Buscaba unos auriculares sencillos para trasladar bastante, y me he quedado sorprendido por dos cosas: la calidad de sonido y la calidad de construcción. Los uso durante horas prolongadas en transporte y durante el trabajo. Además el estilo del cable es perfecto para evitar enredos. Super recomendables!</t>
  </si>
  <si>
    <t>Satisfecha De buena calidad. Muchos bolsillos. Fue para un regalo y le encanto.</t>
  </si>
  <si>
    <t>Compacto y silencioso Muy buena compra. Un disco con tamaño recudido y bastante silencioso. Muy contengo con él. Compra recomendable.</t>
  </si>
  <si>
    <t>entretenido Espectacular, a mi hija le encantó, tiene puerto USB, se conecta facilmente al movil (en mi caso sistema IOS), la bateria aun no la he cargado desde que me llego el dia 17, siguen usandolo como venia, tiene también para añadir una tarjeta SD y no es para nada pesado, me lo esperaba mas pesado. Buena compra si lo que quieres es tener a los peques entretenidos y a ti no te importa sufrir "algo" de dolor de cabeza :)</t>
  </si>
  <si>
    <t>Genial Talla perfecta.</t>
  </si>
  <si>
    <t>Cómodas Perfecta chancla y súper cómoda, muy práctica y fácil de lavar. La recomiendo.</t>
  </si>
  <si>
    <t>mala sudadera La textura de la tela es horrible, es como plastico blando. La capucha, al tener este tejido queda deformada y muy grande, aunque la coloques bien queda mal. los logos estan con un plastico plastificado de mala calidad</t>
  </si>
  <si>
    <t>Fácil lavado Queda mona</t>
  </si>
  <si>
    <t>Bien En general bien, pero se empaña cuando hace fresquito, cosa que no pasa con un 5600 que tengo desde hace 30 años. Ya no hacen relojes como antes.</t>
  </si>
  <si>
    <t>Estafa Estafa, no hace nada y si eres delicado de la piel te salen granitos.</t>
  </si>
  <si>
    <t>Mala calidad,poco mas de un mes y se ha roto Me ha durado poco mas de un mes. Y ya se ha roto. Mala calidad. No lo recomiendo ya que si tenia dudas de que no deberia valer mas de 20euros ahora ya no tengo ninguna duda.</t>
  </si>
  <si>
    <t>Ideales para hostelería Al principio resultaron un poco rígidas, pero fue hasta que el pie se acostumbro. Me paso más de 8h con ellas y los pies no se me cansan tanto como antes. Se mantiene la temperatura del pie, por lo que no se pasa frío con ellas. La única pega que le pondría, sería que la suela, al tener un entramado de rejilla tan fino, la porquería que se te mete a veces cuesta quitarla y hace que la suela se vuelva lisa y resbaladiza...</t>
  </si>
  <si>
    <t>Lo rápido que lo recibí Me gustado todo</t>
  </si>
  <si>
    <t>Sara Perfectas, aunque el color es un poco más oscuro que en la imagen. De todas formas lo recomiendo. Pedir una talla menos</t>
  </si>
  <si>
    <t>Tiene mucha  fuerza , y bate muy bien Es un bueno producto y una marca de mucha confianza , y tiene mucha fuerza que para hacer cualquier puré es estupenda , lo único malo que el primer día te reventó el vaso , y pesa un poco</t>
  </si>
  <si>
    <t>Tarjeta de buena relación calidad-precio Dentro de la gama "doméstica" de tarjetas SDHC, ésta quizás es el nivel más alto de las mismas, por lo que si no le vas a dar un uso intensivo a la misma, sin duda es una de las mejores opciones que puedes elegir. La velocidad de grabación de disparos en ráfaga es suficientemente rápida como para no crear cuellos de botella y en cuanto a la grabación de vídeo, si no vas a ir más allá de los 1080p, es perfecta. Sin duda una gran compra si repito, no le vas a dar un uso profesional. Espero que esta opinión te haya sido útil :)</t>
  </si>
  <si>
    <t>Toda ella me gusta Toda ella es muy bonita</t>
  </si>
  <si>
    <t>Calidad precio excelente Todo correcto</t>
  </si>
  <si>
    <t>Perfecto Muy bien. Me gusta. Es pequeñito, no pesa nada. Fácil de usar.</t>
  </si>
  <si>
    <t>Acabado y resistencia Me gusta, especialmente, el acabado. Y también la resistencia.</t>
  </si>
  <si>
    <t>Pequeños y buen sonido Son pequeños y se oyen muy claro, ideales para caminar y hacer footing.</t>
  </si>
  <si>
    <t>Muy comodas Están muy chulas. En mi caso eran para una niña para el colegio y de momento muy bien como era de esperar.</t>
  </si>
  <si>
    <t>Yo misma Se ve de calidad; grande comparado con la mayoría de los bolsos estándar de hombre; original diseño. Ideal para regalarlo.</t>
  </si>
  <si>
    <t>muy buen disco duro Tiene buen acabado. Gran capacidad y rapido</t>
  </si>
  <si>
    <t>Encantada Preciosa y de muy buena calidad. El tamaño perfecto. Volvería a comprarla. La recomiendo totalmente.fue para regalo y el propietario la usa a diario.</t>
  </si>
  <si>
    <t>Puma Chanclas muy recomendables y comodas ( tengo un 42 y quizas deberia haber pedido un 43 ) Contento.</t>
  </si>
  <si>
    <t>la TALLA ES TAL CUAL me han gustado mucho</t>
  </si>
  <si>
    <t>Comodas Muy prácticas  ,cómodas,su color es sufrido,así que lavar poco ,se secan rápido muy satisfecha con la compra,para caminar  escelentes,las llevo hasta sin calcetines!!!!</t>
  </si>
  <si>
    <t>Tener buenos auriculares, es como tener un amigo invisible en el transporte publico Llevo años usando auriculares de esta marca, que más se puede decir. A pesar de que me salió una vez mal, con unos ruidos de fondo en uno de los cascos, esta marca nunca falla.</t>
  </si>
  <si>
    <t>PERFECTO PERFECTO. ENTREGA EN TIEMPO.</t>
  </si>
  <si>
    <t>Calidad insuperable Partiendo de la base de que no soy un gran aficionado al deporte ni al monte, mi critica a este producto es de un neófito, solo voy a a hablar de mis sensaciones de usuario básico. Pero claro, con niños, cada día te obligan mas a quitarte los zapatos y ponerte zapatillas, y hacer excursiones con ellos.  Estas zapatillas son impresionantes, nada mas cogerlas en la mano el tacto, el ligero peso y el aspecto de construcción te impresiona. La suela de goma trae unos tacos que parece que vas a subir el Everest con una mano atada a la espalda. Es un producto que un amante de la aventura y las excursiones por el campo o montaña a alto nivel disfrutara como un enano.  El tallaje es bastante correcto, calzo un 41-42 y estas siendo un 42 me van bien con calcetín fino, con grueso un pelin justas. Pero como son flexibles no creo que tenga problema con el uso. Recomendaría cogerlas un poco mas grandes de tu talla habitual.  Cómodas no, lo siguiente. Son unos guantes para el pie, se adaptan de lujo, sin apretar lo mas mínimo, horma ancha y cómoda. Viene con una plantilla generosa y la suela es de goma antideslizante con tacos, no te caerás por torpe que seas. Y la amortiguaciones es muy muy cómoda. En cuanto al textil, es Gore-Tex, cómodo, impermeable y transpirable, lo mejor que se puede tener. El color es verde caqui, las fotos no le hacen para nada justicia. Los rematados de las gomas con el textil esta perfectamente acabados, impecables. Hasta los cordones son de calidad.  Un excelente producto para los amantes del monte y la aventura, incluso para un neófito como yo van de lujo. La calidad se paga, pero solo 1 vez</t>
  </si>
  <si>
    <t>Excelente producto De calidad, llegó a tiempo y es natural y bueno el olor</t>
  </si>
  <si>
    <t>Buena calidad No es la típica carpeta que te compras en los chinos. Si te gustan plásticos muy resistentes y que no se arrugan al pasar un par de veces tus apuntes y quieres calidad por unos eurillos más comprála. :)</t>
  </si>
  <si>
    <t>Encantado, recomendable 100% Siempre he querido una para el cuello, todas las que encontraba por internet eran para la espalda. La prové en cuanto me llego y es perfecta para mi dolores de cuello, me alivió muchisimo. Ademas tiene 3 niveles de potencia. La recomiendo.</t>
  </si>
  <si>
    <t>Su precio no está justificado Devolví unos JBL E65 porque su reducción de ruído no era lo que esperaba y decidí invertir más dinero en estos Bose porque las comparativas en revistas especializadas y los comentarios de Amazon los ponían por las nubes aunque por detrás de los SONY WH-1000XM3B. Tienen un buen sonido pero los JBL son más nítidos y suenan mejor. En calidad de materiales los JBL superan con creces a estos Bose. El alcance de Bluetooth es mediocre, más vale no alejarse muchos metros del dispositivo. En esto JBL es también muy superior. En la reducción de ruido quizás sean algo mejores que los JBL pero tampoco para tirar cohetes. En definitiva, personalmente creo no se justifican el precio que tienen unos y otros y muchísimo menos los 90 eur. de diferencia entre ambos .</t>
  </si>
  <si>
    <t>muy chulo lo unico malo son las gomas se salen de los agujeros con solo un dia de huso por lo demas original y mi hija esta encantada</t>
  </si>
  <si>
    <t>Me ha sorprendido la calidad Tiene más calidad de lo que esperaba en cuanto a audio. Eso sí, la pinza se ha roto de ponerla y quitarla 5 o 6 veces.</t>
  </si>
  <si>
    <t>Tallas pequeñas La camiseta es buena y Bonita pero la talla es increíblemente pequeña compre XL y dudo que sea una M. Una pena.</t>
  </si>
  <si>
    <t>Decepción Me ha gustado su poco peso, su comodidad al correr y su sonido pero no trajo instrucciones en castellano y en cuanto se acabó la batería que trajeron cuando los recibí me fue imposible cargarlos en su caja y no puede utilizarlos más.</t>
  </si>
  <si>
    <t>Barato SI, Bueno NO Lo uso para cerrar cajas de cartón y NO es gran cosa. Se rompe "solo", sin hacerle mucha fuerza. No dura lo suficiente. He comprado artículos parecidos y precios similares que han resultado geniales.</t>
  </si>
  <si>
    <t>LA COMODIDAD ES MUY CÓMODO PARA ANDAR Y MUY FLEXIBLE,BUENA COMPRA,</t>
  </si>
  <si>
    <t>Muy ligeras Material muy ligero , cómodas.</t>
  </si>
  <si>
    <t>¿Un poco pequeño? Compre el reloj porque es un clásico y para usarlo cuando voy a correr,es un poco mas pequeño/fino de lo que lo imaginaba,aunque se menciona la mida en las características,al tenerlo en la mano,la cosa cambia un poquito,no es muy grueso,mas o menos como un smartphone. Eso si,100 % original hecho en Japón,con instrucciones y garantía (la caja es de plástico)</t>
  </si>
  <si>
    <t>Parece grande, pero no lo es tanto una vez puesto Siempre he sido de CASIO me parecen los mejores en relacion calidad precio, con este sería mi cuarto reloj de la marca, (el resto los he regalado y aun funcionan), es grande, las manecillas se ven muy bien, lo que me parece un desacierto es la pantalla, muy pequena y apenas se ve, aveces con lo grande que son las manecillas pueden taparte mucha vision, y algo que me parece imcomprensible es..........por que rayos......!!!NO TIENE LUZ!!! mis 3 anteriores y menos caros tenían una muy buena forma de leer la pantalla en baja o nula luz y este ........ no, puede parecer una tonteria pero no lo es, al menos para los que nos movemos en exteriores y muchas veces de noche, recomiendo lectura del manual para entender sus funciones</t>
  </si>
  <si>
    <t>Muy potente!!!! Paquete entregado dentro del plazo, corresponde perfectamente a lo descrito por el vendedor y quisiera destacar su potencia y buen precio. Magnifica compra.</t>
  </si>
  <si>
    <t>Lo esperado, todo correcto Sin sorpresas, llegó bien y funciona perfectamente</t>
  </si>
  <si>
    <t>Están bien Cortan muy bien y parecen duraderas. Contento con la compra , volvería a comprar. Quizá el precio debiera ser un poquito más bajo.</t>
  </si>
  <si>
    <t>Calienta las cervicales sin resistencias, pero calienta. Recién recibida y probada. Tal y como aparece en la foto. Supersuave. Calienta muy bien, si bien es cierto que no tiene resistencias en el cuello, calienta las cervicales por cercanía de las otras,y, a más temperatura, más calienta. Me encanta.</t>
  </si>
  <si>
    <t>Resistente, bueno, bonito y barato Tiene todo lo que se le puede pedir a un reloj: agujas analógicas, segundero. Visor digital, con despertador, cronómetro, tiempo dual (admite dos horas diferentes, útil para viajar a otras zonas horarias), resistente al agua... He tenido otro reloj igual. La única pega es que con el tiempo (muchos años) los botones empiezan a funcionar mal. Y si quieres conservar la estanqueidad hay que llevarlo a Casio para cambiar la pila, ponen goma nueva y lo meten en una cámara especial. No es caro y sí conveniente.</t>
  </si>
  <si>
    <t>Sonido espectacular. Lo compré por los comentarios pero a pesar de todo, la sorpresa fue grande. Sonido magnífico, claro, natural. Los materiales no me gustan, calientan mucho las orejas, pero todo se soporta por escuchar su sonido.</t>
  </si>
  <si>
    <t>Perfecto El mejor biberon anticolicos</t>
  </si>
  <si>
    <t>Son muy comodas Las Asics tienen a tallar más pequeño. Pero todo bien, lo recomiendo.</t>
  </si>
  <si>
    <t>Me llegó como lo pedí Muy buenos zapatos</t>
  </si>
  <si>
    <t>Skechers nunca decepciona Uso la marca Skechers desde hace tiempo y todo lo que he usado es cómodo y se ajusta a la talla que marca. Por por poner un pero a estas zapatillas... quizás un poco demasiado altas en la parte trasera.</t>
  </si>
  <si>
    <t>Perfectas La talla perfecta, tal y como la había probado en la tienda. No voy a descubrir nada ahora de NB, ya que es la zapatilla más cómoda que yo he probado</t>
  </si>
  <si>
    <t>Todo Ok! Perfectas y comodísimas! Recomiendo coger menos talla de la utilizada habitualmente, yo suelo calzar una 39 y he pedido una 38 2/3 haciendo caso a los comentarios que he leído, y he acertado!</t>
  </si>
  <si>
    <t>Excelente calidad-precio Es mejor de lo que me esperaba. Los materiales son de buena calidad, no hay crujidos o sonido de piezas sueltas. Bastante silencioso como para poder usarlo si hay una persona durmiendo. Pesa poco, tanto como para que una persona mayor lo pueda usar sin cansarse. La batería aguanta una semana dándole un uso diario de unos 15 min.  Recomiendo usar el cabezal 3-Intensive para masaje en los gemelos.</t>
  </si>
  <si>
    <t>Marta Me encantan! Es genial que hagan medios números, me encajan muy bien. El color es súper acertado, neutro pero sin ser el típico blanco.</t>
  </si>
  <si>
    <t>Tacto muy suave La almohada viene con una cinta elástica para ajustártela a la parte del cuerpo que quieras.  El tacto es suavísimo y las regulaciones muy correctas. El modo más caliente calienta de lo lindo.</t>
  </si>
  <si>
    <t>Una pasada Potente, limpia y cómoda de utilizar, bonita, pequeña. Lo tiene todo, si te gusta hacer batidos de fruta, avena, leche, yogurt... es un producto de 10.</t>
  </si>
  <si>
    <t>Buena compra Cumple su función, estamos contentos. El material es de calidad por lo que nos durará unos cuantos años que es lo que buscábamos</t>
  </si>
  <si>
    <t>True Wireless muy cómodos con buena calidad de sonido a buen precio. Se me estropearon unos auriculares bt que iban unidos con cable y al ver estos me decanté por el precio. Me ha sorprendido los materiales, lo fácil que resulta sincronizarlos (contiene instrucciones en castellano) y los botones inteligente para mutar, descolgar una llamada o pasar de canción. La carcasa para guardarlos y cargarlos no es muy grande, puedes llevarla en cualquier lugar, y los auriculares se sujetan muy bien dentro de ella vía imán. Una vez superada la primera sincronización, simplemente con sacarlos de la caja ya se encienden y se enlazas al smartphone solos, para apagarlos lo mismo, con guardarlos ellos se apagan automáticamente. Muy sorprendido, los recomiendo.</t>
  </si>
  <si>
    <t>Posiblemente el más popular Es un disco duro de alta gama hecho específicamente para ser usado en servidores NAS. Levemente más caro que la versión verde y muy compatible, lo llevo usando algo más de un mes y no he tenido problemas con él. Eso sí, tengo dentro del NAS otro disco de la misma marca pero de gama baja, y el servidor me indica que ambos están a la misma temperatura, por eso aquello del bajo consumo eléctrico y el menor calentamiento no sé qué pensar. En cualquier caso lo compré por su eficiencia y durabilidad, y así está siendo/tengo expectativas de que sea.</t>
  </si>
  <si>
    <t>No me convence... Solo la utilizo para hacer puré o crema de verduras, pero siempre se queda los trocitos pequeños y no queda como crema suave.</t>
  </si>
  <si>
    <t>Malla normalita. Es una malla que hace su función, pero no tiene demasiado diferente con otras que puedas comprar mucho mas baratas. EL problema que le veo es que tengo otra de otra marca, que es muy muy confortable con una transpiración mucho mayor que esta, esta quizás esta mejor para compresión pero lo que es por confortable muy normalita.  Si te parece útil la opinión, por favor vótame.</t>
  </si>
  <si>
    <t>Bonitos pero chirrían al caminar La zapatilla es muy mona pero cada vez que das un paso, debido al material exterior, hacen un ruido molesto. Una vez que te las pones varias veces ya  se va pasando. Son frías, eso sí.</t>
  </si>
  <si>
    <t>no fidedigno El sonido es delgado y metálico, pero todo funcionó bien para comenzar, sin embargo, después de un mes, el sonido comenzó a disolverse, especialmente cuando estaba caminando. Hoy fue lo mismo y cuando volví a casa, los usé con mi computadora portátil, sin respuesta alguna. Cargué los auriculares, pero una vez cargados por completo, ¡no se produjo ningún sonido! ¿Por qué es que el tiempo para devolver el producto es menos de un mes? (Del 25 de julio al 19 de agosto) muy decepcionado , Richard Froud.</t>
  </si>
  <si>
    <t>Krizantha Me llego al tiempo estimado, el color es el que indica la foto y es ideal para deporte, lo único es que se encoje después de varias lavadas</t>
  </si>
  <si>
    <t>Funcional y buena compra!!! Buena batidora: pica hielo, batidos en su punto, queda muy bien salsas, cremas, frutas, verduras... Era un regalo para mi madre y está encantada.</t>
  </si>
  <si>
    <t>Contenta con la compra Muy bonito, tres colores brillantes, sin embargo es muy pequeño, me hubiera gustado un tamaño algo mayor pero por lo demás estoy encantada con la compra, es un regalo, espero que guste</t>
  </si>
  <si>
    <t>Materiales de baja calidad Los materiales son de baja calidad. Al menos de lo que yo esperaba de Adidas. No creo que duren mucho.</t>
  </si>
  <si>
    <t>Por calidad precio, producto recomendable. Buenas, respecto al envio, lo he recibido antes de lo esperado.  El producto es como lo esperaba. Viene en un estuche con cremallera de un tamaño adecuado para poder transportarlo y de material duro para que no se aplasten, suenan mejor de lo que esperaba, no hay ruido del exterior y se adaptan muy bien, además traen varias almohadillas de distintas medidas. Les he puesto 4 estrellas por que aun no los he usado mucho y no puedo dar una opinión de la durabilidad y funcionamiento a largo plazo, si no les daría 5. por el precio y la calidad un producto recomendable.</t>
  </si>
  <si>
    <t>Precioso y de excelente calidad De la familia LINEAGE de Casio, se empiezan a notar los materiales de primera calidad. Cristal de zafiro, acero pulido y muy buena lectura de las agujas, que además son visibles en la oscuridad durante mucho tiempo. Además, el hecho de que sea alimentado por el sol evita que tenga que ser abierto prácticamente durante su vida útil, lo que hace que sea estanco y evita que se estropee. Cómodo, elgante y funcional (5 alarmas, cronómetro, cuenta atrás, sincronización por radio...). No se puede pedir más. Como pega (que para mí no lo es) podría decir que la luz es un poco débil, pero es que desde mi punto de vista no es necesaria para ver la hora en la oscuridad.</t>
  </si>
  <si>
    <t>Muy cómodo sé queréis desdechufar temporalmente alguna toma Yo lo uso para apagar temporalmente la estufa sin tener que desenchufar y pudiendo usar los otros enchufes por ejemplo para el presentador</t>
  </si>
  <si>
    <t>perfecta organizacion El producto tiene una gran adhesión, por tanto es fantástico sin preocuparte que pueda despegarse cada cierto tiempo. Muy recomendable.</t>
  </si>
  <si>
    <t>Muy cómodos. Cómodos,sólidos y buen material.</t>
  </si>
  <si>
    <t>Buena calidad precio Todo el mundo debería tener este pack por casa. Son una maravilla.  Merece la pena gastarse un poquito más y tener estas reglas.</t>
  </si>
  <si>
    <t>Tinta gratis Para mí lo más importante ha sido el servicio de tinta de HP que me da tinta gratis si no imprimo más de 15 páginas al mes. Lo que hago es imprimir o escanear de vez en cuando por necesidad (etiquetas de amazon, copias del DNI, etc...), y si necesito imprimir 200 páginas, voy a un local de impresión. Al final tengo una impresora en casa para mis cosas de emergencia con un servicio de tinta gratuito.</t>
  </si>
  <si>
    <t>Bonita y cómoda Es preciosa y muy cómoda, a mi chico le encantó. De muy buena calidad le está dando mucho uso para el trabajo</t>
  </si>
  <si>
    <t>Mucho mejor de lo que esperaba Pues eso que lo he encontrado, mucho mejor de lo que esperaba, con buenos acabados y funciona genial.</t>
  </si>
  <si>
    <t>Me encantan !! Me encantan !!! Son ligeros , muy bonitos y cómodos</t>
  </si>
  <si>
    <t>Super Me gusto</t>
  </si>
  <si>
    <t>correcto envio perfecto.</t>
  </si>
  <si>
    <t>Buen pack Muy buen Pack de calcetines, son finos para el verano y su variedad te viene muy bien para diferentes momentos. Los he utilizado para salir y para jugar al padel y funcionan bien. El tiempo decidirá su duración!</t>
  </si>
  <si>
    <t>Muy cómodos y eficaces Biberón efectivo anticólicos. No se derrama y la válvula expulsa bien el aire del interior. Tengo varios de esta marca y otros del Dr Brown y la verdad estos de Avent me gustan más porque son más cómodos y con menos fuga de leche.</t>
  </si>
  <si>
    <t>Perfecto Perfecto, buena esfera se ve perfecta la hora. Hasta ahora ningún fallo</t>
  </si>
  <si>
    <t>Buen aroma. Huele muy bien</t>
  </si>
  <si>
    <t>Comodo Muy cómoda , en perfecto estado color muy bonito , tal y como lo describen</t>
  </si>
  <si>
    <t>Encantado Llegó antes de la fecha de entrega. Es justo lo que necesitaba para hacer mi set Up de estudio y poder grabar voces y guitarra. Los controles de niveles de equalizacion son muy convenientes y el poder meter los efectos por la entrada a tal efecto me parece un añadido muy importante ya que puedo usar mi micro BR de Boss para meter reverb y otros efectos decidiendo el nivel al que afecta a cada pista. Simplemente encantado con todas las posibilidades que me ha abierto. Además se puede utilizar la entrada de tape y la de retorno de efectos para usarlas para dos canales más en el caso de necesitarse incluir más instrumentos. Más que de sobra para lo que voy a hacer con ella.</t>
  </si>
  <si>
    <t>Funciona perfecta Gran capacidad y buen funcionamiento</t>
  </si>
  <si>
    <t>Perfecto para hacer deporte Los pantalones me quedan genial. Las tallas están bastante parecidas y la goma elástica deja los pantalones ajustados. Tiene detalles en amarillos fosforito que viene bien para cuando sales a correr y que te vean. Aunque queden algo ajustado los pantalones al hace estiramientos por la pantorrilla tiene tiras elásticas, lo que viene bien porque aunque estores mucho no vas a tener problema en que se te parta o raje el pantalón. También tiene bolsillos y uno trasero con cremallera perfecto para guardar llaves, etc cuando sales a correr. Por el precio que tiene está bastante bien</t>
  </si>
  <si>
    <t>Beatriz Vino sin asa ydesde Amazon me repusieron por otro que también vino sin asa, ya me da igual,  que está claro es que este cubo viene sin el asa.</t>
  </si>
  <si>
    <t>Bonita Es como dice el anuncio,comoda y bonita</t>
  </si>
  <si>
    <t>Demasiado pequeñas Más de una talla menos.</t>
  </si>
  <si>
    <t>ME HAN ENVIADO  LO QUE NO HE COMPRADO ME HAN ENVIADO  LA DE COLOR NEGRO. Me he puesto en contacto con el vendedor  e incluso envie foto  ( de la negra, calaro) y no he obtenido respuesta. Por cierto la de color negro tiene las cremalleras rojas.   Me he quedado con ella para no meterme en lios de devoluciones.   Me imagino que al comprar por internet tiene estos riesgos....</t>
  </si>
  <si>
    <t>Penoso No funciona!!! Funciono los dos primeros días, pero como dicen otras opiniones, a los dos días no lo reconoce ningún dispositivo.</t>
  </si>
  <si>
    <t>opinion después de unos días de uso he de decir que tienen buena calidad de audio, pero alguna vez no se sincroniza bien el auricular izquierdo</t>
  </si>
  <si>
    <t>Para el verano genial Quedán muy bonitos, me han gustado mucho, aunque el alambre es un poco delgado, debería ser más fuerte.</t>
  </si>
  <si>
    <t>Me encanta. Me  encanta.Es la medida que esperaba para chica. Bueno,todos sabemos que la marca Casio sale bastante bien. Calidad/ precio Lo recomiendo!</t>
  </si>
  <si>
    <t>Es resistente Tiene un buen tamaño</t>
  </si>
  <si>
    <t>muy bien perfecto Todo correcto, talla bien. y trae los cordones de lazo y los de cuerda. estan genial y son muy comodas</t>
  </si>
  <si>
    <t>Genial A nuestra bebé le encanta. A diferencia de otras tetinas, esta es como un pezón y aunque no mame puede mantenerla en la boca. El flujo lo marca el bebé, pues si no chupa y hace fuerza no gotea. El sistema de la bolsa de silicona es muy bueno, y muy fácil de limpiar. Tenemos este y dos tetinas Calma, que vamos variando. Ambas van genial.</t>
  </si>
  <si>
    <t>FANDARE y sus mochilas la MEJOR OPCIÓN Tuve un percance con la mochila pero lo solucionaron muy profesionalmente y he de decir que es una compra aconsejable 100%. Si le das importancua al trato humano y a la garantía esta mochila de FANDARE es la mejor opción.</t>
  </si>
  <si>
    <t>Genial Talla perfecta y por el precio esta muy bien!</t>
  </si>
  <si>
    <t>Rapidez y calidad Articulo perfecto y envio rapido. El precio elevado para fuera de temporada.</t>
  </si>
  <si>
    <t>Muy bien Me encantan!! Aunque tallaje pequeño, eso si, por lo demás fenomenal.</t>
  </si>
  <si>
    <t>Luismiebg Una pasada de zapatillas, son muy cómodas y duras. Es el tercer par de estas mismas que gasto y son geniales.</t>
  </si>
  <si>
    <t>Es perfecto Muy pequeño, es lo que buscaba me ha encantado</t>
  </si>
  <si>
    <t>Muy bien Recomendadas originales 100% Han sido un regalo y acerté. Buenos materiales y muy cómodas. La tela no es 100% blanca tira un poco a un blanco roto.</t>
  </si>
  <si>
    <t>Excelente Con este ya es el 4to que compró .. Para regalar lógicamente 😉 Y han salido fabulosos,  vale laboran adquirirlo !</t>
  </si>
  <si>
    <t>Collar El collar fue un regalo y la persona que lo ha recibido ha sido encantada. La cadena es finita y en tamaño del medallón está bien. Buen producto.</t>
  </si>
  <si>
    <t>Buen producto Me encantan! muy resistentes, es un muy buen producto y comodo, lo recomiendo sin lugar a dudas!. Compré un par hace 4 meses y aún estan como nuevos.</t>
  </si>
  <si>
    <t>Muy bonito Tal y como se ve. Es muy bonito. Esperemos que al mojarlo no se ponga feo, parece de buena calidad</t>
  </si>
  <si>
    <t>Cepillo y soporte para inodoro. Ecobilla  con soporte. La escobilla es de silicona para limpiar  mejor la suciedad. El soporte es de plastico. La escobilla se puede desmontar. No pesa nada y se puede linpiar fácilmente.</t>
  </si>
  <si>
    <t>Buenísima relación de calidad/precio para unos auriculares Llevo ya varios años usando estos auriculares, tanto para casa como para salir a correr. He comprado ya varios puesto que al final, con la caña que les doy, acaban estropeandose. Estos los he comprado para un familiar, que ya tenía unos iguales desde hace tiempo. La calidad del sonido, sin ser un 10, es bastante buena y para actividades normales, no creo que sea necesario gastar más.</t>
  </si>
  <si>
    <t>Buen tamaño y muy cómodo He recibido el artículo y está muy bien. Muy práctico. Un tamaño mediano pero con capacidad y bolsillos cómodos.</t>
  </si>
  <si>
    <t>Elegante y fino Sorprendido y contento. Tamaño ideal, fino y elegante. Lo compre para regalar a mi madre y esta muy contenta. Buen tamaño y poco peso. Buen acabado y btillante. Muy contento</t>
  </si>
  <si>
    <t>Una maravilla de joya Perfecto y muy bonito.</t>
  </si>
  <si>
    <t>Perfecto para una NAS casera. Hace poco compré un par de discos de 4TB junto con una NAS Synology DS216j, aquí en Amazon, y estoy encantado con su rendimiento. Los he configurado en RAID1 y funcionan a la perfección. Rápidos, silenciosos y con Synology (desconozco otras NAS) disponen de un acuerdo para poder comprobar más a fondo el estado de los discos Seagate IronWolf con las herramientas integradas en la propia Synology. Lo utilizo básicamente para almacenar la información, a modo de Backup sobretodo. Sin duda, lo recomiendo.</t>
  </si>
  <si>
    <t>Bonitas Unas deportivas par mi gusto bonitas, algo calurosas para verano y no tan cómodas como imaginaba. Tallan un poco grandes y dan de si . Yo las he estado utilizando para caminar durante unos días y he notado que apenas tienen sujeción en el talón y me hace pisar mal, puede que sea mi pie, pero nunca me ha pasado con ningún tipo de calzado.</t>
  </si>
  <si>
    <t>Incomodos. Buen sonido/precio. Lo bueno: El sonido es relativamente bueno para jugar y el 7.1 cumple. Aunque necesita ecualización, el software de logitech cumple la función a la perfección.  Lo malo: La diadema esta mal diseñada, con una espuma muy dura y una curva que concentra toda la presión sobre la parte superior del cráneo (el cual tengo normal) lo que hace que a la media hora moleste y a la hora sea insoportable. A la oreja van bien. Son enormes! Muy aparatosos. Aunque están bien construidos los materiales dejan que desear, tanto los plásticos como las almohadillas.  Conclusión. Si obviamos los problemas de comodidad que he tenido (cosa que puede ser personal) no están mal pero no los recomendaría. Yo cambie los míos.</t>
  </si>
  <si>
    <t>María Isabel El tallaje es normal,pero le faltaría llevar la preforma para que no se marcasen los pezones,ya que en el deporte la estética es muy importante</t>
  </si>
  <si>
    <t>Yo no lo volvería a comprar. La compré en abril de 2017 y a los 3 meses empezaron los problemas: El pie no se separa fácilmente; la varilla que une motor y cuchillas utiliza una pieza de engranaje de plástico que se suelta, por lo q no puedes lavarla en el lavavajillas; en la parte superior del pie, hay otra pieza negra que sujeta la varilla, que también se suelta. El motor va bien y a mi no se me ha roto la cuchilla. Por eso una estrella. No la volvería a comprar.</t>
  </si>
  <si>
    <t>información falsa o errónea es falso que mida 9 mm de grueso, lo compré pensando que era así,  procedo a devolverlo</t>
  </si>
  <si>
    <t>Calidad de sonido mejorable Compré estos auriculares porque quería unos de "batalla" para llevar en la mochila y que aguantasen tirones y demás. Por el precio que los compré lo considero un acierto hasta el momento (veremos como son de duraderos).  El sonido no es nada del otro mundo pero se defienden. Si buscas gran calidad, estos no son tus auriculares. El diseño es bonito y son cómodos en la orejas. Considero que tienen un tamaño medio ni muy grande ni muy pequeño.  En resumen: Unos buenos cascos para el día a día a un precio atractivo sin grandes pretensiones de calidad sonora.  Un saludo!</t>
  </si>
  <si>
    <t>Calidad decente Buen producto, con una calidad de audio decente. El cable está recubierto de una especie de tubo transparente que debería ayudar no sólo a mejorar la resistencia sino también a que se enrolle menos.</t>
  </si>
  <si>
    <t>Cómodas, a la espera de resultados. Al ser éste un producto femenino, escribo esta opinión desde el punto de vista de mi novia que es quién lo ha probado y sigue usándolo. Según abres la caja, el contenido viene muy bien empaquetado, al sacarlo tiene todo muy buena pinta, lo primero que nos encontramos es el mando de control o unidad (así lo llaman en el manual), después viene el elemento principal, una calzona tipo culote de licra de muy buena calidad en color negro y con acabados en rosa (costuras y beige (pequeños dibujos en los laterales), en tercer lugar tenemos los 4 parches adhesivos y por último el cargador y un adaptador para el enchufe.  Si describo el material puedo decir que viene todo con muy buena pinta y además viene todo muy bien explicado en el libro de instrucciones:  - Mando de control o unidad: con él es con lo que se controla el estímulo de contracción que van a recibir nuestros músculos. Podemos controlar la intensidad (de 0 a 99 puntos) y el programa (4 diferentes). El tiempo de cada programa lo marca el aparato según el programa que se elija.  - Culotte: es de lycra, tiene un bonito diseño, cuenta en su parte delantera con un pequeño bolsillo en la parte superior derecha y en la cinturilla lleva el cable donde hay que conectar el terminar de la unidad y en la parte posterior tiene 4 dispositivos donde se colocan los parches, imitan a 4 ventanas que se abren y en la parte móvil es donde se colocan dichos parches, encima de unos puntos de metal. Es muy fácil de colocar. Una pequeña pega es que no hay todas las tallas, es talla única, que va de la talla 34 a la 40, esto se corresponde con una cintura 61-81cm y una cadera: 81-97cm.  - Parches: vienen perfectamente guardados de manera individual en un paquete pequeño y dentro del cual vienen con unos plásticos separadores. Aunque no es difícil colocarlos en el culotte, hay que leer las instrucciones para hacerlo bien puesto que los podemos estropear ya que una de las caras no la podemos tocar, se coloca sobre los electrodos que tiene la calzona. Hay que cambiarlos cada cierto tiempo. No funciona a pilas, utiliza una batería recargable.  El manual de instrucciones viene escrito en 6 idiomas: inglés, francés, español, alemán, holandés y portugués.  Este pantalón corto cuenta con una tecnología de electro-estimulación muscular (EMS) para actuar sobre los músculos de los glúteos, esculpiendo y reafirmándolos en tan sólo 4 semanas.  Mi novia lleva muy poco tiempo usándolo y por el momento nota sensación de firmeza en esa zona. Ella dice que al conectarlo y ponerlo en funcionamiento es muy agradable aunque a la vez es potente, la sensación es un cosquilleo en toda la zona que ocupa el parche, al retirarlo esa zona queda relajada y ella realiza pequeños estiramientos de la musculatura glútea y evitar así la sobrecarga.  Según el fabricante, usándolo durante 4 semanas en una frecuencia de 4 veces en semana se notan los resultados y que estos está, probados así es que habrá que seguir usándolo para averiguar su efectividad.  Como conclusión definitiva de este producto, creo que es un producto de calidad, con una buena presentación de cara al cliente y lleva un gran trabajo por detrás para que con muy poco tiempo y esfuerzo podamos ejercitar nuestros glúteos sin salir de casa y además resulta tener resultados probados.</t>
  </si>
  <si>
    <t>Como esperaba Es fina y de mala calidad, pero a mi hijo le encanta el estampado.</t>
  </si>
  <si>
    <t>La rapidez Fenomenal</t>
  </si>
  <si>
    <t>Mala presentación. Original?? Venía en una simple bolsa de plástico transparente y dudo la verdad de que sea original. Era para un regalo y no sé aún si es de buena calidad.</t>
  </si>
  <si>
    <t>Se ajusta perfecto Queda bien y es agradable al tacto.</t>
  </si>
  <si>
    <t>Por 3€ vale la pena La gente se queja por costumbre... Por 3€ que se esperan? Me llego 5 días antes de lo esperado y esta bastante bien y aunk no lo he probado todavía no tienen mala pinta</t>
  </si>
  <si>
    <t>Tal y como me esperaba Estoy muy satisfecho, tanto con el envío (rapidísmo) como con las zapatillas. Parecen nuevas y vienen en su caja original. La verdad es que si me dijeran que son nueva ni lo dudaría. Muy contento con la compra, repetiré de nuevo si veo algún otro modelo que me guste!</t>
  </si>
  <si>
    <t>Fantástico Ya lo tengo un año y las calidades de mis grabaciones han mejorado enormemente. No he probado muchos micros de condensador pero este no me arrepiento para nada de comprarlo.</t>
  </si>
  <si>
    <t>Bien Fue para un regalo y la verdad que la calidad parecía ser bastante buena. Le gusto muchísimo y tiene buen precio.</t>
  </si>
  <si>
    <t>New Balance Garantía de Calidad La funcionalidad, con el talón reforzado para evitar desplazamientos no deseados, el refuerzo de la Puntera en el pulgar, sin el refuerzo las de la competencia acaban con un "respiradero", el color y la calidad del tejido. Destacar la comodidad. 100% recomendable.</t>
  </si>
  <si>
    <t>BONITAS ZAPATILLAS... Son mis segundas new balance , tengo unas 574 clasicas desde hace un tiempo y he decidido repetir con este modelo que siendo unas 574 llevan la suela sport y la punta es algo diferente. Debo decir que después de unas semanas de uso son comodísimas y se adaptan bien al pie. En cuanto al tallaje , tallan algo holgadas a diferencia de las 574 clásicas ,pero tampoco es una exageración. En otras marcas calzo un 44 y en n.b un numero mas, bien es cierto que en este modelo con un 44.5 habría sido suficiente pero encargué un 45 y me van bien, al ser la puntera un poca mas larga que las clásicas parecen algo mas grandes..... En resumen , buen producto y mejor aun al precio que las pillé !!</t>
  </si>
  <si>
    <t>bolso de pecho me encanta porque tiene muchos compartimentos con cremallera!!!. Y sobre todo el precio que tiene y se la recomiendo a toda la gente!!!</t>
  </si>
  <si>
    <t>No deja sensación de sordera Los cascos son una pasada, se escucha bastante bien y dura muchísimo la batería. La relación calidad precio es bastante buena. Recomiendo estos cascos si vas a escuchar música por un periodo largo de tiempo pues no molestan para nada los oídos después ni tiene la sensación de sordera. La pega es que tardan un poco en cargar la batería.</t>
  </si>
  <si>
    <t>Muy bonito Bonito y comodo, muy buena calidad. Lo volvería a comprar sin duda!</t>
  </si>
  <si>
    <t>Perfecto Perfecto!</t>
  </si>
  <si>
    <t>Su funcion Me gusta su diseño pero podria ser un poco mas grande</t>
  </si>
  <si>
    <t>Masajeador eficaz Después de varios días de uso, puedo recomendar este aparato. En mi caso estoy muchas horas de pie en mi trabajo y cuando llego a casa utilizo este masajeador y me relaja bastante. Tiene varios modos de intensidad y duración, y el calor que produce en los pies logra que haya más circulación y más efecto de descanso. Trae un mando para poder regular todas las configuraciones sin tener que agacharte. Y lo mejor es que se puede lavar la funda en la lavadora sin problema.</t>
  </si>
  <si>
    <t>Buen producto Me encantan estos zapatos , no pasa el tiempo por ellos, siempre están de moda</t>
  </si>
  <si>
    <t>Perfecta para no pasar frío en invierno Este cubre colchón eléctrico viene muy bien presentado. La calidad de la tela es buena y muy suave. Yo la coloco entre el colchón y la sábana. La sensación es muy buena. Al meterte en la cama nunca pasas frío usándola. Trae 3 niveles de potencia. Yo la suelo poner al máximo al principio y luego lo bajo al 1. Muy contenta con ella</t>
  </si>
  <si>
    <t>Calzan pequeñas Tienen buena pinta. Buenos acabados y calidad esperada. Recomiendo una talla más de la habitual. Uso 43 en deportivas (Nike, Adidas, NB....) y también en sneakers. En este caso pedí una 43 y quedan muy apretadas. Las he tenido que cambiar por una 44. Con la 44, perfectas.</t>
  </si>
  <si>
    <t>Calidad a buen precio Es bonito, cómodo y funciona perfectamente. Es un buen reloj aunque sea más económico que otras marcas. Es un excelente reloj para uso diario.</t>
  </si>
  <si>
    <t>A mi no me funciono A mi no me ha resultado, no se si lo utilizado bien. Lo di con un paño de gafas, 3 aplicaciones.</t>
  </si>
  <si>
    <t>Mala construcción, y buen sonido! Muy buena calidad de sonido (para lo que cuestan), buena cancelación de ruido (no hay que olvidarse de apagar el botón ANC, que va por separado al encendido y apagado), buena duración de la batería, buena conectividad, son bastante cómodos, pero tienen un serio PROBLEMA de calidad en materiales de fabricación (Made in china). A los 3 meses de comprarlos, y sólo por el uso diario, la diadema se partió al medio en el plástico de la parte superior (foto 2). Luego de 6 meses de uso, se fueron despegando las diferentes capas interiores que separan la diadema de la cabeza (foto 1). Es decir, son desechables! No los recomiendo! Ahora tengo unos Sony WH-CH700N, y estoy bastante satisfecho con ellos, aunque en los días con viento el ruido del aire se te mete por todos lados!</t>
  </si>
  <si>
    <t>Plásticos malos, motor bueno Tiene 2 botones - velocidad 1 y velocidad 2. Los botones no son muy exactos... puede que les presiones y no pase nada, pero luego si haces fuerza en una zona del bottpn ya funciona. El motor tiene bastante potencia - ninguna queja en este punto. El encaje del brazo con el cuerpo tampoco es muy exacto... y se aprecia en la foto que la conexión del brazo al motor no está centrada. El brazo es de acero inoxidable y se lava bien y es de buena calidad  (lo use para hacer cremas mientras hervian las verduras todavía y ha ido bien). Es "un" barato que creo que va a salir caro... Positivo - la fuerza del motor.   - material del brazo Negativo - plásticos de mala calidad   - los controles, botones y encajes.</t>
  </si>
  <si>
    <t>Ya no funciona Lo compre hace 1 mes y medio y ya no me funciona. Estoy desilusionado.</t>
  </si>
  <si>
    <t>La devolví La tuve que devolver porque no encajaba bien la rueda de las cuchillas y tenía que darle la vuelta al batidor entero (motor incluido) para poder desenroscar la botella con cuchillas y que no se vertiera el contenido.</t>
  </si>
  <si>
    <t>CAJA FUERTE Por el precio, por que es lo que necesitaba y he considerado que este articulo cumplia con mis expectativas en ese momento.Muchas gracias</t>
  </si>
  <si>
    <t>CORRECTO Articulo correcto, tal y como descrito en el anuncio</t>
  </si>
  <si>
    <t>Rapido Llegó al día siguiente en una bolita de tul azul.</t>
  </si>
  <si>
    <t>Zapatillas originales Todo bien las zapatillas perfectas llego con un dia de retraso pero todo bien gracias</t>
  </si>
  <si>
    <t>Bueno Está muy bien a parte de chulo es buen producto. Muy recomendable</t>
  </si>
  <si>
    <t>Cómodo y al nene le encanta Desde que probamos este biberón mi hijo lo coge con ganas, nada de cólicos super sencillo de limpiar y muy cómodo</t>
  </si>
  <si>
    <t>Me encantan Súper bonitos, cómodos,no transparentan, tal cual en la foto, estoy encantada!!!!</t>
  </si>
  <si>
    <t>Muy buena calidad Me ha costado un poco vincularlos porque he ido por libre, cuando he leído las instrucciones lo he hecho sin problemas. Estoy muy contento con los auriculares,  son muy ligeros y cómodos, la batería dura bastante,  se escuchan genial y son hasta bonitos. Una vez vinculados puedes pulsar el botón que llevan para iniciar el asistente de Google,  contestar llamadas,  pausar una canción. En general muy contento creo que compraré otros para mi pareja.</t>
  </si>
  <si>
    <t>Muy bonitos Me encantó el producto, me sorprendió el envoltorio porque no es el típico que trae Tous pero muy bien!</t>
  </si>
  <si>
    <t>Potente y fácil de usar. Muy potente y fácil de usar. La he probado picando hielo, haciendo zumos, salmorejo, etc y va de maravilla. Capacidad ideal para 5-6 personas. Muy contento con la compra y totalmente recomendable.</t>
  </si>
  <si>
    <t>Ampliación de memoria para mi nuevo iPhone 11 Pro Me acabo de comprar un nuevo iPhone 11 Pro ... con tan solo 64 GB de memoria y me temo quedarme sin almacenamiento cuando me ponga a grabar vídeos 4K en mis viajes.  Ahora con este penflash podré "duplicar" la memoria y luego pasarla a un PC, etc ... y así no podré hacer fotos o vídeos sin procuparme de llenar el iPhone.  En su día tuve una memoria Sandisk similar a ésta con un conector para la iPAD y otro vía USB... pero al cabo del tiempo (y tras cambios de versiones de iOS) dejó de verla. Ahora con ésta (y certificada por Apple) espero que no me vuelva a dar problemas con el tiempo.  La velocidad vía USB 3.0 no es para tirar cohetes pero más que suficiente para hacer backups :-)</t>
  </si>
  <si>
    <t>cascos perfectos Cascos recomendables 100%. Se acoplan perfectamente a la oreja.  Se escucha genial. Y encima vienen con una cajita pequeña y funcional. En ella se introducen los cascos a la perfección. Se colocan fácil por imán y se cargan dentro de ella. Viene para cuatro cargas. Una vez realizadas las cuatro cargas, con el cable que incluye, se conecta a la red, para tener 4 cargas disponibles de nuevo. Fácil, sencillo, duradero, lo tiene todo. No puedo estar más contento con la compra. También destacar que tienen un diseño muy cómodo y son elegantes, es decir, que lo estoy usando para trabajar, ya que al ser de color negro, tanto los auriculares como la caja cargadora, su diseño es excelente para el ambiente laboral. Es muy compacto y fácilmente transportable, en cualquier bolsillo, mochila pequeña, bolso para hombre o mujeres, muy útil la verdad.  Son los cascos más cómodos que he probado, se acopla muy bien, y se escuchan perfectamente.  Lo he usado para ver videos, llamadas, e incluso para la tele en casa, cuando ya es tarde y no quieres molestar a los vecinos.  Encima el precio que tienen es muy competitivo. Comparando con otros modelos, he visto que era el que mejor se ajustaba a mis necesidades, y así ha sidoPor último solo quiero explicar de forma sencilla cómo los uso. Se conectan muy fácilmente a mi móvil. Desde la primera conexión simplemente ha sido activar el bluetooth en mi móvil, y colocarme los cascos, enseguida he escuchado "conected", y he podido disfrutar de ellos. Para quitarlos, tan fácil como sacarlos de las orejas y colocarlos en la caja cargadora. Se enciende la luz de la caja y así sabes que está cargando. No puede ser más fácil. Es una maravilla. Ya una vez configurado una vez, se conectan automáticamente a mi móvil.  He probado a conectarlos con otros dispositivos de casa como la tele, el móvil de familiares y genial. Les ha gustado tanto que ya tengo una gran idea para regalar por Navidades :) 5 / 5</t>
  </si>
  <si>
    <t>Quedan muy bien me encantan Muy bien y de precio mejor</t>
  </si>
  <si>
    <t>Todo un clásico, un muy buen reloj Para mi este reloj es un mito, resistente, elegante (para mi lo es, sin duda), no es lujoso está claro, es sencillo, simple y funcional. Y la comodidad, que decir de ella, parece que no llevas nada en la muñeca.  Con muñecas grandes queda demasiado justo (no es mi caso), una muy buena compra.</t>
  </si>
  <si>
    <t>Excelentes zapatillas Excelente producto. La horma perfecta.</t>
  </si>
  <si>
    <t>Pantalón nike. Todo,nada,a diario.</t>
  </si>
  <si>
    <t>Calidad precio buena Son unos pendientes muy bonitos, el regalo perfecto para mi madre. Al principio cuando me llegaron parecían un poco pequeños pero cuando se los puso le quedan perfectos. Brillan un montón y el cierre es de calidad, no se abren fácilmente y así de esa mándela no hay problema de perderlos. También se nota que a pesar del precio son de calidad porque mi madre si no se pone plata u oro le da alergia y estos no le dan. Muy contento!</t>
  </si>
  <si>
    <t>Básico para rutina de belleza Un producto básico para mi cuidado y rutina diaria de hidratación. Ya no lo cambio con ninguna crema. Y esta marca me va muy bien, puede ser que repita!</t>
  </si>
  <si>
    <t>Una alegría!! Lo hemos estrenado esta noche y te deja nueva!  Trae enchufe normal o tb de coche, y trae varios botones al lado para calor, cambiar rotación etc, muy fácil de usar y fantástico resultado</t>
  </si>
  <si>
    <t>Muy bien Muy amplia, tal como esperaba</t>
  </si>
  <si>
    <t>Calidad Tiene mucha potencia y deja buena textura la comida. Es fácil de usar y limpiar. La batidora tiene accesorios de barilla, bote medidor y pica hielo. El material es de buena calidad.</t>
  </si>
  <si>
    <t>perfecto 👌 Mejor de lo que pensaba.  Cumple a la perfección con su cometido.  Bastante potente. Para su limpieza en muy cómodo.</t>
  </si>
  <si>
    <t>PERFECTO MUY BIEN TODO Y RAPIDO</t>
  </si>
  <si>
    <t>10 puntos Todo perfecto, sin sorpresas.</t>
  </si>
  <si>
    <t>Para ser lijeras son demasiado duras Son muy duras dice mi mujer y no se las volvió a poner una pena pero es lo que ella dice</t>
  </si>
  <si>
    <t>Estable para la mesa Tiene peso suficiente para poder tirar de la cinta y cortarla sin que vuelque. La sierra de corte funciona dependiendo de la calidad del rollo de cinta que usemos</t>
  </si>
  <si>
    <t>Correa partida con menos de un mes de uso Con menos de un mes de uso, sin ponérmelo todos los días, se me ha partido la correa; contacté con el vendedor y me dijo que la correa no entra en la garantía, algo que no entiendo. Seguro que en cualquier otra tienda me hubieran cambiado esa correa, ya que no es normal que se rompa en menos de un mes. Ese es el motivo por el que no recomiendo mi compra de este reloj aquí. Por lo demás, el reloj en sí merece la pena. Aspecto retro, muy bonito. Lo volvería a comprar pero en otro sitio.</t>
  </si>
  <si>
    <t>PESIMAS Compré 2 tarjetas por lo baratas que eran, pues ha sido tirar el dinero, ninguna de ellas me funciona. La PS3 no las detecta. El PC no las detecta. La Tablet no las detecta. El portátil no las detecta. El móvil no las detecta. La cámara de fotos no las detecta. La primera vez que me ocurre algo similar y eso que he llegado a comprar tarjetas hasta en las tiendas de todo a 100.</t>
  </si>
  <si>
    <t>Ok Tot correcte</t>
  </si>
  <si>
    <t>PERFECTA PARA CASA Estaba cansado de la cafetera de cápsulas Tassimo... Y realmente para lo que la utilizaba era para hacerme infusiones o calentar agua. Así que me lancé a por este hervidor de agua. Tenía ya la tostadora de Russell Hobbs, por eso elegí la misma marca. El tamaño es perfecto para 2 o 3 tazas, aunque puedes hacer alguna más. Pero en general es para poco uso. Para mí es perfecta.</t>
  </si>
  <si>
    <t>Eficiente aunque no milagroso Mi perro huele fuerte, lo tengo puesto en una autocaravana, he tenido que poner dos. No lo quita del todo pero mejora</t>
  </si>
  <si>
    <t>Calentita Es muy bonita , pero da poca talla por lo que he tenido que coger más tallaje</t>
  </si>
  <si>
    <t>CD Necesitaba DVD para grabar mis invitaciones de boda y este fue el más económico que encontré en su día. Para mi ha sido perfecto.</t>
  </si>
  <si>
    <t>Efectividad Necesito hacer etiquetas de envio aunque las de joyeria aún son demasiado grandes De todos modos, las que compré, genial!</t>
  </si>
  <si>
    <t>Las tres B Estos zapatos son geniales. Cómodos y no pesan.</t>
  </si>
  <si>
    <t>Se puede quitar de la base el recipiente . Hay otros que no puedes hacer esto Perfecto. Calidad precio inmejorable</t>
  </si>
  <si>
    <t>biberones pequeños con retinas boca estrecha. 100% recomendable Son biberones pequeños y con la retinas de boca estrecha. Ojo con eso. Pero merecen la pena porque la oferta esta muy bien. El plazo de entrega ha sido rápido dentro de lo que cabe</t>
  </si>
  <si>
    <t>Más de un año usándola y perfecta La llevo usando más de un año y funciona perfectamente. Es rápida para volúmenes de agua pequeños (0,5 - 0,75 litros, que es lo que suelo usar) y el plástico exterior no se ha ensuciado ni deteriorado en exceso. Buena compra</t>
  </si>
  <si>
    <t>Cómprate otra seguro! Son duda la mejor memoria para el Dj! Rápida y sólida! El cuerpo de aluminio le da un acabado muy bueno. Práctica y funcional. Es cara pero vale la pena</t>
  </si>
  <si>
    <t>Buena calidad y comodidad Muy cómodas y Robustas. Pesan poco. Para trabajar todo el día de pié y caminar me van genial. Para invierno geniales</t>
  </si>
  <si>
    <t>Cascos adaptables para tus oídos Envío rápido y en perfectas condiciones me gustan muchísimo son elegantes y muy fácil para k se conecte el Bluetooth con el teléfono se ajustan bien y fueron hechos para no escuchar el ruido exterior la calidad del sonido es sinceramente excepcional tiene radio FM se puede contestar las llamadas sin la necesidad de coger tu móvil... Compra recomendada si buscas unos cascos Bluetooth que cumplan su función con creces sin que el precio sea demasiado elevado</t>
  </si>
  <si>
    <t>No se caen Se escuchan muy bien y la sujeción a la oreja es muy buena. Me transmite calidad  en todos los aspectos. Vienen muy bien presentados.</t>
  </si>
  <si>
    <t>Buena relación calidad precio Quería una memoria de este tipo para pasar los archivos y fotos del móvil de una manera más rápida y cómoda. Mi teléfono es el iphoneX y me está funcionando a la perfección, se conecta muy rápido y la velocidad de subida de información es buena. Respecto a su diseño es muy coqueto, yo lo elegí rosa y viene en una cajita junto con un adaptador, por si se quiere utilizar en otros dispositivos.</t>
  </si>
  <si>
    <t>Son muy brillantes y muy bonitos Muy bonitos y buen tamaño</t>
  </si>
  <si>
    <t>Buena lupa q cumple su objetivo Cumple sobradamente mis expectativas. Las he utilizado para pintar miniaturas de 2,8 cm.  Se ven perfectamente los detalles (elegir la lupa adecuada según precisión y distancia) y no cansan. Utilizó gafas y son relativamente cómodas usarlas a la vez q la lupa. La luz ayuda muchísimo a distinguir los detalles y viene bien q se pueda orientar. El único pero q se me ocurre a mejorar es el soporte de la lupa en la nariz. Es rígido y hay q buscar bien la posición para q no moleste (por lo menos a mi q uso gafas).</t>
  </si>
  <si>
    <t>Muy práctico Es muy práctico hacer zumos o smoothy con esta mini batidora. Es ligera de montarje y desmontaje fácil. Sirve también para transportar el zumo o batido con un asa que se pliega y despliega. El recipiente es de cristal se puede meter en el lavavajillas y es de fácil limpieza. Para hacer fruta triturada para papilla también va muy bien. A mi hija le gustan mucho los zumos y con esta pequeña batidora estamos encantados no da pereza usar y limpiar.</t>
  </si>
  <si>
    <t>Antonio v.v. Esta muy bien.yo tengo el pequeño tambien de esta marca y calidad precio lo veo bien.material bueno incluso para la lluvia.lo recomiendo.medida exterior y espacio interior perfecto.</t>
  </si>
  <si>
    <t>BOTAS TIMBERLAND PREMIUM No me queda mas remedio que congratularme con la opinión de mis camaradas y darles la absoluta razón. Botas de muy alta calidad a un precio irrisorio (Cuando esta) e insignificante para lo que es el producto en si. Dice Amazon que son para mujer pero para hombre ni se nota la diferencia. Creo que voy comprar algún par mas para mi familia porque esto es un autentico chollo. Unas botas de esa guisa de mas de 200 euros por 40. Casi regalado vamos. Muchísimas gracias Amazon por estas rebajas tan increíbles que hacéis de vez en cuando. Cuando las he visto he pensado; Demonios, que pedazo de botas. Cuanto detalle tan trabajado. Que cuero tan bueno. Como huelen. En fin, encantado y satisfecho al 100%. Las recomiendo encarecidamente si o si. Por cierto, el envío perfecto. Tenia entrega prevista para mas de tres semanas pero se adelanto y han venido hoy. Genial.</t>
  </si>
  <si>
    <t>Bonitos Quizás más grande q en la foto, pero igual de bonito..esos si, cuidado al abrir xq los pétalos se salen</t>
  </si>
  <si>
    <t>Clásicas Preciosas, el color es muy vivo y rojo intenso. Tallan bien y son muy cómodas. una reedición de unas zapatillas clásicas que vuelven. El precio es alto y no son fáciles de conseguir.</t>
  </si>
  <si>
    <t>Muy contenta La batidora cumple con las expectativas, los accesorios son muy practicos y comodos, estamos muy contentos con laas dos unidades que hemos comprado en mi familia.</t>
  </si>
  <si>
    <t>Buen producto Cumple con su función.</t>
  </si>
  <si>
    <t>Decepcionante Hasta el momento he probado con lavanda y naranja dulce, con dosis mas que generosas y tienes que estar la lado mismo del humidificador para oler algo. Comparados con uno  comprado en el chino de turno, no tienen color. Repito decepcionado.</t>
  </si>
  <si>
    <t>Correcto pero no sujeta bien Compré estos auriculares para el gimansio, y la verdad que en cuanto a calidad de sonido son correctos para el precio y tamaño que tienen. Sin embargo para ser unos auriculares deportivos el agarre no es bueno; los auriculares no se llegan a caer pero se van saliendo del canal auditivo, ya que la goma que sujeta el auricular es de plástico duro por lo que no se agarra al oído y no queda del todo sujeto.</t>
  </si>
  <si>
    <t>ha satisfecho la necesidad que tenía de él. La relación calidad precia es equilibrada. Cumple con lo que se espera de una batidora normal. Es facil de lavar despues de su uso.</t>
  </si>
  <si>
    <t>Calidad precio 0 No me ha gustado nada, el color de la pulsera es distinto al del soporte del reloj; para hacerla más pequeña necesitas sacarte un máster en relojería, y para colmo pesa como un reloj de pared!!!!</t>
  </si>
  <si>
    <t>Horrible la culpa es mia,por novata y comprar uno de plastico y con la resistencia dentro,al poco de comprarla vi en mi te cositas blancas...era cal!!!!,repito mi culpa</t>
  </si>
  <si>
    <t>Lidia Es muy bonito pero aunque pone que es plata de ley , a mi que soy alérgica a la bisutería, me hacen daño.</t>
  </si>
  <si>
    <t>Llego perfectas condiciones Llegó en el tiempo acordado y por ahora funciona genial .</t>
  </si>
  <si>
    <t>All black Auténticas All Star clásicas en su forma pero con un diseño novedoso al presentarse con suela y puntera totalmente negras. Al más puro estilo All Black. Muy chulas</t>
  </si>
  <si>
    <t>CUMPLIDOR Esta muy bien acabado y calienta mucho y muy rápido. La unica pega la tapa de plástico que cuando la abres cae un poco de agua. Pero vamos por sacarle una pega. Es muy bonito esta muy bien de precio.</t>
  </si>
  <si>
    <t>Crisriano Ronaldo Adidas preciosas. Yo tengo un 42 y en este modelo de se podría pedir media talla menos, por lo demás todo perfecto.</t>
  </si>
  <si>
    <t>Un poco grandes El deporte perfecto,lo único que me queda un poco grande,hemos  hecho la devolución y espero que me manden mi número, normalmente en otras zapatillas uso este número pero estas me quedan grandes,por lo demás todo perfecto,ahora a esperar a me lo manden..</t>
  </si>
  <si>
    <t>CALIDAD Y COMODIDAD Por un precio asequible tienes estos buenos auriculares. Son cómodos, tienen buena calidad de sonido. La batería da para muchas horas. Buen material y buen acabado.  Son muy prácticos, ya que siempre que terminas de usarlos los guardas en su cajita y se cargan, de tal forma que los tienes listos para la próxima vez que los vas a usar. No son recomendables para hacer deporte, pero perfectos para todo lo demás.</t>
  </si>
  <si>
    <t>Acabado de calidad y comodidad de llevarlo Fantástico. Realmente es como lo esperaba. Muy satisfecho con la compra y lo llevo siempre conmigo. Volvería a comprarlo. Acabados excelentes y buena calidad de material. 100% aconsejable si buscas este estilo de bolso. Ideal para ir en moto o andando. Capacidad correcta, llaves, cartera, libretas bancarias, pañuelos, gafas y queda espacio para más cosas.</t>
  </si>
  <si>
    <t>Pizarra de mucha calidad Sorprendido con la calidad de esta robusta pizarra. Se fija a la pared con cuatro agujeros en la pared, colocados en las cuatro esquinas de la pizarra, quedado totalmente pegada a la pared, sin holguras. Los rotuladores de deslizan perfectamente sobre la superficie y no quedan marcas tras borrarlos.</t>
  </si>
  <si>
    <t>Cómodos y bonitos. Un sneaker cómodo y, a mi gusto, bonito. Calza normal. Por un comentario que leí, cogí media talla más, pero a mí no me parece que sean estrechos.</t>
  </si>
  <si>
    <t>Bien diseñadas Diseñadas con buen gusto, acabados de primera, muy buenas.</t>
  </si>
  <si>
    <t>Me gusta el color Todavía no la he usado. Llegó el dia antes de lo previsto. Tiene buena pinta. Veremos que tal el resultado</t>
  </si>
  <si>
    <t>Perfecto Soy Dj, funciona perfectamente con los cdjs y controladores (todo en uno), capacidad y velocidad DE LOCOS! Lo recomiendo 100% ...</t>
  </si>
  <si>
    <t>Ligeras Super cómodas. Las uso baile.</t>
  </si>
  <si>
    <t>guauuuu que eficacia comprar en amazon La eficacia de amazon en cumplir los plazos de entrega ha sido fabulosa, gracias. suscríbete a amazon prime ¡no falla!  FANTÁSTICO EL TERMO PARA MI BEBÉ, EL COLOR CELESTE ME ENCANTA</t>
  </si>
  <si>
    <t>Súper cómodas Las compré para regalar y han quedado encantados,la usan un montón ,son súper ligeras y la suela es genial .</t>
  </si>
  <si>
    <t>Perfectas El producto es muy bueno y claramente cumple con su cometido. Las tiras son del tamaño adecuado para cables de toda clase, desde las instalaciones de tv, home cinema, cable, router hasta los conjuntos de portatil, mouse, impresora, hard disk. Además es excelente para mantener el orden de los cables durante los viajes. Estoy muy contenta</t>
  </si>
  <si>
    <t>genial Muy buena calidad respecto al precio que tiene. Obviamente fue un regalo para un seguidor del RM y acertamos. Genial</t>
  </si>
  <si>
    <t>Geniales Muy buenos auriculares. Los compré porque tenía unos inalámbricos bastante incómodos, no se adaptaban muy bien y se me caían todo el rato. He de reconocer que estos superan mis expectativas.  La presentación del producto está lograda, primer punto a su favor nada más recibirlos. En la caja viene el cable de carga, el soporte de carga y los auriculares; el soporte es un cargador a su vez, por lo que puedes recargar varias veces los auriculares sin tener que enchufar el soporte, algo realmente útil si vas de viaje y, en general, en cualquier situación en la que no vayas a tener a mano un enchufe durante un tiempo. Aun así, la batería de los auriculares es bastante buena, aguantan unas 4 horas a un volumen medio.  La conexión con el teléfono es sorprendentemente rápida, los enciendes pulsando unos segundos el botón que llevan incorporado y en seguida te aparece “T1” en la pantalla de tu móvil; sin claves ni rodeos, lo pulsas, se conecta al instante y ya puedes funcionar con ellos. Puedes quitártelos sin apagarlos, entran solos en modo Standby, y cuando te los vuelves a poner, sólo tienes que encender el Bluetooth y se reconectan.  Al principio son un poco raros de colocar en el oído, pero rápidamente le coges el tino. Hasta ahora los he probado escalando en rocódromo y corriendo, y aunque después de algún movimiento brusco te los tienes que recolocar, como es lógico, en general no se mueven de su sitio.  La calidad del sonido es buena. Se pueden realizar varias acciones a través de los propios auriculares sin necesidad de tener que sacar el móvil u otro dispositivo electrónico al que estén vinculados: apagarlos, subir el volumen, cambiar de canción, coger una llamada, colgarla; todo a través de los botones laterales que tienen incorporados, son de fácil acceso mientras realizas otras actividades. Muy cómodo por ejemplo cuando estás haciendo deporte y no puedes estar sacando el móvil para cambiar la pista de reproducción.  Muy satisfecho con la compra. Los recomiendo 100%. Si os ha gustado mi review, por favor dar a útil en mi opinión.</t>
  </si>
  <si>
    <t>Muy recomendable La entrega ha sido muy rápida. Todo perfecto.</t>
  </si>
  <si>
    <t>Cumplen perfectamente su función Son unas bananas muy robustas que cumplen perfectamente su función de conexión entre un altavoz y el amplificador.</t>
  </si>
  <si>
    <t>Tamaño perfecto y tejido de calidad. Perfecta. Además de la talla que resulta fácil en levi's alantener un patrón bastante definido, la camiseta es bastante bonita y el tejido de calidad como esperaba.</t>
  </si>
  <si>
    <t>Muy práctico Me gusta su diseño y su practicidad. Muchos bolsillos además. Capacidad ideal. El color un poco más oscuro que el de la foto. Pero me gusta</t>
  </si>
  <si>
    <t>Geniales Llevo unas semanas usándola y son geniales, son ligeras. Me encantan los colores. Pedí una talla más del que uso habitualmente</t>
  </si>
  <si>
    <t>Destiñe Es muy práctico, tiene unos buenos acabados y se ve de buen material. No obstante, en su primer uso la utilicé junto a una camisa blanca y la zona en contacto con el bolso quedó totalmente marrón.Al lavar la camisa la mancha desapareció, pero es algo que nunca me había sucedido con un bolso de piel.</t>
  </si>
  <si>
    <t>Funciona pero incómodo de usar. Esta bueno, pero no es gran cosa. Es incómodo  de usar, porque tenes que quedarte sentado sin apoyar la espalda. Como bien indica el nombre es cervical, nada mas. Pero ... yo lo he usado bastante y se me calmó mucho el dolor de cabeza. Lo sigo usando con regularidad y estoy muchisimo mejor. ( lo compré  a 29.99 euros y la semana siguiente ya estaba 39.99 🤔)</t>
  </si>
  <si>
    <t>Una pena Es el segundo par q compro para mi hija, pero tuve q devolverlo porq resultó ser muy grande, hay mucha diferencia d talla entre el número anterior y est. Una pena porq mi hija estaba encantada con las anteriores.</t>
  </si>
  <si>
    <t>Talla M muy grande Pedí una talla M, y es inmensa.  El producto se vé de buena calidad. No puedo valorar nada más</t>
  </si>
  <si>
    <t>No corresponden con la realidad El numero que pedí no se corresponde con el real. Pone que son de piel y no lo son, son de plástico. Muy mala calidad.</t>
  </si>
  <si>
    <t>NO ES TWIN PACK El producto se anuncia como TWIN PACK y sólo he recibido una tarjeta. El paquete Twin Pack son dos tarjetas, no una, si no es así, que se anuncie correctamente.</t>
  </si>
  <si>
    <t>Bien calidad y precio Es lo que esperaba</t>
  </si>
  <si>
    <t>Buena compra Lo compré por debajo de los 100€, y creo que para 4Tb es una buena compra. Que nadie se espere el disco duro más rápido del mercado, pero para hacer un respaldo de datos es una fantástica opción. Cuentan que los discos duran aproximadamente 5 años de uso, que en el caso de WD suelen cumplirse, si es que no los sobrepasan, y es lo que espero de este disco. Además, estuve leyendo que los discos de 4TB tenían menos fallos que los de 3, 5 o 6 y entre eso y el precio de este modelo me hizo decidirme. Recomiendo la compra.</t>
  </si>
  <si>
    <t>Cable robusto y de buena calidad Cable robusto y de buena calidad. lo he comprado para mi equipo de música y para instalarlo junto a unos conectores banana. A pesar de ser grueso, se trabaja con facilidad. Como una pega, le pondría que el rollo de 10m es muy grande, podrían elaborar uno de 5m. y también, podrían diferenciar mejor ambos cables, porque la línea gris no se ve muy bien en ambientes con poca luz. Por lo demás, todo es correcto.</t>
  </si>
  <si>
    <t>Muy bonito Muy bonito, superó mis expectativas</t>
  </si>
  <si>
    <t>Recomendable El producto cumple con la función. Se añade durante 8 horas y después se le hace a la babycook los 3 ciclos de lavado y listo. Recomendable.</t>
  </si>
  <si>
    <t>Sencillamente perfectos Se adaptan perfectamente a la oreja y se aguantan muy bien sin caerse, ya que pesan poco. De pendientes de este estilo, probé varios, estos son con los que me quedo; definitivamente.</t>
  </si>
  <si>
    <t>Buena calidad. Software de copia intuitivo Me parece uno de los mejores discos SSD quedó he tenido. Buena velocidad de transferencia , muy compensado en cuanto a velocidad de lectura escritura. Dispone de buena caché. Fácil de instalar. Lo mejor de todo es que Crucial te incluye un software para poder hacer una réplica del disco que quieres substituir de firma fácil e intuitiva.</t>
  </si>
  <si>
    <t>Encantado Un reloj Casio, así que de resistencia no comento,el color no es tan vivo como en la foto pero es muy bonito,y la entrega a sido rápida, una compra acertada y muy satisfechi</t>
  </si>
  <si>
    <t>Recomendable por el precio, esta genial se escucha muy bien y sea o  no de mi van perfectos</t>
  </si>
  <si>
    <t>Cumple su cometido Por ahora ninguna pega</t>
  </si>
  <si>
    <t>Facilidad para cortarlas Están fenomenal para que los niños hagan manualidades con ellas. Son de papel y las pueden cortar con los dedos con facilidad sin necesidad de tijeras</t>
  </si>
  <si>
    <t>Exquisito pendientes y colgante Adquirí el colgante para mi madre le encantó.  Ahora los pendientes. Mi opinión, tamaño perfecto, buena calidad.  Presentación delicada, buen embalaje y rápido envío.</t>
  </si>
  <si>
    <t>Muy recomendable Es perfecto</t>
  </si>
  <si>
    <t>Por el momento bien He recibido la tarjeta, pefectamente embalada en un cartón de la marca.  Nos viene en un blister conjuntamente con el adaptador a SD por lo que la podemos conectar directamente al lector de tarjetas de nuestro ordenador.  La imagen que muestro es el resultado del test de velocidad de la tarjeta puesta en el lector de tarjetas con el adaptador.</t>
  </si>
  <si>
    <t>PERFECTO Justo lo que buscaba para poder hablar por mis dos teléfonos y olvidarme de ellos. Funciona muy bien, su sonido es espectacular. Lo recomiendo 100%. Además se puede cambiar de oreja.</t>
  </si>
  <si>
    <t>Perfectas Funcionan a la perfeccion, atrapa pelos y polvo aun cuando parece que esta la casa limpia, yo las limpio con el aspirador para tratar de sacarlas mas partido</t>
  </si>
  <si>
    <t>Todo correcto! Son auriculares originales , no hay ningún problema. Al principio pensé que eran falsos por su bajo precio , pero me equivoqué , puedo asegurar que son originales.</t>
  </si>
  <si>
    <t>Increibles Me han encantado como se adaptan a la oreja y su calidad de sonido, yo los uso para correr y no se me mueven como otros que he usado antes, y que decir del precio. Auriculares increíbles.</t>
  </si>
  <si>
    <t>Cumple lo prometido Simple y directo. Necesitaba una tarjeta para mi cámara de acción que pudiera grabar 4k a 60 fps y esta micro SD cumple la función. Un pequeño consejo para compras de dispositivos de almacenamiento, cuando te llegue el pedido descargate la aplicación CrystalDisk para comprobar que no te están vendiendo gato por liebre en cuanto a velocidades.</t>
  </si>
  <si>
    <t>Muy buen producto Muy rígidas y cómodas a la vez. O sea perfectas.</t>
  </si>
  <si>
    <t>Muy buena calidad Las compre para mi novia y la verdad que dan muy buena calidad. Esteticamente son sencillas, pero su mayor virtud es esa. Sirve tanto para un look sport como para ir mas vestido. El precio en amazon mas barato que en tienda fisica.  Lo recomiendo sin lugar a dudas.</t>
  </si>
  <si>
    <t>Aroma y relajación &lt;div id="video-block-R18VKUY7T9CM9N" class="a-section a-spacing-small a-spacing-top-mini video-block"&gt;&lt;div tabindex="0" class="airy airy-svg vmin-supported airy-skin-beacon" style="background-color: rgb(0, 0, 0); position: relative; width: 100%; height: 100%; font-size: 0px; overflow: hidden; outline: none;"&gt;&lt;div class="airy-renderer-container" style="position: relative; height: 100%; width: 100%;"&gt;&lt;video id="7" preload="auto" src="https://images-eu.ssl-images-amazon.com/images/I/71QNxVXxkVS.mp4" style="position: absolute; left: 0px; top: 0px; overflow: hidden; height: 1px; width: 1px;"&gt;&lt;/video&gt;&lt;/div&gt;&lt;div id="airy-slate-preload" style="background-color: rgb(0, 0, 0); background-image: url(&amp;quot;https://images-eu.ssl-images-amazon.com/images/I/81BaIk5dxSS.png&amp;quot;);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center;"&gt;0:00&lt;/div&gt;&lt;div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value="https://images-eu.ssl-images-amazon.com/images/I/71QNxVXxkVS.mp4" class="video-url"&gt;&lt;input type="hidden" name="" value="https://images-eu.ssl-images-amazon.com/images/I/81BaIk5dxSS.png" class="video-slate-img-url"&gt;&amp;nbsp;Es un buen producto. El tacto del material es suave y elegante. El aroma que deja en la estancia es muy fresco. La sensación de calma y relajación con sus colores es muy agradable. Incluso como decoración está perfecto. Se puede programar para su uso. Apenas hace ruido cuando está encendido.</t>
  </si>
  <si>
    <t>Buena zapatilla. Son buenísimas además de bonitas, el único problema es que es un tipo de zapatilla que la suela se desgasta muy pronto, con 10/12 salidas largas ya están súper desgastadas. Aún así son las terceras que tengo y por supuesto habrá unas cuartas...</t>
  </si>
  <si>
    <t>Se agrietan y acaban rompiendose. Es el segundo par con el que me pasa exactamente lo mismo. Con el paso del tiempo en la zona donde estan los agujeritos para la entrada y salida de aire acaba rompiendose. Es una pena porque el modelo me encanta.</t>
  </si>
  <si>
    <t>Limpieza Muy bien</t>
  </si>
  <si>
    <t>Nada ultil No es muy útil , lo compre porque tenía que darle el bebe complemento y no quería usar biberón pero no me gusto nada, no resulta muy fácil de usar, al final le di el complemento con la técnica de jeringa y dedo</t>
  </si>
  <si>
    <t>No dura ni 1 semana sin dar fallos Muy descontento</t>
  </si>
  <si>
    <t>Normal. Una tarjeta de memoria como otra cualquiera. Siempre hemos confiado en la marca Kingston y esta vez no iba a ser menos. Cumple lo que ofrece, es práctica y muy versátil, ya que la marca ofrece posibilidad de comprar muchas "capacidades" diferentes.</t>
  </si>
  <si>
    <t>Genial Práctica y fácil de guardar recomendable 100% y viene con vaso medidor  que es útil en una cocina recomendable 100%</t>
  </si>
  <si>
    <t>Perfecta para lo que necesito Es justo lo que una batidora puede aportar a la cocina, todo según lo esperado, perfecta.</t>
  </si>
  <si>
    <t>Buen producto a buen precio Llegó antes de lo previsto. Ahora sólo queda probarlo para ver si realmente hace su función.</t>
  </si>
  <si>
    <t>Ampli para 2 micros En realidad es un amplificador para 2 microSD no es un Karaoke en si.</t>
  </si>
  <si>
    <t>De lujo Unas zapatillas muy comodas y gruesas, perfectas para la ola de frio. La talla corresponde con el 43 de mis otros zapatos, entran perfectas. Además llegaron el día que me dijeron, sin retraso.</t>
  </si>
  <si>
    <t>Excelente mochila para llevar objetos de uso diario. Estoy muy contento con esa mochila, parece de materiales y acabados resistente, su estética la permite llevar de sport o un poco más arreglado. Múltiples bolsillos en el interior y uno exterior con buenas cremalleras, ni muy grande ni demasiado pequeña, cómoda de llevar tanto por delante como por detrás. Me encanta el detalle del bolsillo con cremallera pequeño que lleva en el tirante. Recomiendo su compra sin duda. El envío como siempre genial de Amazon.</t>
  </si>
  <si>
    <t>Satisfecho Disco duro llega perfectamente embalado, tiene buen aspecto y los acabados se ven bien. Funciona correctamente en una tv JVC para grabar, no es muy ruidoso. Contento con la compra.</t>
  </si>
  <si>
    <t>Producto fantástico sin usar plancha Producto fantástico sin usar plancha! Recomendable para marcar todo tipo de ropa, en especial colegios, guarderías, etc.Volveria a comprarlo sin duda alguna.</t>
  </si>
  <si>
    <t>rapidez perfecto</t>
  </si>
  <si>
    <t>Genial gama media. Buscaba un SSD bueno, con buenas memorias internas y este lo es, un gama media pero más que de sobra (hay mucha tontería ya con las velocidades...).  Seamos sensatos, salvo que quieras un ordenador gamer o un ordenador para tender, no necesitas un top velocidad en SSD, ya de por sí muy rápidos.  Este es un gama media en cuanto a velocidad, compitiendo con algún Toshiba, los Crucial MX, etc.  Para una ofimática avanzada o para un juego de vez en cuando es más que de sobra. La calidad de memorias es buena y no se calienta demasiado.  Volvería a comprarlo por los 61€ que lo compré.  100% recomendable. 👍</t>
  </si>
  <si>
    <t>Excelente Es la mochila original y tiene una muy buena calidad</t>
  </si>
  <si>
    <t>Funciona perfecto Compré este producto de segunda mano asegurandome el vendedor que estaba como nuevo y así fué, coincidiendo perfectamente con la descripción.  No suelo dejar valoraciones, pero soy una persona que las tiene muy en cuenta a la hora de compar cualquier cosa.  El micrófono lo tengo delante del teclado un poco al lateral, su base es pequeña y no se desliza, algo que fue motivo de mi compra ya que tenía poco espacio. Suelo hablar con un tono de voz moderado a dos palmos del micro, lo que viene a ser que no necesito acercarme a él a la hora de hablar, pero tampoco he de bajar demasiado el tono de voz, si no la gente a la que llamo me pide que hable más fuerte, lo que conlleva que por las noches tenga que acercarme un poco más (sin posiciones incomodas) para poder hablar. Su instalación es tan simple como enchufar y empezar a hablar. 5***** Recomendado.</t>
  </si>
  <si>
    <t>Comodidad Ajuste perfecto al tener cierre magnético. Muy liviana</t>
  </si>
  <si>
    <t>Maravilloso Calidad excelente Muy contenta.</t>
  </si>
  <si>
    <t>Cómo se abre el reloj en ca La pila que trae para que es?</t>
  </si>
  <si>
    <t>Chandal de calidad y muy bonito Te lo entregan envuelto en una bolsa de plástico.Vienen dos, una para la sudadera y otra para el pantalón. A diferencia de otras opiniones, creo que es original, por la etiquetas y la presentación. El pantalón viene con bolsillos, los dos con su cremallera. El pantalón es tipo pitillo. Me gusta que quede así, es lo que buscaba. La chaqueta queda como un guante, con cremallera de buena calidad. Por 40€ lo veo muy bien de relación calidad/precio. Creo que tallan grande, mido 1,80 y peso 92 Kg y la L me viene perfecta.</t>
  </si>
  <si>
    <t>Deseadas desde hace tiempo Aunque en el anuncio de Amazon ponía al principio botas para mujer, decir que son unisex. Son fenomenales.  Yo recomiendo cogerse un número o dos más de lo que usas normalmente. Yo tengo un 41 o 41,5, incluso en algunos zapatos el 42 y me cogido el 43.</t>
  </si>
  <si>
    <t>toto correcto todo perfecto</t>
  </si>
  <si>
    <t>Buena calidad Las he usado para hacer unas letras y pegarlas para un trabajo artístico. El fondo queda prácticamente invisible una vez pegado, el tóner en mi caso se quedó perfectamente fijado y se adhieren perfectamente, y eso que lo hice sobre porexpán.</t>
  </si>
  <si>
    <t>100% natural He comprado estos saquitos antihumedad porque ya estoy harto de tanto ambientador y de tanto gasto para camuflar olores de humedad, estos saquitos un total de 6 de diferentes tamaños los he colocado en diferentes sitios de mi habitación (armarios y cajones)y la verdad estoy muy contento, primero porque no desprenden ningún olor y segundo porque cumplen con su cometido !!!ya no huele nada mal mi armario.El carbón activo viene dentro de un saco de bambú por lo tanto 100%natural, la durabilidad es de 2 años y para su mantenimiento solo tienes que exponerlos al sol cada 2 o 3 meses 1 horita para que vuelvan a eliminar lo absorbido, estoy encantado menudo ahorro!!!!Ademas son súper bonitos decoran cualquier espacio. Voy a comprar otros para el coche y la oficina.</t>
  </si>
  <si>
    <t>Muy buen producto excelente Es super grande y muy profesional una pasado recomiendo su compra fuerte fuerte lo volveria a comprar</t>
  </si>
  <si>
    <t>Sonido muy nítido, sin distorsiones y una gran autonomía He comprado estos auriculares para usarlos en el gimnasio y cuando salgo a correr. Pesan muy poco y no resultan nada molestos a la hora de utilizarlos. Se adaptan perfectamente a la forma del oído, y si la esponjilla de silicona nos resulta demasiado grande o pequeña, podemos cambiarla por una de diferente tamaño de las que vienen de repuesto. Podemos utilizarlos bien de forma individual, uno en cada teléfono, o bien de forma estéreo, que es como mejor se disfruta del sonido. Lo mejor de todo es el estuche de carga, muy compacto, que nos permite cargar la batería de cada auricular unas 4 veces sin necesidad de conectarlos al cargador.</t>
  </si>
  <si>
    <t>Impresionante Mucho mejor en vivo, robusto, bonito, funcional y  deportivo-elegante, ya me he duchado con el y perfecto ,muy recomendable. Un gran reloj, la verdad, estoy contentísimo con la compra</t>
  </si>
  <si>
    <t>La foto engaña No tiene nada que ver con la foto de la imagen, no es el típico rollo de celo compacto si no el de diámetro más largo.</t>
  </si>
  <si>
    <t>Buen producto De momento estoy contenta</t>
  </si>
  <si>
    <t>Malla Queda ancho, pero por su precio está bien.</t>
  </si>
  <si>
    <t>Malo Malísimo una patata lento</t>
  </si>
  <si>
    <t>Mal producto El envio bien, y su proteccion la llave con archivos de 1 Gb, no pasa de 13.2 megas segundo, me ha decepcionado muchisimo la verdad, no vale la pena comprarla y gastar ese dinero</t>
  </si>
  <si>
    <t>Bien diseñado y práctico. Producto ligero, resistente y muy práctico, estupendo para clasificar documentos, expedientes y demás. Caben bastantes carpetas y es cómodo para transportar.</t>
  </si>
  <si>
    <t>Lourdes Gras Gras Muy cimodos y abrigaditos, a mi me van muy bien porque estoy recién operada de cadera y fémur( 4 veces)  y ahora mirare para comprarme otros</t>
  </si>
  <si>
    <t>Bueno Quita mucho la suciedad de las manos Pero no del todo .</t>
  </si>
  <si>
    <t>Es como esperaba Talla un poco grande. Por lo demas fenimenal. Las he metido incluso en la lavadora y muy bien</t>
  </si>
  <si>
    <t>EL COLOR NO SE CORRESPONDE CON LA FOTO La zapatilla calza como un 39,5. El color no se corresponde con la fotografía ya que se trata de un azul grisáceo y no un azul marino como aparece en la foto El envío llegó en perfecto estado y muy puntual</t>
  </si>
  <si>
    <t>No esperes milagros. Es fácil de poner, y de quitar, huele bastante bien, pero tampoco he notado especiales cambios tras uso, está bien para estar un rato relajado</t>
  </si>
  <si>
    <t>Muy práctico Diseño bonito con buena capacidad, fácil limpieza y caliente rápido. Envío rápido. Muy buena calidad precio.</t>
  </si>
  <si>
    <t>Robusto y elegante Robusto, elegante, buena calidad, es mas bonito en directo que en foto, la correa es de cuero de calidad, comora perfecta.</t>
  </si>
  <si>
    <t>Diseño y calidad Sí, el producto era para mi hija y le ha encantado. Perfecta la talla, y muy cómodas. Calidad como se esperaba</t>
  </si>
  <si>
    <t>Colgante 3 colores Precioso , buen precio y muy elegante. A mi hija le ha encantado es pequeño pero con una línea q le hace diferente a otros. Estoy contenta con la compra.</t>
  </si>
  <si>
    <t>Piscina Son muy cómodos para andar descalza y no resbalar</t>
  </si>
  <si>
    <t>Perfectas Funcionan perfectamente, aunque su uso es básicamente de comodidad encajan perfectamente y todo queda mas recogido detrás del AVR, Amazon bien en todo.</t>
  </si>
  <si>
    <t>Notable Un poco incomodos cuando llevas unas horas con ellos.  Yo normalmente los uso practicando deporte y cumplen su función. La materia parece interminable, sin dudas uno de sus puntos fuertes,</t>
  </si>
  <si>
    <t>Gran zapatillas Las mejores zapatillas para correr que he probado</t>
  </si>
  <si>
    <t>Muy chulo Fue un regalo ,,,, precioso para una persona mayor, me Encanta</t>
  </si>
  <si>
    <t>Medela buena calidad Le encanta al nene</t>
  </si>
  <si>
    <t>Una máquina fantástica Nunca había tenido una batidora de este estilo, por lo cual iba sin expectativas; no obstante el funcionamiento de esta es fantástico, no tengo ninguna queja. La utilizo para hacer un zumo por la mañana y en alguna ocasión masa de tortitas con plátano y huevo, y de momento todo va perfecto.</t>
  </si>
  <si>
    <t>Cumple las espectativas Todo bien</t>
  </si>
  <si>
    <t>Grandecito y recomendable De tamaño es bastante más grande de lo que esperaba, por lo de más es exactamente como se describe y aparece en las fotos, el material es plastico y se ve resistente, dentro incluye una jarrita medidora para echarle los aceites esenciales o lo que le vayas a poner. Es muy sencillo de usar, lo llenas hasta la medida, tapas y enchufas y listo. Esta bastante bien para el precio que tiene, lo único quiza lo del tamaño pero esta muy bien por lo demás.</t>
  </si>
  <si>
    <t>Preciosos Pendientes en Plata de Ley 925 con forma de corazón y Brillante Circonita Mi compañera está encantada y contenta con la compra que realicé y no tengo dudas en comprar, cuando lo necesite.  Son unos pendientes en Plata de Ley con una Circonita en forma de corazón. Son muy brillantes y preciosos. En forma de corona engarzada de corazón. Tienen algo el peso por lo que no son del todo livianos como otros, gracias a su circonita. Son muy elegantes y refinados, para cualquier situación o regalo. Para una amiga, novia, esposa,… y para cualquier situación como una  fiesta, boda, fin de año, etc.  Su información básica o dimensión es: 10mm*8mm / Peso: 1.4g.  Vienen perfectamente en su cajita, incluso traen un lazo para regalo  El Servicio de mensajería y el fabricante, se han ocupado de que el producto transite hasta mi casa.  Os pongo unas fotos para que valoréis en la medida de lo posible mis apreciaciones.  Suerte a todos.</t>
  </si>
  <si>
    <t>buen producto la rapidez ,con que calienta el agua, lo  poco que ocupa y la fácil limpieza</t>
  </si>
  <si>
    <t>Bonito y original. Me encanta.  Llama la atención y es muy colorido.</t>
  </si>
  <si>
    <t>Defecto de fabricacion La funda del zueco derecho es defectuosa y no se ajusta al pie. Deberían proporcionar otra en condiciones óptimas.</t>
  </si>
  <si>
    <t>Buen producto pero poca cantidad. La crema es buena. El único inconveniente que puedo ponerle es que el bote parece venir con la mitad del contenido.</t>
  </si>
  <si>
    <t>Nada transpirable El top lo vendían como "lo más" para correr y no transpira en absoluto. Tampoco es utilizable como sujetador deportivo sin más porque no tiene la suficiente compresión, aparte de que queda demasiado corto como para "recoger" correctamente. Fatal relación calidad-precio</t>
  </si>
  <si>
    <t>FALTAN PARTES DEL PRODUCTO Me ha llegado todo excepto la tarjeta USB, y sin ella no puedo usar este microfono con mi macbook. Voy a devolver. No recomendado. :(</t>
  </si>
  <si>
    <t>no es facil dar con la talla, siempre alguna vez se equivoca uno el zapato me queda algo pequeño, asi que no se di algun dia prodre usarlo, saludos</t>
  </si>
  <si>
    <t>Muy útil. 90% de satisfacción. Me gusta y funciona bien, no pesa mucho... creo que hoy en día podría mejorarse por el mismo precio.</t>
  </si>
  <si>
    <t>Recomendables Bastante cómodas y ligeras</t>
  </si>
  <si>
    <t>Ya no lo devuelvo Pensé devolverlo porque no cargaba. Pero me trajo mi hijo un cargador con el que si carga por lo tanto ya no lo devuelvo. De sonido: genial. Por poner un pero los bajos se podrían mejorar. La batería dura hasta aburrirte y son cómodos al entrar la oreja completa dentro del auricular. Relación precio / calidad sobresaliente. Los recomiendo sin reservas.</t>
  </si>
  <si>
    <t>muy bien a este precio Esta muy bien y tienes la opción de imprimirlos</t>
  </si>
  <si>
    <t>Perfectas! Botas de muy buena calidad !! excelente producto. Envío rápido .</t>
  </si>
  <si>
    <t>Bonito con varios compartimentos y cremallera de calidad Bonito bolso de hombre,con varios compartimentos sutiles para llevar desde una pequeña libreta,el móvil o las llaves. Un amigo me lo recomendó y de momento encantado, las cremalleras son de buena calidad,cosa importante en este tipo de accesorios</t>
  </si>
  <si>
    <t>GUARDA ARCHIVOS Me han venido genial, la verdad que venían en una caja bien colocaditos y cuando metes archivos se iluminan.</t>
  </si>
  <si>
    <t>Tal y como esperaba Hay que pedir una talla mas ya que talla pequeño pero son muy comodas</t>
  </si>
  <si>
    <t>pendrive cumple con sus funciones, es bonita y pequeño.esta muy bien relacionado la calidad/precio estamos satisfecho con la compra</t>
  </si>
  <si>
    <t>Muy bonito y buena calidad-precio Un humificador excelente, con una buena calidad de material y un tamaño prefecto, a parte de ser atractivo, sin duda ha sido una buena compra, . Tiene una capacidad de 300 ml como máximo, pero también viene marcado las medidas de 100, 200 y 300ml. En la caja viene el libro de instrucciones el cual viene muy bien explicado y en español, el cargador es bastante largo y también un mando a distancia muy manejable. La verdad es que este humificador dura bastante. Una de las cosas que mas me han gustado es la regulación de luz con varios colores pudiendo elegir su intensidad. También se puede regular la intensidad de la pulverización y en el llenado añadiéndole unas gotas de aromas lo hacen la verdad que un humificador muy top. Muy recomendable este producto a una buena calidad precio.</t>
  </si>
  <si>
    <t>calidad casio Un reloj muy cómodo, ideal para andar a diario. La hora de ve perfecta y el complemento de alarma y crono son muy útiles. Lo volvería a comprar sin duda alguna.</t>
  </si>
  <si>
    <t>Confortables Muy cómodos genial</t>
  </si>
  <si>
    <t>Bueno &lt;div id="video-block-R38HKBU2ZK2GXI" class="a-section a-spacing-small a-spacing-top-mini video-block"&gt;&lt;div tabindex="0" class="airy airy-svg vmin-unsupported airy-skin-beacon" style="background-color: rgb(0, 0, 0); position: relative; width: 100%; height: 100%; font-size: 0px; overflow: hidden; outline: none;"&gt;&lt;div class="airy-renderer-container" style="position: relative; height: 100%; width: 100%;"&gt;&lt;video id="23" preload="auto" src="https://images-eu.ssl-images-amazon.com/images/I/91Ov7+Y0MeS.mp4" style="position: absolute; left: 0px; top: 0px; overflow: hidden; height: 1px; width: 1px;"&gt;&lt;/video&gt;&lt;/div&gt;&lt;div id="airy-slate-preload" style="background-color: rgb(0, 0, 0); background-image: url(&amp;quot;https://images-eu.ssl-images-amazon.com/images/I/A1nksubSDBS.png&amp;quot;);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center;"&gt;0:11&lt;/div&gt;&lt;div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 style="width: 100%;"&gt;&lt;/div&gt;&lt;div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value="https://images-eu.ssl-images-amazon.com/images/I/91Ov7+Y0MeS.mp4" class="video-url"&gt;&lt;input type="hidden" name="" value="https://images-eu.ssl-images-amazon.com/images/I/A1nksubSDBS.png" class="video-slate-img-url"&gt;&amp;nbsp;Ha llegado en su día, y en perfectas condiciones, funciona correctamente, lo he usado un par de veces y en principio es un producto recomendable, de momento estoy contento y satisfecho.</t>
  </si>
  <si>
    <t>Ideal para el deporte Mi marido necesitaba unos auriculares diferentes para salir a correr, ya que los suyos no se ajustaban al oído como estos, además de poder mojarse ya sea por sudor o agua, lleva unas 4 salidas con ellos y esta muy contento, aún la batería no ha dicho hasta aqui llegué, llevará de 4 a 5 horas de duración, y en las características indican durar hasta 8 horas. Buena compra calidad precio, trae una funda muy chula para guardarlos.</t>
  </si>
  <si>
    <t>Poco peso, sobrado de potencia. Muy fácil de usar. El peso es muy bajo y se maneja con facilidad. La luz de ayuda funciona genial con su sensor de luminosidad. La batería aguanta más de lo esperado. Lo único negativo que le veo es que la conectividad bluetooth con el móvil es un poco precaria y la veo un poco en pañales.</t>
  </si>
  <si>
    <t>Muy bonitas Son muy bonitas y cómodas además de calentitas. Recomiendo pedir un número más para las forradas de pelo</t>
  </si>
  <si>
    <t>Muy bien Muy chulas al ser todo negro, comodísimas, somos fans de esta marca. Se las he regalado a mi marido y le han encantado. El tallaje es justito, siempre pedir media o una talla más.</t>
  </si>
  <si>
    <t>Muy buena calidad y comodidad Producto con muy buena calidad. Son comodos teniendo, los uso para trabajar y paso largos periodos de pie. Muy recomendables.</t>
  </si>
  <si>
    <t>Muy buenas La comodidad y diseño. Las utilizo para mi uso a diario.</t>
  </si>
  <si>
    <t>Me encantaría  otro Me gustaría comprar otro al mismo precio pra un regalo gracias</t>
  </si>
  <si>
    <t>Funcionamiento sin problemas 24 horas. La compré para usarla en una dashcam y grabar en continuo en el parking, me almacena 20 horas y casi media hora más en vídeos a 1080,lleva grabando sin parar nada mas que los cinco segundos que tardo en cambiar la powerbank,  sin duda una memoria confiable.</t>
  </si>
  <si>
    <t>Para contorno de ojos El producto es muy bueno, con vitaminas e acido hialuronico. Tengo el alrededor del ojo más suave y con aspecto más descansado. Lo aplico la antes de irme a dormir por la noche y por la mañana apenas me levanto. El contenedor es metálico, hecho con productos de calidad. El envío fue muy rápido y preciso. El paquete estaba bien embalado.</t>
  </si>
  <si>
    <t>Perfectas!! Me encantan!! Había comprado otras anteriormente y me tocó devolverlas porque me quedaban pequeñas asique ojo con las tallas. Yo por ejemplo gasto un 39 y el 39/40EU me quedaba pequeño asique he comprado la 41/42 y me están perfectas. Vienen con su caja y sus etiquetas, lo cuál es importante para mí porque se que son originales.  Son muy comodas y el color tal cual la foto. Las recomiendo</t>
  </si>
  <si>
    <t>Buen Producto, Venta engañosa OJO: VIENE SOLO 1 BIBERÓN!!!  Antes de nada decir que resulta engañoso que la foto tenga 4 biberones y que en el nombre aparezca 4 +(se refiere a los meses). Da lugar a engaño si no lees bien. Por el precio ya debiamos sospechar que algo raro había, se pueden encontrar ofertas mejores.  El biberón no lo hemos probado aún pero son biberones de calidad.</t>
  </si>
  <si>
    <t>Sudadera XL Pedí esta sudadera pensando que era de algodón gordo, y es todo lo contrario, muy fina, en cuanto a la talla me esperaba una XL más grande, de todas formas no está mal.</t>
  </si>
  <si>
    <t>Al ser de pierna muy anchos, son cómodos. El pantalón es muy normalito. Yo lo uso como pantalón pijama o para estar en casa. Pero por ese precio no se puede pedir más. Eso sí, cuidado con la talla. Yo uso la xs y 2xs en los pantalones y mallas de decathlon y he pedido la M. De cintura bien  y de largo por encima de los tobillos.</t>
  </si>
  <si>
    <t>Buena tetina, incómodo para llevar fuera de casa Aunque las tetinas de NUK han sido las favoritas de mi hija desde que nació, estos biberones tienen un inconveniente y es que la tapa no evita que el líquido se derrame. Traen una pequeña pieza de plástico que puedes introducir entre el biberon y la tetina para cumplir esta función pero es un engorro.  Preferimos otras marcas que sí cierran perfectamente con la tapa y son mucho más cómodos a la hora de llevar el biberón fuera de casa.</t>
  </si>
  <si>
    <t>una semana y se ha roto la cadena Una semana y la cadena se ha roto</t>
  </si>
  <si>
    <t>Producto pésimo Lo compré por los comentarios y la verdad es que el producto nada tiene que ver con lo que he leído. El biberón tiene una única entrada de aire que no sólo es insuficiente sino que encima no funciona bien. La tetina hace efecto vacío y por mucho que el bebé succione no sale casi leche. Además, la tapa que lleva para poder agitarlo no cumple correctamebte su función. Si lo agitas demasiado fuerte la leche se sale. Conclusión: producto acorde al precio. Merece más la pena pagar un poco más, porque en mi caso esta compra ha sido tirar el dinero. Ya se sabe, lo barato sale caro. No lo recomiendo.</t>
  </si>
  <si>
    <t>YA VEREMOS. ¿? ESTAN BIEN, PERO NO SON DE LA TALLA QUE PEDI.</t>
  </si>
  <si>
    <t>Nice comfortable shoes First look and they are comfortable and arrived exactly as expected. Hope they do well in the long run. Shipping process very good. Although they were shipped later than predicted, they arrived in no time!</t>
  </si>
  <si>
    <t>Aceptable. Funcionamiento sencillo y correcto. Efectividad suficiente. Relación calidad-precio, pues siempre es mejorable....</t>
  </si>
  <si>
    <t>Queda bien Me lo pongo para andar por casa, la talla bien , lo he lavado varias veces y secado en secadora y no se encoge y el precio muy bueno.</t>
  </si>
  <si>
    <t>Buen reloj con visión nocturna mejorable Me gusta el reloj. La única pega es la dificultad de ver los números por la noche con la luz naranja. Por lo demás buen diseño y reloj.</t>
  </si>
  <si>
    <t>Realmente impresionan Además de su diseño, a todas luces precioso, impresiona cuando los emparejas al móvil y escuchas la gran calidad que desprenden sus altavoces. Los graves están muy bien definidos. Por el sonido  parecen auriculares de mucho más precio. Se los he regalado a mi hija y le encantan. Si necesito otros no dudaré en volver a comprarlos.</t>
  </si>
  <si>
    <t>RAPIDO Y SILENCIOSO Lo he comprado para la oficina y estoy encantada. Es rápido y silencioso.</t>
  </si>
  <si>
    <t>Perfectos para correr, no se mueven. Me aguantan perfectamente sesiones de caminata de 3 horas sin problema, y lo mejor es que los días que corro, no se mueven nada. Estéticamente muy chulos con las luces. La calidad de sonido no puedo comparar con otros, pero ninguna queja, se escucha muy bien. Llevo una sana con ellos y los recomiendo :) El envío super rápido, llegaron en 24 horas.</t>
  </si>
  <si>
    <t>Comodas y bonitas De talla correcta y muy cómodas. El alza está en la plantilla por lo que si es excesiva se puede cortar con un poco de maña. Las he lavado en lavadora y han quedado como nuevas</t>
  </si>
  <si>
    <t>Rápido y con muchas instrucciones Ha llegado en unos pocos días. El paquete llega al vacío, con instrucciones precisas de cómo hacer que el aislante recupere su forma original.</t>
  </si>
  <si>
    <t>Buen aroma y fácil de mezclar El producto coincide con la foto que se proporciona, así como con la descripción que se da. Tenemos 6 botellitas de aromas distintos (lavanda, naranja, menta, eucalipto, árbol de té y limón) que vienen en la caja que podemos ver en las fotos. Las botellitas son de aproximadamente 10ml y vienen bien llenas, no por la mitad como muchas botellitas que compras por ahí. La esencia es muy fácil de diluir en agua para difusores o vaporizadores, de forma que no queda separado como el agua y el aceite y se consume todo sin dejar posos o manchas de esencia sin diluir. Ten en cuenta que si en proporción añades demasiada agua, casi no hará olor y no percibirás prácticamente el aroma o durará poco. Tienen un muy buen aroma y distintas propiedades dependiendo de la esencia que uses. Decidí comprarlos porque en los supermercados suelen ser las botellitas más caras o las más baratas casi no huelen, y éstas botellitas tienen un buen precio y he quedado muy contento con el resultado</t>
  </si>
  <si>
    <t>MUY CONTENTO CON ELLA Tiene muchos compartimentos y es perfecta para llevar una tableta de 10 pulgadas, un móvil, un cargador, una funda de gafas, un bloc de notas, un bolígrafo, llaves, medicinas... de todo.  Sólo unas pequeñas pegas:  1) para mi caso particular, que mido casi 2 metros, tuve que cortar la cinta y ponerle una que ya tengo con sus mosquetones incorporados para hacer enganche.  2) Engrasé las cremalleras porque son bastante largas y tienden a trabarse, sobre todo una, pero lo soluciono ayudándola con los dedos. Es un tema que tiene más que ver con el tejido, que es curvo y curva la propia cremallera facilitando que una de ellas, por no estar firme donde está insertada tienda a trabarse. Pero como ya he dicho, con ayuda de los dedos se le ayuda en el punto en el que se traba un poco.  3) No es impermeable, ojito. Tampoco sé cómo quedará cuando la lave, pero como es de tela vaquera por fuera, supongo que quedará como un vaquero viejo, lo cual es chulo.</t>
  </si>
  <si>
    <t>SSD Samsung Sin duda la mejor opción</t>
  </si>
  <si>
    <t>Perfectos para correr y gimnasio. Auriculares de buena calidad (en comparación con otras chustas chinorras). Sirven para correr y lo bueno es que al no introducirse en el oído como un tapón (como son la mayoría) no transmite los ruidos de las vibraciones al correr y escuchas el ruido exterior. Por contra reduce un poco la calidad del sonido pero yo lo precio con tal de evitar la sensación de ir "taponado".</t>
  </si>
  <si>
    <t>Que no pesa mucho Muy cómodo para trabajar</t>
  </si>
  <si>
    <t>No se como no la compré antes Perfecto para cama caravana en la montaña,se puede regular cada lado y calienta bastante yo seguro que me la volvería comprar</t>
  </si>
  <si>
    <t>Perfecto, original reebok, en la fecha prevista Es justamente lo q buscaba, es original y todo llego en la fecha, uso otras marcas como ascis, o Nike es la misma talla</t>
  </si>
  <si>
    <t>Guapisimas Estan muy guapas! Como me las esperaba!</t>
  </si>
  <si>
    <t>Calentitas y preciosas Me las pedí en rosa, zapatillas preciosas y muy confortables,  calentitas y con una buena suela antideslizante que aísla del frío. Se las voy a pedir a mi.marido ¡Xd</t>
  </si>
  <si>
    <t>Las clásicas de Adidas O te gustan o las odias. Las compré para el gimnasio y ahora las uso para andar por casa porque son comodisimas</t>
  </si>
  <si>
    <t>Bonitas Es lo que queria</t>
  </si>
  <si>
    <t>Muy contento porque ha cumplido todas mis espectativas! Excelente producto, facil instalación... Absorbe muy bien las reverberaciones de la habitación y me ha ayuda a tener una grabación mas limpia!</t>
  </si>
  <si>
    <t>Biberón magico Es estupendo</t>
  </si>
  <si>
    <t>Pendientes Chulisimos quedan genial.</t>
  </si>
  <si>
    <t>Decepción No es original ni mucho menos compatible el micro con el.móvil.</t>
  </si>
  <si>
    <t>Reloj Casio de toda la vida con correa metalica, ojo con el cierre El reloj casio de toda la vida. Duradero, sumergible, con luz  y al tener correa metalica es elegante para un uso diario de batalla. Eso sí, el freno para fijar la talla de la correa es malisimo, se corre con mucha facilidad. Por lo que en un par de horas tienes bastante holgura en la correa y la esfera del reloj mirando para abajo.</t>
  </si>
  <si>
    <t>Estropajos sin más No está mal, aunque ha llegado con muchísimo retraso</t>
  </si>
  <si>
    <t>No son originales. No funcionan correctamente El producto no es original. Estos los compré como regalo pensando que eran los originales, yo si tengo los originales comprados en Aliexpress desde china, y estos claramente no lo son. Para empezar el boton no es táctil, es un botón físico y los materiales de la caja no son iguales. Sin embargo, el precio sí que es igual que los originales...  Además, en mi caso uno de los auriculares no enganchaba bien en la caja, por tanto no se cargaba correctamente. Por suerte la devolución a través de Amazon ha sido fácil y sin inconvenientes.</t>
  </si>
  <si>
    <t>No es el modelo que se describe No corresponde con el DW-5600BB-1ER. He comprado dos veces el producto para ver si a la segunda vez acertaban con el modelo, pero, desgraciadamente, no ha sido así. No volveré a intentarlo y no recomiendo su compra por ello. El modelo que llega es otro Casio en negro, pero que tiene varias diferencias con el de la descripción y en la calidad. Muy descontento.</t>
  </si>
  <si>
    <t>buena calidad buena calidad.la compre para un regalo y ha quedado encantado con el bolso</t>
  </si>
  <si>
    <t>Funcionan muy bien Buenos auriculares inalámbricos, se adaptan muy bien a los oídos, buen sonido, buena reducción del ruido ambiental, incluso en avión y cerca de los motores. La única pega que le encuentro es que el cable, que por un lado debe ser algo rígido y flexible, hace que cuando los colocas, debas jugar un poco con ellos para encontrar la mejor posición.</t>
  </si>
  <si>
    <t>Amplitud Esta bastante conseguida. Muy amplia y cómoda de llevar. Por poner alguna pega, la correa. Parece de poca calidad pero es resistente.</t>
  </si>
  <si>
    <t>Buena bandolera Bandolera de buena calidad, resistente. Un poco grande pero me sirve para lo que la necesito y el color, perfecto.</t>
  </si>
  <si>
    <t>Producto a buen precio El producto está bien, pero la talla poco acertada, es un poco pequeño</t>
  </si>
  <si>
    <t>Genial Perfectos, me han encantado, se enganchan muy facilmente. He leído comentarios de personas que les llegaron como sucios, no es mi caso, impolutos y muy bonitos. Burna compra!!</t>
  </si>
  <si>
    <t>Excelente calidad Hace unos dias me llego esta alfombrilla para mi teclado y raton gaming. Anteriormente  tenia una alfombrilla negra muy sosa y me decidi a comprar esta, ya que es el complemento ideal para mi setup gaming. Tiene unas calidades de materiales bastantes buenas, se desliza muy bien el raton por el area de la alfombrilla. La tira de led le da un toque bastante guay, se puede cambiar de modo y color pulsando un boton localizado en la zona de la izquierda. La carga inalambrica, es una ventaja muy grande ya que solo dejando el movil encima, se carga bastante bien.</t>
  </si>
  <si>
    <t>excelene Hola gracias a vuestros comentarios lo compre hervidor bosch compact class,la verdad es muy buen producto ,calienta agua bastante rapido, calidad y material de que esta echo  esta parfecto y con este precio es dificil contrar producto similar  ,es una conosida empresa bosch ,espero que me dure mucho tiempo. Envio y servicio por parte de Amazon muy serio i rapidisimo ,gracias Amazon</t>
  </si>
  <si>
    <t>Maria luz Son perfectos. Cómodos y no se transparentan. Los recomiendo. La talla perfecta. Los colores como aparecen en la foto. Gracias</t>
  </si>
  <si>
    <t>Comodo Buen uso</t>
  </si>
  <si>
    <t>Me encanta Lo uso todos los dias sin falta y funciona perfecto. La luz led va de maravilla. Por este precio es insuperable</t>
  </si>
  <si>
    <t>La amortiguación en la pisada Supercómodas</t>
  </si>
  <si>
    <t>Buen producto Buen producto. Buena calidad</t>
  </si>
  <si>
    <t>Gran líquido anti pinchazos y estupenda relación calidad-precio-cantidad. Buen producto para mis cubiertas maxxis tubeless. Tengo un bote pequeño que viene con un adaptador para la válvula así que lo voy rellenando. He hecho ya algo más de 1000 km y cada 3 meses lo voy renovando y no he perdido aire durante las salidas. Solo destacar que no lleva adaptador para inyectar por la válvula y hay que usar otro bote para poder dosificar. Volveré a comprar.</t>
  </si>
  <si>
    <t>Regalo. Se las he regalado a mi hija y van como un guante.</t>
  </si>
  <si>
    <t>Todo correcto Pequeño pendrive, que realiza su función correctamente. Muy pequeño y muy buen diseño, con esas aletitas que favorecen la introducción/extracción del dispositivo. Tiene un diseño muy elegante. Producto recomendado 100%.</t>
  </si>
  <si>
    <t>Buen material Súper útil, puedes meter muchos cables debido a su gran capacidad, el material se aprecia bastante bueno y difícilmente deteriorable, el tamaño es adecuado aunque si sobra un poco puede cortarse. Muy contento</t>
  </si>
  <si>
    <t>no la quito nunca me encanta, muy elegante, queda genial</t>
  </si>
  <si>
    <t>Repetiré Muy contenta con la compra, según mi padre el calzado más comodo que ha tenido en su vida y no es un señor fácil de contentar en lo que a calzado se refiere</t>
  </si>
  <si>
    <t>Cómodas y ligeras buena calidad precio Perfectas buena calidad precio mi marido usa un 44 y le van perfectas.comodas y ligeras.</t>
  </si>
  <si>
    <t>El buen sonido y la comodidad Muy bueno! Los. Compre para salir a caminar por las mañanas. Camino 1'5 hs 3-4 veces por semana y muy bien, la. batería aguanta bastante, se escucha bastante bien, y trae almohadillas de recambio, se. Adaptan. Muy bien a las. Orejas, no se mueven, prácticamente no se sienten. De todos los. Auriculares que he comprado este es el mejor. 100% recomendado.</t>
  </si>
  <si>
    <t>Perfectos para cualquier actividad en la que hagas mucho movimiento. He comparado estos auriculares bluetooth porque estaba usando unos de botón, pero cuando hacia algún movimiento un poco fuerte siempre se me caía alguno, con esto como tiene una goma flexible que rodea la oreja de forma similar a la de las patillas de las gafas es casi imposible que se caiga y puedo hacer cualquier cosa sin miedo a tener que recoger del suelo o de sitios peores el auricular. Tienen un buen sonido tanto en música como hablando por teléfono y el micrófono se escucha perfectamente sin ruidos raros. Bonito diseño negro c con un círculo rojo en el bon que queda muy bien estéticamente.</t>
  </si>
  <si>
    <t>Buen producto Perfecto,bun precio,exprime muy bien,poco ruido,se limpia estupendamente</t>
  </si>
  <si>
    <t>Decepció Decepcionado. Es muy lento, incluso leyendo.</t>
  </si>
  <si>
    <t>Encaja muy flojo Muy bonito pero las dos mitades se separan muy facilmente, se perderá seguro.</t>
  </si>
  <si>
    <t>No lo recomiendo No me ha gustado. Hace poco efecto peeling y te deja la piel como pringosa. Para mi gusto un peeling nalo</t>
  </si>
  <si>
    <t>Comodas Perfectas de talla, la que huso habitualmente. Muy muy cómodas, no pesan nada. La calidad regular, a ver cuanto me duran.</t>
  </si>
  <si>
    <t>Sellos motivacionales Le gusta a los niños. Tienen algo parecido en el colegio. Yo los uso para motivarles e intenten conseguir el premio (sello). Contento con l compra</t>
  </si>
  <si>
    <t>Producto de buena Calidad Producto de buena calidad. Buen empaquetado para poder guardar las que te sobran. Robustas y resistentes. Validas tanto para cables eléctricos, video, pc, etc.</t>
  </si>
  <si>
    <t>Bien Calidad precio bien, las manillas las pondría mas grandes o de otro color que se vieran mas</t>
  </si>
  <si>
    <t>buen precio justo para lo que cuesta , perfecto</t>
  </si>
  <si>
    <t>Muy bueno Yo antes de comprar tenía mucho dudas de precio que tiene así y trabaja. Pero afinal me sorprende cuando probé ami a gustado mucho.</t>
  </si>
  <si>
    <t>Fran Los pendientes son de acero, no son ligeros pero tampoco pesan gran cosa, se adaptan bien al lóbulo de la oreja, es una pinza que tiene una resistencia para que no se afloje, estoy muy contento con ellos.</t>
  </si>
  <si>
    <t>Buena Compra Aproveché una oferta y la compré, y va estupenda. Calienta rápido aunque hace algo de ruido xo lo normal. Recomendable 100%.</t>
  </si>
  <si>
    <t>Genial Quedan fenomenal. La M para una 36 es un pelín grande, pero para mi es cómoda así</t>
  </si>
  <si>
    <t>Cómodos Los usamos cuando vamos al gimnasio y yo suelo ponermelos en casa mientras hago tareas y demás. Quedan bien sujetos así que puedes moverte sin problema y el sonido es bueno. Se conectan muy fácilmente entre sí y al bluethoot. Me gustó mucho que me mandaran un email con las instrucciones para conectarlo. La batería de momento no se me ha agotado, pero trae para cargarlo y accesorios de recambio.</t>
  </si>
  <si>
    <t>Bonito y práctico Muy útil, y además con su luz da un toque muy bonito a la espera. Se limpia muy bien si se añade zumo de un limón y agua y dejamos hervir, si necesario se vuelve a proceder varias veces para quitar toda la suciedad incrustada.</t>
  </si>
  <si>
    <t>Calidad precio correctos Lo uso para la guitarra, no se lía ni hace nudos, parece muy resistente por el revestimiento de ¿nylon? que lleva en el exterior</t>
  </si>
  <si>
    <t>Gregorio Este reloj es una maravilla mi preocupación era la exactitud sabiendo que un automático no están exacto como un cuarzo pero me ha sorprendido mucho porque funciona muy bien prácticamente adelanta 2 segundos al dia</t>
  </si>
  <si>
    <t>Relacion calidad-precio perfecta No esperaba una gran calidad, pero me han sorprendido. Obviamente van algo justos en calidad de audio, pero cumplen su función. Yo los compré para usarlos en el gimnasio y van perfectos.</t>
  </si>
  <si>
    <t>Comodísima Me encanta!</t>
  </si>
  <si>
    <t>Muy satisfecho Lo suelo comprar cuando esta de oferta y he repetido varias veces. Lo utilizo para pegar miniaturas de wargames metálicas. Bien utilizado da bastante de si. No lo he utilizado para otros menesteres, por lo que mi valoración se ciñe al uso que le doy.</t>
  </si>
  <si>
    <t>Están muy bien Perfectos, se adaptan genial</t>
  </si>
  <si>
    <t>Amor Bueno, que puedo decir son vans y son bellísimas yo suelo usar talla 37 pero, en este caso he pedido talla 36 y me han quedado perfectas</t>
  </si>
  <si>
    <t>Una comodidad Me alegra haber conocido esta marca,ya he comprado varias cosas y son una pasada de buenas y cómodas. No caí cuando pedí la mopa de azulejos con el palo,pensé que dos que tengo de otros artículos servía pero,justo hoy mismo que llegó la mopa y antes de la fecha pedí el palo. La usé un momento para probar los azulejos y que pasada ,los dejó brillantes . Siempre encantada con estos artículos .</t>
  </si>
  <si>
    <t>Pendientes de plata Han llegado antes del plazo señalado, son muy bonitos. No se si serán de plata, pero dan bien el pego.</t>
  </si>
  <si>
    <t>Buen precio Estan super bien las zapatillas, no pesan nada, cómodas y son de fabrica española. Buen precio y justo lo q especifica el vendedor. Ya luego hay q probarlas, por el momento me a gustado mucho</t>
  </si>
  <si>
    <t>Auriculares bluetooth Excelente sonido, se ajusta muy bien a las orejas. Las almohadillas son muy blanditas. Son extensibles pudiendose regular al diametro de la cabeza. Ademas se flexionan hacia dentro para guardarlos, lo cual reduce su tamaño. Tiene botones en uno de los lados para encender y apagar y para subir y bajar volumen. Incluye el cable para cargarlo</t>
  </si>
  <si>
    <t>Quedan como esperaba Lo recomiendo como zapatilla deportiva, h quedado encantado con la calidad del producto y está a muy buen precio, fue para un regalo y acerté.</t>
  </si>
  <si>
    <t>Mejor para los oídos. Me gusta la musica a todas horas, este aparato me permite correr potque se aguanta muy bien. Tambien cuando cocino. No molesta tanto el pido como otros que tengo. Sonido de 10.</t>
  </si>
  <si>
    <t>Regular Después de 4 meses, solo me queda 2 pares de calcetines. Los otros se han roto. Muy decepcionado.  Muy cómodos y no tan finos como esperaba. Para mi geniales. Los colores están bien y es como en las fotos. Ahora esperemos q duren.</t>
  </si>
  <si>
    <t>Caja Muy bonito, pero me a llegado sin caja y ponía que venía con caja</t>
  </si>
  <si>
    <t>Palo inservible. Palo corto y se desmonta continuamente, no vale la pena comprar este set, hay otro sin palo. Me esperaba la mopa algo más grande y no se escurre bien, deja el suelo bastante húmedo.</t>
  </si>
  <si>
    <t>Un espanto !!! No me ha gustado nada nada !!! Incluso caras para lo que son !!!!! Malísima calidad , acabados y todo... vamos las he devuelto</t>
  </si>
  <si>
    <t>Muy mala calidad El primer día se me desmontó todo,pero bueno al menos como me llegó tarde me hicieron el reembolso y me salió gratis</t>
  </si>
  <si>
    <t>Son falsas Son falsas . No vienen ni en caja .  Fui a la tienda y lo comprobé , era para un regalo y quedé fatal . No pagaría más de 20€ por ellas . Por 20€ más me compraba las originales. Deberían avisar que son una copia .</t>
  </si>
  <si>
    <t>Me las pongo casi todos los días Ya me había probado la talla pero en otro color. Yo las quería color burdeos y menos mal que las encontré en Amazon. Son muy calentitas asi que no aptas para verano. ¡Súper cómodas!</t>
  </si>
  <si>
    <t>Bastante bien Estan bastante bien. Viene con una cuerda de cada color que es del mismo que el pendrive (menos el morado, q no hay cuerda morada). Pero en realidad solo hay 30 gigas.</t>
  </si>
  <si>
    <t>Buen producto La almohadilla está fenomenal, no le pongo 5* porque no se puede desmontar la funda para lavarla. Cubre toda la espalda y los hombros, es muy suave y en invierno da calorcito que viene muy bien.</t>
  </si>
  <si>
    <t>La comodidad Me faltaba practica para las tallas . Es cómodo comprar con vosotros . Graciad</t>
  </si>
  <si>
    <t>Un regalo que cumple Justo como parece</t>
  </si>
  <si>
    <t>Veloz. Una de las mejores memorias usb 3.0, tiene una velocidad de transferencia alta.  El USB se esconde dentro de si mismo.</t>
  </si>
  <si>
    <t>Son una pasada!! Me encantan. Los uso para llamar por teléfono, escuchar música, se pueden usar con tu oareja, cada uno con un pinganillo y escuchar los dos música o una llamada telefónica. Al guardarlos directamente entran en modo carga, por lo que siempre los tienes al 100x100. Duran unas 4 horas de llamada. Y música a un volumen normal unas 6 horas.</t>
  </si>
  <si>
    <t>Muy recomendado La presentación es inmejorable. Los pendientes tienen una calidad bastante buena y vienen tal y como aparecen en las fotos.</t>
  </si>
  <si>
    <t>Cinta doble cara Excelente agarre , ideal para sujetar el césped artificial</t>
  </si>
  <si>
    <t>Perfecto Por ahora es tal y como lo describen en la publucacion, esperemos que siga durando.</t>
  </si>
  <si>
    <t>muy bien, era lo esperado. Muy buena zapatilla, tal como se describe en el anuncio. El único problema es que no he recibido la factura.</t>
  </si>
  <si>
    <t>Excelentes Excelentes como todos los biberones de la marca. Además los colores son muy bonitos y a cordes con la foto</t>
  </si>
  <si>
    <t>Práctica y potente La batidora cumple muy bien su función. El filtro para licuar reduce mucho la capacidad del vaso, por lo que hay que ir haciendo varias tandas.</t>
  </si>
  <si>
    <t>Útil y fácil de usar Tiene la forma de un lápiz y pesa muy poco y de grosor es como una par de bolis.Es un detalle que ya traiga puesta la pila aaa que necesita así que nada más recibirlo pude probarlo. De arriba saque el usb que puse en mi pc, nada más conectar se instaló solo sin necesidad de nada. Tras activar el encendido ya podía usarlo. Los botones principales son para las presentaciones de pp en pantalla muy interesante el botón laser para señalar puntos de cualquier lugar de la sala.</t>
  </si>
  <si>
    <t>Buena compra. Muy contento con laadquisicion, por sus caracteirsticas y por su construccion, me sirve totalmaente para conectar a mi Iphone sin tener que retirar la funda de proteccion. Por lo tanto totalmente recomendable.</t>
  </si>
  <si>
    <t>Robot muy inteligente hace toda mi casa en 1 hora. Muy rapido y raramente queda atrapado. a veces pierde algún tiempo en las esquinas de la casa, pero nada de preocupación! Recomiendo, solo recibió allí un mes, hasta el momento no se encuentran con problemas.</t>
  </si>
  <si>
    <t>Todo correcto!!! Todo correcto, elegi las blancas con la franja negra, son muy bonitas, cómodas y el tallaje es acorde a su talla.</t>
  </si>
  <si>
    <t>A 49€ está genial Muy buen producto.</t>
  </si>
  <si>
    <t>Buen micro a buen precio Me atrevo a decir que a día de hoy es la mejor opción calidad precio, tiene buena calidad, y suena similar a otros mucho más caros. lo recomiendo mucho</t>
  </si>
  <si>
    <t>PERFECTO Son muy cómodas, ligeras, son totalmente lo esperado.</t>
  </si>
  <si>
    <t>Buenas Buenas</t>
  </si>
  <si>
    <t>Genial Muy buena calidad,llego muy rapido</t>
  </si>
  <si>
    <t>Relación calidad/precio Se lo regale a una amiga como broma y la verdad que le ha gustado más que cualquier otro regalo, jajaja.  Viene en una cajita negra muy discreta, dentro el aparato, con su mando, cable de carga y una bolsita de terciopelo para guardarlo.  Tiene 12 modos de vibración, sin pilas,  se carga por un pequeño agujero a un lado. La calidad es buena, no creo que sea el típico que se rompe en unos cuantos usos.</t>
  </si>
  <si>
    <t>Pendientes Demasiado pekes</t>
  </si>
  <si>
    <t>bonitas pero Estan bien. pero por el precio mejor comprar unas de marca en outlet. Las tuve que devolver porque le iban justas.</t>
  </si>
  <si>
    <t>Bien, pero Sujetan bien el pie y el apoyo es correcto, la calidad en general la normal de Nike, pero...las pedí de la misma talla que otras Nike que tengo y estas son algo más estrechas, después de unos días de llevarlas algo se han adaptado pero no acaban de ajustarse. Otra cuestión es que, quizás por el material y la forma, no transpiran demasiado bien, por expresarlo coloquialmente te “cuecen (algo)” los pies. En cuanto a la tramitación del pedido y el envío todo correcto</t>
  </si>
  <si>
    <t>Mala calidad Muy endeble</t>
  </si>
  <si>
    <t>velocidad de grabación es lo peor que he tenido nunca. Una pelicula de 3gb empieza a 22.000 y en 20" es capaz de bajar a 5000kb. Total, que se tira 15 min, y no es coña, en comerse un archivo. En cuanto a lectura, va fenomenal. Pero los usb son para grabrar datos (que luego leerá). Una ruina.</t>
  </si>
  <si>
    <t>Correcto Cumple con las especificaciones del vendedor</t>
  </si>
  <si>
    <t>muy bonito Pensaba que era más grande , pero de todas formas esta muy bien para el precio que tiene de oferta. Muy bonito para hacer un detalle.</t>
  </si>
  <si>
    <t>Calidad Construcción</t>
  </si>
  <si>
    <t>Buen producto y de calidad Estoy satisfecho con la compra de este disco duro, es pequeño y de gran tamaño de almacenamiento lo que lo hace ideal para llevarlo de viaje. Lo volvería a comprar sin duda.</t>
  </si>
  <si>
    <t>1 Llego en buen estado, producto recomendado</t>
  </si>
  <si>
    <t>Micrófono Blue Yeti El micrófono llegó en el tiempo estimado, no tengo queja. En tamaño, es bastante grande, no me esperaba que lo fuera, pero tampoco tengo queja. Por ponerle alguna, diría que coge muchísimo sonido aunque le pongas el "gain" al mínimo, así que tienes que usarlo en un entorno silencioso. Los 4 modos funcionan perfectamente: omni-direccional, uni-direccional, bi-direccional y estéreo, lo que le da muchas utilidades al micrófono más allá de la música como podcast, ASMR etc. La calidad de la grabación es indudable, muy buena. Le añades un par de efectos y parece profesional de estudio. En general, estoy muy contenta.</t>
  </si>
  <si>
    <t>Increible calidad/precio Cumplen su función adecuadamente por un precio más que competitivo. Recomiendo la compra.</t>
  </si>
  <si>
    <t>Funciona Está bien.</t>
  </si>
  <si>
    <t>Contento Contento</t>
  </si>
  <si>
    <t>Buena compra Comodísimas y de estupenda calidad.</t>
  </si>
  <si>
    <t>Calidad-precio No sé puede decir mucho de unos auriculares. Hacen su función, y me parece una muy buena compra calidad-precio</t>
  </si>
  <si>
    <t>Cómodos pero un poquito grande Súper cómodos, pedí la talla 37 y me están un poquito grandes por lo demás bien</t>
  </si>
  <si>
    <t>Calidad-precio estupenda Fenomenal! Siempre me gustaron los biberones Avent por la calidad y comodidad, además con la gama Natural no le dan cólicos a mi bebé. Este pack trae 2 biberones de 330ml con tetina de flujo rápido (6m+).</t>
  </si>
  <si>
    <t>Bonito, elegante y muy funcional Excelente producto para el precio que tiene. Tamaño ideal, yo tengo la muñeca muy fina y no resulta excesivamente grande. A una persona de mayor tamaño de muñeca le quedará también genial. Totalmente recomendable si quieres un reloj funcional y elegante sin gastarte mucho.</t>
  </si>
  <si>
    <t>Sara TOP 🔝🔝 muy cómodas, muchísimo mejor de lo que esperaba, ganan muchísimo más en persona que en la foto. Recomendables menos a todos los habitantes de Baleares porque ya las llevo yo 😹😹</t>
  </si>
  <si>
    <t>Correcto Todo correcto, va bien para una gopro hero 4 silver</t>
  </si>
  <si>
    <t>Leggins! Buenos leggins. De cintura alta, cómodos, valen para el  verano, no se transparenta para nada.</t>
  </si>
  <si>
    <t>todo correcto Funciona correctamente.</t>
  </si>
  <si>
    <t>Muy bueno Muy bueno y muy rápido calentando. Lo utilizo para calentar agua para hacer café en el camión. Recomendable sin dudas.</t>
  </si>
  <si>
    <t>Me gusta mucho!! Si me gusta mucho me voy comprar otro más !!!</t>
  </si>
  <si>
    <t>Muy buena opción Muy buenos y muy prácticos para adaptar la postura del niño. Es muy fácil para los niños con este adaptador</t>
  </si>
  <si>
    <t>Portabilidad y rapidez. Es muy cómodo para utilizar ableton, plug and pay, buen peso y portabilidad. Construcción solida, desde perillas hasta los plásticos.</t>
  </si>
  <si>
    <t>Calidad y coste similares Buen bolso, con una capacidad aceptable y la posibilidad de añadirle gracias al sistema molle los materiales y el acabado muy buenos ambos, recomendable</t>
  </si>
  <si>
    <t>Débiles Me esperaba más siendo imanes de neodimio. Tengo otros imanes de neodimio del mismo tamaño con bastante más fuerza pero también me salieron más caros. Al final los he usado para la nevera que ahí si que son capaces de sujetar unos tickets</t>
  </si>
  <si>
    <t>Va bien pero según lo pongas te lo puedes clavar en el culo Funciona bien lo he dejado funcionando horas y no se rompe, tiene aguante.  Pero si lo usas en viajes largos al final se te clavan los motorcillos... es un poco incomodo si vas a usarlo muchas horas.  Saludos.marc</t>
  </si>
  <si>
    <t>Zuecos ENORMES, ANTI-ESTÉTICOS, LA HORMA ES PEQUEÑA, HAY QUÉ PEDIR UN NÚMERO MÁS DEL QUÉ SEA USA Uso el número 42, y pedí ese número, me quedaban algo pequeños..... y a la vez, parecía Pulgarcito CON LOS ZUECOS DE LAS 7 LEGUAS..... ERAN ENORMES..... LOS DEVOLVÍ</t>
  </si>
  <si>
    <t>Super anchas !!! Una pena esperaba más del producto. Quedaban muy anchas aun siendo mi número muy muy holgado.</t>
  </si>
  <si>
    <t>Muy feos Muy mala calidad</t>
  </si>
  <si>
    <t>manolo lo he comprado para regalarlo. A la persona que iba destinado le ha gustado. espero que le guste lo suficiente como para quedar satisfecha</t>
  </si>
  <si>
    <t>Bien Bastante bien</t>
  </si>
  <si>
    <t>Buen reloj Básico pero muy bonito</t>
  </si>
  <si>
    <t>Conforme pero sin más comentario Tengo una crucial en un nuc. He implementado un desktop con esta. Pensé ver más rapidez y seguramente la tiene. Pero luego que ya conoces un ssd otro ssd no te sorprende mucho. La he elegido por que arranque mejor mi Windows. Obviamente debe tener sus otras ventajas que solo leyendo técnicamente se conoce</t>
  </si>
  <si>
    <t>Compra recomendable Encantada con los biberones de esa marca,el primero lo compró mi hijo en una farmacia para mi nieta y no cambiamos por nada</t>
  </si>
  <si>
    <t>Estupendos para hacer deporte Auriculares muy correctos para el Precio que tienes. La relación calidad/precio es muy buena. Me ha sorprendido que el nivel de graves sea bastante bueno en este tipo de dispositivo. Contento con la compra. Los he emparejado con el móvil sin problema y con el Tomtom runner2, y van perfectamente.</t>
  </si>
  <si>
    <t>Muy buena compra Labcalidad del sonido es buenisima , fue para un regalo a mi hijo y desde que nos llegó no se lo quita. La bateria dura muchisimo es facil de recargar y rapido. Ademas llegaron antes de los previsto. Muy contento con la compra</t>
  </si>
  <si>
    <t>Buen alcance y fácil de usar Lo estoy usando en clase diariamente, los otros que he tenido no me podía alejar mucho del ordenador y con este tengo mucho mas alcance aparte de ser bastante comodo tanto para transportar como para usar. Muy recomendable</t>
  </si>
  <si>
    <t>Muy buena relación calidad-precio. Los pantalones son suaves y prácticos Los ha usado mi hijo para entrenamientos de baloncesto y para estar en casa, porque le eran muy cómodos. Tanto que se ha comprado otros iguales.</t>
  </si>
  <si>
    <t>Resistencia Parecen de calidad. Cómodas y resistentes</t>
  </si>
  <si>
    <t>Muy buen aislamiento, puedo escuchar música en la oficina sin que me moleste nadie :-) Mi oficina es super ruidosa, es la razón por la que buscaba unos buenos auriculares que me permitiesen escuchar música y a la vez aislarme de los ruidos que generan a mi alrededor. Debido a esto, supe desde el principio que necesitaba unos que me tapasen toda la oreja. El principal problema de este tipo de auriculares son que suelen ser incomodos al llevarlos mucho tiempo seguido (por el peso) y que aumentan la temperatura de la oreja. Este modelo no es el mas cómodo que he tenido, pero al estar realizado en materiales plasticos bastante ligeros puedo llevarlos varias horas sin problema (quizas 8 horas seguidas sería demasiado), en lo referente a temperatura no he notado nada raro, pero en mi oficina hay aire acondicionado. Un gran detalle es que la parte que toca con la oreja es de textura suave y comoda.  En lo refente a duración de bateria puedo dar fe de que dura muchas horas (mas con cable que por bluetooth). No podria deciros exactamente cuanto, pero yo he trabajado varios dias sin tener que recargarlos.  En lo referente al bluetooth hay diferentes versiones, siendo la 5.0 la mas reciente y de mayor calidad, para aquellas personas con un ordenador (o reproductor de música) con una version antigua de bluetooth (que les dará una calidad de sonido muy baja), les recomiendo usar directamente un cable. He probado ambos casos (yo tengo bluetooth 5.0 en el pc) y lo que mas me gusta son la calided de los bajos (algo que se nota debido al tamaño de los altavoces).  La hora del almacenaje está a las expectativas de mas alto nivel, pues trae una funda dura en la que guardarlos sin miedo a recibir golpes que los puedan dañar.  De manera general puedo destacar que tienen un gran relacion calidad-precio, aunque obviamente no sería la opcion mas adecuada para audifilos, gamming profesional (usando bluethooth, por lo menos. Con cable yo creo que irían bien). Son unos auriculares adecuados para la mayoría de usuarios.</t>
  </si>
  <si>
    <t>Bueno Muy simple elegante y comodo</t>
  </si>
  <si>
    <t>Ideal Es lo que buscaba. Tamaño tal como indica.</t>
  </si>
  <si>
    <t>le puse un llavero y queda perfecto. De fábrica da 14,8GB e incluye un par de aplicaciones de seguridad en su interior. Aunque el paquete reza USB 2 y 3, la memoria es USB 2. Puedes usarla en un puerto USB 3 también pero la velocidad será idéntica a la de los USB 2. Es el pendrive más pequeño jamas creado. Casi sólo ocupa  el conector en sí, queda perfectamente disimulado lo pongas donde lo pongas, cuando quieres sacarlo cuesta un poquito puesto que no tienes prácticamente por dónde agarrarlo pero le puse un llavero y queda perfecto.</t>
  </si>
  <si>
    <t>Nunca fallan!!! Se sabe que no es un zapato de lo más estiloso, pero los colores han ayudado mucho. Las crocs son muy muy cómodas para cuando te pasas el día de pie, ya sea parado o caminando y luego no me duelen las piernas. Me las empecé comprando yo y ya tiene un par cada miembro de mi familia! Sin duda una buena inversión!</t>
  </si>
  <si>
    <t>Correcto Cumple perfectamente su misión, pena que La Luz no ilumine toda la esfera, solo lo hace en la pantalla digital</t>
  </si>
  <si>
    <t>buen funcionamiento Tarjeta sd que uso para almacenamiento de fotografía, con un funcionamiento normal para este tipo de dispositivos</t>
  </si>
  <si>
    <t>Perfecta Está muy bien terminada y se acopla muy bien, estoy muy contento con ella.</t>
  </si>
  <si>
    <t>Muy contento Buenos zapatos, cómodos, buen material de fabricación y muy bien acabados, es cierto que siguiendo los consejos de los comentarios de otros clientes pedí una talla menos porque dan mucha talla, yo calzo un 43 y pedí un 42, acerté de pleno, ademas son muy cómodos. No había utilizado nunca esta marca y ha sido un gran descubrimiento para mi, ademas los compré en oferta así que no puedo pedir más, volveré a comprar esta marca sin lugar a dudas.</t>
  </si>
  <si>
    <t>Los mejores biberones! Soy fan de Philips Avent! La calidad de los productos es insuperable!Uso  biberones para 2 bebe de diferentes edades y he probado varias marcas más caras pero me quedo con Avent.Mis  niños no han tenido cólicos con estos biberones!los biberones de muy buena calidad,facil de enroscar,las tetinas de silicona y varios tamaños dependiendo de la edad del bebé. Muy recomendable!</t>
  </si>
  <si>
    <t>Un clásico indestructible. Un modelo clásico prácticamente indestructible. No es muy bonito no, aunque tiene su encanto.  Si necesitas un reloj que te acompañe siempre que no necesites "glamour" pero que resista perfectamente cualquier inclemencia, este es para ti.</t>
  </si>
  <si>
    <t>Un 10 en todos los sentidos Pues Russell Hobbs se ha coronado con esta gama de productos, estilo retro, que engloban desde batidoras de mano, de vaso, y de varillas, tostadores, cafeteras, hervidores y un pargo etc. LA variabilidad de esta gama de productos es extensísima, y la calidad, por lo menos de las que he tenido oportunidad de probar, estupenda. En esta ocasión tenemos una batidora de vaso en color rojo intenso, con una palanca que se encuentra en la parte inferior de su base con la que podremos regular la intensidad de la batidora para conseguir una textura más o menos homogénea. El vaso, de cristal y serigrafiados los volúmenes, de un cristal robusto y pesado, se complementa con una tapa de color negro que de coloca de forma hermética para evitar que al batir/triturar los alimentos salpiquen y manchen. Esa misma tapa, tiene una pequeña obertura en la parte central/superior por si requerimos de echar los ingredientes de manera paulatina y nos evita de quitar por completo la tapa por si estuviera manchada, evitar derramar el contenido, y a la vez, hace de medidor.  En definitiva, un producto con un diseño Vintage, muy conseguido y estéticamente muy llamativo, pero que no sólo destaca en los estético, si no que a nivel funcional tiene una potencia más que suficiente, que nos permitirá hacer desde batidos hasta gazpachos, o aquello a lo que abarque tu imaginación. Totalmente recomendable!!</t>
  </si>
  <si>
    <t>Cómoda, muy práctica y buen precio Genial almodilla, se la regalé a mi hermana y quedó fascinada. Temporizador automático, no se clava al dormir encima, y calienta muy bien. Cómoda, muy práctica y buena relación calidad/precio.</t>
  </si>
  <si>
    <t>Zapatillas Maria Mare Corresponde con la talla pedida. Muy bonitas, Buena calidad</t>
  </si>
  <si>
    <t>Mui pequeños Son bonitos, pero para una niña. A mi personalmente tan pequeños no me gustan. No me lo esperaba tan chiquitos. Los voy a regalar.</t>
  </si>
  <si>
    <t>Dan talla Dan talla, si gastas de zapatilla un 39 pide un 38. Siempre un numero menos del que gastes habitualmente. Saludos.</t>
  </si>
  <si>
    <t>La talla Zapatillas que me mandaron parecías usadas. La etiqueta no estaba colgada en ellas como lo normal si no estaba solo dentro en la caja. Y la suela atrás debajo del talón estaba un poco manchada. Que pena que no sabia que se podía mandarles una foto. Las cambie porque me quedaron grandes. Esta marca hay que comprar una talla menos que llevas. Bueno, en mi caso.</t>
  </si>
  <si>
    <t>No son de cuero Mienten pues en la descripcion de laa zapatillas dice que son de CUERO y me han llegado unas de tela. Una estafa.</t>
  </si>
  <si>
    <t>Ligera, ocupa poco espacio y resultados aceptables En primer lugar, indicar que el embalaje del producto al llegar es lo suficientemente bueno para que no llegue dañado a tu domicilio, pero eso sí, recomiendo indicar a la hora de hacer el pedido que el producto es para regalo, como forma de añadir una capa de refuerzo extra en forma de “caja de Amazon” a la caja original del producto, porque si no será totalmente visible para cualquier ver qué has comprado (incluido la mensajería).  La batidora es bonita, con ese acabado vintage minimalista (disponible en tres colores pastel: verde, azul o crema) y relativamente pequeña si la comparamos con otras que hay en el mercado de este tipo. A este hecho, además, se añade su forma de almacenarla, pues permite coger el vaso de la batidora y encajarlo boca abajo en el cuerpo de la batidora, con lo que ocupa la mitad del espacio que ocupa mientras está montada. Una vez encajado el vaso, la tapa se coloca en la parte superior del montaje, girando ¼ de vuelta en lo que es la pieza que colocada de manera normal encajaría en el cuerpo de la batidora.  Su peso también es muy contenido, dado que es pequeña y abunda el plástico como material usado en sus componentes. De hecho, el vaso y la tapa son completamente de plástico. A primera vista parecen de buena calidad y esperemos que con el uso su superficie no se vaya degradando en forma de pequeños arañazos. Es recomendable fregarla con la parte suave de la esponja de cualquier estropajo, porque si se le da con la parte más áspera seguramente arruinarás la superficie del vaso.  A la hora de usarla, encajar el vaso no requiere más que alinear dos pequeñas pestañas en otras dos muescas similares del cuerpo de la batidora y girarlo mínimamente en sentido horario. El principal problema viene con la tapa de la parte superior. En las instrucciones del producto (desde mi punto de vista erróneas) se indica que hay que colocar la tapa y hacer un pequeño giro para cerrarla: es falso. Colocarla requiere un pequeño aprendizaje y probar en modo ensayo-error. Tras probarla varias veces creo que la mejor manera de cerrar la tapa es encajarla un poco por la parte del vaso en la que verterías el batido, y luego encajar el lado opuesto un poco, e ir apretando poco a poco cada lado hasta que encaje. La tapa lleva una pestaña que encaja en el asa del vaso con un “click” cuando está perfectamente colocada. Esta pestaña es del mismo plástico que la tapa, y en un color similar al del cuerpo de la batidora. Creo que esta pestaña debería haber sido metálica para asegurar una mayor durabilidad. De momento no he tenido ningún problema, pero es quizás la parte de la batidora de la que más reservas tengo con respecto a su durabilidad.  Una vez acabado el batido, retirar la tapa requiere también mucho cuidado para que no te salga disparada. Mi consejo es retirar la tapa cuando aún está montado el vaso en el cuerpo de la batidora, para tener un mayor control sobre todo el conjunto (ayuda a mantener la estabilidad las cuatro pequeñas ventosas que tiene la base de la batidora. Para retirar la tapa hay que mover una pequeña pieza deslizable y luego con cuidado ir desencajando la tapa de la parte superior del vaso. Lo dicho: mucho cuidado con este paso.  El funcionamiento de la batidora es muy sencillo. Además de una posición de “pulsos” al girar el dial hacia la izquierda y que funciona a modo de turbo mientras mantienes girado el dial (al soltarlo vuelve a la posición 0), su uso normal se resume a usar sus dos velocidades distintas, que usarás dependiendo del producto que estés batiendo. En mi casa, solemos comenzar en la velocidad 1 y pasamos rápidamente a la velocidad 2. El resultado del batido es justo. Viniendo de usar un robot de cocina que cuesta más de 10 veces el precio de esta batidora no te puedes quejar de los resultados, pero no van a ser tan finos como con robots de cocina. No puedo dar opinión en cuanto a purés porque no hemos probado. Manteniendo el giro en algo menos de un minuto sobre fresas, plátano, manzana, sobre una base de yogur líquido o leche, es bastante probable encontrar algún trozo de fruta sin batir. Seguro que si aumentas el tiempo de batido este efecto se reduce, pero no sé por qué me da la sensación que no es una batidora para tenerla funcionando muchos minutos.  El nivel de ruido es aceptable para ser una batidora, aunque no es silenciosa.  Las cuchillas van unidas al vaso, por lo que no se pueden desmontar de él. Supongo que sí es posible, si en algún momento se desgastan cambiarlas, quitando la tuerca que hay por la parte trasera, pero no sé si esa tarea se puede hacer por sí mismo (no sé si venden el repuesto de cuchillas suelto) o es necesario cambiar el vaso entero o que las cambien en el servicio técnico.  La limpieza del vaso, cuchillas y tapa es muy sencilla. Aunque indica que se puede meter al lavavajillas todavía no ha sido necesario. Simplemente con enjuagar el vaso y tapa con agua se va prácticamente la totalidad de los restos, por lo que luego es bastante sencillo y rápido acabar de limpiarlo con una esponja y jabón de vajilla. Sí es cierto que, dependiendo del producto que hayas batido, puede quedar algún resto en la zona del vaso por debajo de las cuchillas y requerir algo más de pericia para quitarlo (ha ocurrido con restos de arándanos), pero al final sale.  La facilidad de limpieza dependerá del uso y producto que tritures con este pequeño electrodoméstico, pero me atrevería a decir que en cualquier caso va a ser sencillo. Lo que recomiendo es que, en caso de utilizarlo con productos ácidos (tomate, naranja, etc.) se limpie rápidamente el vaso, porque puede que el plástico del que está hecho pudiera coger algún tono u olor. Pero tengo que decir que esto son suposiciones propias no basadas en mi experiencia.  En general, y por el precio del producto, es una batidora bonita, que ocupa poco espacio y que te permite hacer de forma rápida batidos deliciosos (es el uso que la damos en casa), sin tener que pensar luego por tediosos procesos de limpieza. Es un producto que recomiendo.</t>
  </si>
  <si>
    <t>Buena batidora Es muy completa,funcionan bien sus accesoriios, responde bien a las velocidades cuando se usa, y no salpica al usarla con potencia..</t>
  </si>
  <si>
    <t>Buena relación calidad-precio Elegí el producto porque me pareció muy bien de precio y los comentarios eran buenos en general. Es cierto que necesita alimentación phantom, pero mi tarjeta de sonido la tiene y funciona perfectamente!! Buena elección!</t>
  </si>
  <si>
    <t>Buen producto Cuando la estas utilizando huele un poco a quemado</t>
  </si>
  <si>
    <t>Biberón de cristal siempre mucho mejor que los plásticos Hemos usado biberón de cristal desde el principio, son mucho más higiénicos que cualquier plástico. Lo malo es que hay que tener mas cuidado porque se pueden romper al caerse. Recomiendo el de Nuk, al menos evita mucho los cólicos al permitir entrar el aire por un orificio en un lateral. Muy satisfecho</t>
  </si>
  <si>
    <t>SIGNO ZODIACAL Muy bonito</t>
  </si>
  <si>
    <t>Una belleza total Estoy más que feliz con esta batidora. Soy muy fan de todo lo bonito, y este aparato antes que cualquier otra cosa es PRECIOSO, así, con mayúsculas. Su diseño retro no podía resultar más acertado para un producto como este, de manera que en ese sentido me ha ganado por completo.  Luego está la funcionalidad. Sus 800 vatios nos permiten triturarlo todo, incluso hielo, sin problema alguno. Existen batidoras de vaso con una potencia superior pero, honestamente, no veo la necesidad por ningún sitio. Con 800 vatios tenemos de sobra para conseguir batidos de frutas, salsas, gazpachos, sopas frías o lo que se nos ocurra en un momento, totalmente homogéneos, y sin tener que estar sosteniendo el aparato o manteniendo el botón apretado como ocurre con las batidoras de mano.  Por otro lado,  la limpieza es muy sencilla. Lo que es la base, simplemente necesita que se le pase un paño húmedo y queda perfecta. Y la jarra es cuestión de separarla de la unidad de las cuchillas (algo que me ha encantado porque en otra batidora de vaso que tuve tiempo atrás, esto no se podía hacer) y lavar cada pieza por su lado sin que quede ningún residuo que no podamos ver. En el libro de instrucciones, además, van especificadas las partes que se pueden poner en el lavavajillas.  Otra cosa que me tiene enamorada aunque sólo sea por estética, es la palanquita del control de velocidad y su indicador de aguja que muestra la velocidad de las cuchillas en revoluciones por minuto. La verdad es que todo lo que puedo decir de este aparato son cosas buenas. Quizá lo único que habría que tener en cuenta a la hora de decidir su adquisición es que tiene unas dimensiones bastante generosas, que es pesado (la jarra es de cristal grueso con una capacidad de 1,5 l.) y si no necesitamos una batidora tan grande, a lo mejor ésta puede resultarnos algo engorrosa de manejar. Pero eso, a mi juicio, es lo único que podría representar un aspecto negativo porque por el resto considero que es un producto maravilloso. Recomiendo una y mil veces su compra.</t>
  </si>
  <si>
    <t>Buen producto Llegó a tiempo y en buenas condiciones, buena calidad, resistente despues de plegarlo</t>
  </si>
  <si>
    <t>Las uso exclusívamente para foto Sinceramente no necesitaba esa velocidad de escritura, pero por el precio prefería invertir, en el futuro no se concerteza si no haré algo de vídeo, o timelapses, o ráfagas.  A mí me va excelente en la FUJI XT2, no las he probado en cámaras con más megapíxeles tipo sony A7R ...  Nunca me han fallado.  Asique, 5 estrellas.</t>
  </si>
  <si>
    <t>Comodidad Super comodo y elastico 100% cecomendable</t>
  </si>
  <si>
    <t>Bueno Muy buena calidad</t>
  </si>
  <si>
    <t>Precioso!!! El collar es precioso, delicado, elegante, tiene un osito pequeño en en cierre :) El colgante es muy bonito, destaca mucho, es de cristal con bordes de plata. Me encanta y lleva la bolsita de Tous y el certificado de garantía. Muy contenta estoy :)</t>
  </si>
  <si>
    <t>Una opinión sincera, muy recomendable a este precio Compre al precio de € 4.43 cada una, no puede pedir más a este precio, además con el adaptador SD suministrado y una marca importante como Kingston. Los usé en una cámara de acción Xiaomi y son perfectos. La velocidad es proporcional a la clase del producto (HC I - Clase 10). Registra fotos y películas sin ralentizar ni disparar. Recomiendo esta tarjeta, a este precio no hay nada mejor. Lo siento si no escribo muy bien en español pero soy italiana.  Esta revisión es solo el resultado de la experiencia personal, ya que personalmente he entrenado estas tarjetas y nadie las ha enviado de forma gratuita para escribir una opinión positiva (es una compra verificada). Por lo tanto, si de alguna manera lo he ayudado en la compra, indique esta revisión como útil haciendo clic en el botón.</t>
  </si>
  <si>
    <t>Buena presentacion Me encantan!! Calidad precio buenisima</t>
  </si>
  <si>
    <t>Muy recomendable Para los dias de frio es la mejor solucion, te calienta las manos , la cama y es buenisimo para  cualquier dolorcillo.El precio y la calidad son estupendos.</t>
  </si>
  <si>
    <t>Gran velocidad Tal como describe el vendedor la velocidad es excelente que es lo principal y va perfectamente en mi Xiaomi mi8 por lo que estoy muy contento.</t>
  </si>
  <si>
    <t>Bien Cumple su función. Calidad precio buena. Sonido bueno. Lo recomiendo</t>
  </si>
  <si>
    <t>Contenta con el pruducto Tiene mucha capacidad de espacio y no es la primera que compro ya compre más y están muy bien</t>
  </si>
  <si>
    <t>Calidad-precio Indispensable para mis trabajos en goma eva para darle un acabado perfecto, me llego antes de lo previsto y pude terminar los trabajos y entregarlos antes de lo que esperaba</t>
  </si>
  <si>
    <t>Perfecta Perfecta</t>
  </si>
  <si>
    <t>Correcto Cómo se describe,satisfecho</t>
  </si>
  <si>
    <t>Perfecto!!! Muy rápido el envío y en perfectas condiciones,  cumple con su cometido y le da una calidad superior al audio, 1,5mm es más que suficiente para un salón "normalito", con el 2,5mm te arriesgas a que no te entre bien en los conectores... hablo para un Logitech z906.</t>
  </si>
  <si>
    <t>Un clásico. Ya tuve un reloj de este tipo con la esfera negra en mis años mozos y tenía el capricho de volver a tener uno. Es perfecto para mujer y muy ligero. El tamaño de la correa se puede ajustar fácilmente. El color de la esfera y la combinacion con el plateado de la correa a mi me gusta mucho. Lo volvería a comprar</t>
  </si>
  <si>
    <t>En conversación no se me oía Muy cómodos y mucha duración de batería pero en mi caso no me oían en las llamadas.  No se si será fallo del mio. Pero me lo devolvieron rápidamente y sin problema. Muy contenta con el servicio recibido.</t>
  </si>
  <si>
    <t>Pequeña de talla El tallaré es muy pequeño para que lo tengan en cuenta, zapato normal del 37 , coged un 39. Por lo demás la zapatilla es muy chula</t>
  </si>
  <si>
    <t>Muy pequeños Son muy pequeñitos, al ponertelos parecen un lunar</t>
  </si>
  <si>
    <t>Se rompen con dos meses, sin grandes exigencias. Zapatillas muy chulas.... pero en dos meses están rotas, trabajo como conductor profesional o sea que no han sufrido mucho. No volveré a comprar esta marca porque son de pésima calidad.</t>
  </si>
  <si>
    <t>muy pequeños son pequeños</t>
  </si>
  <si>
    <t>Bonita kettle La kettle muy bonita y funciona de lujo, lo malo es que tardo un par de dias mas de lo que debia, ya que era premium.</t>
  </si>
  <si>
    <t>David Su relación calidad precio, es óptima . Buena ajustabilidad, aísla de la humedad y la suela se comporta noblemente en superficies deslizantes. Su durabilidad seguramente, será corta. Ya que tienen que soportar condiciones muy extremas,( humedad permanente, movimiento continuado y exigente, y salitre), pero dada mi experiencia con este tipo de calzado, su comodidad y fiabilidad esta por encima de la durabilidad. Y su precio compensa que no tenga una vida muy prolongada .</t>
  </si>
  <si>
    <t>Muito bom Relógio muito bom.</t>
  </si>
  <si>
    <t>Bonitas Me encantan,el único pero que son un poco estrechas en la puntera por el resto genial,como referencia decir que tengo el pie fino.</t>
  </si>
  <si>
    <t>Muy recomendable Desde que lo recibí no he tenido problemas a nivel ruidos. La capacidad es un poco inferior como en todos los dispositivos de almacenaje, pero una calidad muy buena. Y en mi opinión, otro punto a su favor es el precio. Lo recomiendo.</t>
  </si>
  <si>
    <t>Efecto lifting Este masajeador ayuda a que mis cremas penetren, relaja mi musculatura y me alivia el dolor de cabeza. Lo pongo en el frigorifico antes de usarlo.</t>
  </si>
  <si>
    <t>Entrega rápida (antes de lo esperado) y producto correcto El producto recibido se corresponde con la imagen mostrada. El tamaño fue el esperado según la talla (ni grande ni pequeño). La entrega fue rápida... llegando antes de lo esperado.</t>
  </si>
  <si>
    <t>Me ha encantado y no a mi solo....jeje Es muy chula.....para estar en forma claro....calidad exelente ...compre la talla l que es la que uso en otras prendas y perfecta....cómoda...seca rapidísimo...no he detenido una de mejor calidad que está.....si tienes cuerpo para ponertela no te arrepentiras.....esta guapa de verdad...</t>
  </si>
  <si>
    <t>Oscar Es mejor de lo que esperaba me quedé sorprendido mucho más espacio la calidad precio producto merece la pena lo recomiendo</t>
  </si>
  <si>
    <t>Es todo tal cual lo compré Me quedan bien, son de buena calidad y de mi gusto aun precio bastante bueno para ser compradas en España. (las he visto luego en Gibraltar más económicas pero bueno...) la caja es original, vienen perfectamente envueltos individualmente con el relleno en la puntera. Buena compra.</t>
  </si>
  <si>
    <t>Eco friendly 100%. 3 unidades muy útiles. Genial! Vienen 3; 2 de ellas con el tamaño perfecto para poner dentro de un calzado para ventilarlo y otro para la habitación. Me gusta todo lo natural y me parece genial este invento para limpiar el aire a base de carbón de bambú. Incluso el material exterior es natural. Se “recarga” con la luz solar y dice de tirarlo en el jardín cuando haya terminado su vida útil: eco friendly 100%!</t>
  </si>
  <si>
    <t>Perfecto auricular infantil. Llegaron perfectos. Son muy bonitos. Tacto agradable. Son muy ligeros y cómodos. Tal como anuncian. Se ven resistentes frente a la ligereza que tienen. Se ajustan muy bien. Los colores son atractivos para los niños.</t>
  </si>
  <si>
    <t>Bueno Rapido, todo perfecto</t>
  </si>
  <si>
    <t>Camiseta para gimnasio Camiseta para llevar al hacer deporte. Queda bien ajustada al cuerpo, es flexible y transpirable. Se puede meter en la lavadora. Mirar la tabla con las medidas para saber que talla pedir.</t>
  </si>
  <si>
    <t>Muy silencioso Por el precio que tiene, está muy bien. Es fácil de usar y tiene 7 colores cada uno en modo brillante y tenue. Compré otro humidificador muy similar, con las luces más potentes, pero hacía ruido de burbujas de agua. Este no hace ningún ruido, me parece una buena compra. Eso sí, a ver cuánto dura, yo lo tengo una semana.</t>
  </si>
  <si>
    <t>Album blanco 22,5x22,5 Me ha encantado el album. Tiene 50 hojas con capacidad para 200 fotos 10x15 para insertar en los plásticos. Al final dell todo, una bolsita para meter un CD. Como algo negativo quizás (aunque no me ha importado) es que las tapas no son muy rigidas y las hojas interiores de las fundas son algo blandas también.</t>
  </si>
  <si>
    <t>Una calidad genial, como todos los productos de la marca Yo soy una amante de los tés y las infusiones, así que este producto me parece una maravilla.Y tengo que reconocer que soy todo lo imparcial que puedo, pero es que me encantan los productos de esta marca, así que me cuesta un poco porque soy bastante fan.  En la caja del producto venía lo siguiente:  - Hervidor eléctrico - Base con cable de alimentación - Manual de usuario - Tarjeta de garantía  Este hervidor o tetera eléctrica, está fabricado en acero inoxidable con asa termoaislante. La verdad es que estéticamente tiene un diseño sencillo y discreto, pero a la vez elegante, es en color negro con detalles en negro.  Tiene una capacidad más que digna de 1,7 litros, con una potencia de 2400 vatios.Tiene unas medidas aproximadas de 23,2x21,6x17,8 centímetros, es algo más pequeño que el que yo tenía y que tiene la misma capacidad de agua.  El botón de encendido está justo bajo el mango y es una pequeña palanquita con un indicador rojo cuando está en funcionamiento.  Su uso es muy simple: conectamos la base a la toma de corriente, llenamos la tetera de agua hasta la cantidad que necesitemos (siempre mirando de no sobrepasar la línea de "máximo", que es la de 1,7 litros), la colocamos sobre la base y presionamos el botón de encendido para que empiece a calentar. Me encanta el detalle de no tener que estar pendiente de la tetera, porque una vez el agua está caliente ya se apaga sola.  Un punto positivo es que podemos calentar agua para una sola taza, y de hecho también tiene un medidor para calentar agua para dos y tres tazas (es un medidor pequeño rojo que se encuentra en el interior). El agua para una sola taza la calienta en menos de un minuto. Además, tiene también el punto positivo de que el filtro que lleva en la boquilla es extraíble y lavable.  Me ha encantado la verdad, aunque es cierto que quizás es un poco cara para lo que es, pero la verdad es que todo lo que tengo de esta marca tiene una calidad fantástica, y al final la calidad y un bonito diseño se pagan.</t>
  </si>
  <si>
    <t>Me gusta mucho Es lo esperado, el clásico reloj de CASIO.  Muy bonito y funciona de maravilla, de momento me he bañado con él y sin problemas. Espero que como dicen algunos aguante baños en piscina porque lo quiero para usar a diario sin quitármelo. La única pega que le veo es el tamaño que es un poco pequeño, más del estilo de los relojes de mujer, pero es como lo que se llevaba en aquellos tiempos</t>
  </si>
  <si>
    <t>Buena calidad Buena calidad y muy práctico, perfecto para cocinar rápido y sin esfuerzo</t>
  </si>
  <si>
    <t>Justo como imaginé Todo ok</t>
  </si>
  <si>
    <t>Buena relación calidad-precio Es más pequeño y ligero de lo que pensaba. Lo he examinado con un programa y su capacidad es de un Tera, como lo había comprado, y su estado de uso es bueno. El precio creo que es muy bueno y mi hijo ha quedado satisfecho con la compra</t>
  </si>
  <si>
    <t>Muy buen pegamento Pegamento de alta calidad. Y el envase es sin duda el mejor del mercado. Nunca se va a obstruir al ser grande el orificio. La brocha es lo.mejor. Un producto de 10.</t>
  </si>
  <si>
    <t>Muy cómodos. No se sueltan. Sonido potente. Los he comprado, después de haber probado otros dos modelos, para jugar al tenis. Mientras los otros se caían todo el rato, estos no lo hacen. IMPORTANTE: si ajustas el pequeño enganche que une ambos cables justo por debajo de tu cara, conseguirás así una sujeción más firme ante movimientos bruscos de la cabeza. El sonido, como ya leí en otros comentarios, es tirando a grave, pero suenan muy bien. Lo que he hecho es comprar una app de equalizador de 10 pistas con ajuste de graves y agudos y muchas más cosas (Poweramp), por 4 euros más, pero vale la pena, aunque los hay gratuitos también, ya que insisto en que el sonido es grave y si los vas a usar todo el rato y no sólo para hacer deporte un rato, puede resultar un poco molesto. La ubicación de los botones en el auricular derecho es intuitivo, sencillo de usar y conecta muy fácil y rápidamente al bluetooth. Trae unas almohadillas de esponja, que aunque en un principio pensé que serían más cómodas, al final he dejado las esponjillas de goma que traen por defecto los auriculares. Hace unos meses compré unos Sennheiser CX 3.0 (de cable) y la verdad es que estos auriculares MPOW les dan mil vueltas y a un par de euros menos. Recomiendo su compra al 100%.</t>
  </si>
  <si>
    <t>Malas Calidad baja, se “ven” curtres, delgadas... plasticosas</t>
  </si>
  <si>
    <t>Corrwcta Correcta teniendo en cuenta el precio tampoco no se puede esperar mucho más. Compré una pequeña y ya no funciona después de una semana. La grande funciona bien, calienta suficientemente y de manera homogénea.</t>
  </si>
  <si>
    <t>no es tan optimo tienes que marcar bastante para que se vea y cuando lo haces a los 2 o 3 lavados se queda una mancha que no es legible el nombre. y si lo marcas poco no duran tantos lavados como dice.</t>
  </si>
  <si>
    <t>LO COMPRE COMO 5 ESTRELLA RELACION DE CALIDAD NO ES LA CALIDAD QUE YO DESEA TENIA DE ESTE PRODCTO , LA AROMA ES MUY BAJA Y LA PONTECIA DE MEZCLA TAMBIEN MUY BAJA</t>
  </si>
  <si>
    <t>Mala Calidad Se rompió tras utilizarse por 1 mes apenas. Mala calidad</t>
  </si>
  <si>
    <t>Bolso No me ha gustado nada es como para niña</t>
  </si>
  <si>
    <t>Regalo Era un regalo que me habían pedido y le gusto mucho. El color es como el de la foto y su tacto es agradable. Buena capacidad</t>
  </si>
  <si>
    <t>Coger una talla o talla y media más Tallan muy Justo, he cogido un número más y aún así son justitas. Para mí una talla y media más habría sido lo ideal.</t>
  </si>
  <si>
    <t>Buen diseño Reloj muy bonito , la única pega es que los números al ser pantalla negra no se aprecian mucho , por lo demás perfecto</t>
  </si>
  <si>
    <t>Buen exprimidor. Este es un buen exprimidor y muy potente. Sólo le encuentro un fallo y es que necesita un sistema de sujección para que no salga pitando cuando trabaja.</t>
  </si>
  <si>
    <t>Bonita y buena calidad La correa es un poco justa para una muñeca ancha.Viene con varios tramos para poder acortar y el cierre se ve seguro y cómodo en acabado acero. Los pasadores son muy justos ,por eso le pongo las cuatro estrellas .si es verdad que trae de repuesto y la presentación es buena,pero ojo si tienes una muñeca de 21 (que es la mía)por que no sobra nada</t>
  </si>
  <si>
    <t>Calidad precio bien Bonitos,  y cómodos,  pesan un poco pero están muy bien</t>
  </si>
  <si>
    <t>Buen servicio y rápido Diseño muy bonito muy práctico y calienta el agua super rápido el envío todo muy bien</t>
  </si>
  <si>
    <t>Comodas Quedan muy bien y son muy comodas</t>
  </si>
  <si>
    <t>Mejor de lo Q esperaba x el precio tan asequible Yo lo he comprado xa mi sobrino y creo Q Le va a encantar. Funcionar muy bien y fácil es muy intuitivo y muy divertido. A ver Q tal me sale el regalo jijijiji</t>
  </si>
  <si>
    <t>Cómoda y caliente, yo la uso para vestir incluso Cómoda y caliente, yo la uso para vestir incluso</t>
  </si>
  <si>
    <t>la hora El conjunto de opciones</t>
  </si>
  <si>
    <t>Geniales! Geniales, super elasticos, calentitos y cómodos. Dan la talla exacta. Los recomiendo 100%. Volveré a comprar ropa de eata marca seguro.</t>
  </si>
  <si>
    <t>Acierto absoluto con su compra Uno de los mejores relojes que tengo en mi colección por su increíble relación calidad-precio. Recomiendo su compra para quien se lo esté pensando.</t>
  </si>
  <si>
    <t>Muy buena calidad a un buen precio Increíbles, el sonido es totalmente plano y nítido, lo compre para usar-lo con un Fiio m3k y la pareja que hacen es una maravilla. Incluye una funda muy elegante en negro, aunque quizá un pelin justa para el tamaño de los auriculares, los cables que incluye son de muy buena calidad y el sistema de conexión con los auriculares es super efectivo para que no se desconecten al dar un tirón sin querer. Muy recomendados.</t>
  </si>
  <si>
    <t>Hermoso anillo Compre dos como este uno para mi hija y otro para mi nuera las dos contentisimas recomiendo la compra de tan bonito anillo</t>
  </si>
  <si>
    <t>Mejora al tenerlo delante Sinceramente mejora bastante al tenerlo delante. Esfera adecuada y diseño elegante. Muy buena relación calidad-precio. Correa de buena calidad y resistente al agua, comprobado.</t>
  </si>
  <si>
    <t>Estupendo Reloj Es justo lo que necesitaba, un reloj robusto que me diese seguridad de poder hacer cuakquier actividad fisica sin tener la preocupacion de que el reloj se rompiese, como me pasaba con otros. Es cierto que el led de la luz no alumbra el panel degital pero las agujas se ven perfectamente.</t>
  </si>
  <si>
    <t>Victoria Todo correcto. Los utilizo para jugar al padel y no se mueven como los de otras marcas. Repetiré la próxima.</t>
  </si>
  <si>
    <t>Un éxito Lo usé para el candy bar del bautizo de mi hijo y no quedó ni uno. Los llené con anisitos blancos y los puse en una caja de madera decorada. Quedó muy bonito.</t>
  </si>
  <si>
    <t>Relación calidad precio Ideal para hacer un bonito regalo. Es muy elegante y posee mucho brillo la piedra que trae</t>
  </si>
  <si>
    <t>alfombrilla ratón Me parece que esta muy bien no se la duración la calidad buena para mi gusto un poco fina</t>
  </si>
  <si>
    <t>Ideal Ideales</t>
  </si>
  <si>
    <t>Batidora con accesorios y cuencos. Batidora de mano que viene con cuencos , muy cómoda para hacer la masa del bizcocho o para batir huevos o hacer zumos para los hijos.</t>
  </si>
  <si>
    <t>Zapatillas El producto tiene buena pinta, me probé una pero la talla viene muy justa por lo tanto he optado por comprar otro par y hacer la devolución, recomiendo pedir un número más del que utilizas</t>
  </si>
  <si>
    <t>Pequeño La foto no induce a pensar que sea tan pequeño.</t>
  </si>
  <si>
    <t>Rodemaca@gmail.com Es un regalo para alguien que creo le dará mucha utilidad por su afición a cantar. La opinión deberá darla esa persona cuando tenga la oportunidad de probarlo.</t>
  </si>
  <si>
    <t>Elegante ,fuerte y de calidad Buen reloj se elegante y fuerte de calidad le doy 3 estrellas por que la garantia no esta sellada</t>
  </si>
  <si>
    <t>Material Barato Aunque me cumple con lo que yo necesitaba, el material es de poca calidad y la calculadora no funciona.</t>
  </si>
  <si>
    <t>Mala calidad por ese precio Gran decepción cuando las recibí. Vienen en una bolsa de plástico con letras chinas, nada de caja. Cuando las tuve en la mano son plástico y huelen a ello... nada de piel. En la union de la bota con la suela se veía el pegamento, estoy convencida de q se me hubieran despegado a la semana y la cremallera se enganchaba. Muy mal... las he devuelto, ni me las probé. Diseño bueno, calidad pésima.</t>
  </si>
  <si>
    <t>OK El metal es un poco oscuro. pero son cómodos.</t>
  </si>
  <si>
    <t>cumple con el requerimiento Funcionamiento cumple su cometido. En alguna ocasión le cuesta un poco conectar pero muy práctico para incorporar wifi a la cámara</t>
  </si>
  <si>
    <t>Me gusta Es cómoda, ligera y cumple expectativas. El interruptor con cable largo está muy bien para tenerlo en la cama. Que sea desenfudable y que la funda se pueda lavar la hace más cómoda.</t>
  </si>
  <si>
    <t>Pantall Lo uso para micrófono de intercominicador de moto</t>
  </si>
  <si>
    <t>Me gusto Me gusta, queda como en la imagen, tiene una protección en la cremallera para no clavartelo ni que te haga ninguna rozadura</t>
  </si>
  <si>
    <t>Lo recomiendo Ha llegado antes de tiempo, queda muy bien y se ajusta a las tallas.</t>
  </si>
  <si>
    <t>Fantastico Me gusta que pesa poco. no mete ruido y cuando se acaba el agua se apaga solo yo lo tengo toda la noche  y va fenomenal</t>
  </si>
  <si>
    <t>Todo correcto Es la primera vez que utilizamos en casa un aparato de estas características. Y me ha sorprendido gratamente. Tarda muy poco en hervir el agua. Un diez</t>
  </si>
  <si>
    <t>Sujetador deporte Anita No es la primera vez que compro Anita. La mejor marca de sujetador par pecho grande. El deportivo es muy cómodo para hacer deportes, dormir, llevar por casa.</t>
  </si>
  <si>
    <t>Magnifica relacion-calidad precio Viniendo de unos auriculares in-ear , el usar unos de diadema cerrados tiene un cierto proceso de adaptacion , una vez pasados unos dias de uso empiezas a preguntarte porque no los compraste antes. El sonido que dan es de muy buena calidad , con buenos graves y nitido , la espuma es muy comoda y no produce demasiada fatiga al cabo de unas 2 horas de uso , el embalaje es muy correcto , con 3 cables de diversas longitudes y una bolsa de transporte en piel . Una compra totalmente recomendable</t>
  </si>
  <si>
    <t>Buena calidad y precio Muy bonita lo compre para mi nieta de5 años</t>
  </si>
  <si>
    <t>Perfecto Solo quiere este biberon, y al ser de Cristal es genial.</t>
  </si>
  <si>
    <t>Muy buena sudadera a gran precio Muy buena sudadera, se aprecia bien acabado y gran calidad, además de llevar una capa por dentro que abriga. El tallaje en mi caso perfecto mido 1.76 y peso 77 kg y la talla M me viene perfecta.</t>
  </si>
  <si>
    <t>Acabados, precio y confortable Chaqueta muy calentita, con pelo por la parte de pecho y espalda. Es bonita y bien acabada y no se aprecia que sea de baja calidad, me ha gustado mucho y eso que soy exigente con la ropa. Respecto a las tallas, mido 1,82 y peso 85kg, complexión fuerte y sin barriga, suelo usar una L y aquí una 3XL me queda perfecta, un pelin olgadita ideal para ir en bici sin llegar a estirar de mangas y sin verse demasiado grande.</t>
  </si>
  <si>
    <t>buen ajuste y buena compresion buena terminación, con buena presión en las zonas de empeine y tobillo para ayudar a descansar el pie y favorecer la circulación sanguínea.  Con buen diseño.  Eso si son finos y para algunos deportes como el pádel, dan un agarre limitado dentro de la zapatilla.</t>
  </si>
  <si>
    <t>Siscutr Muy buen reloj por el precio y bonito, muy contento con el reloj, envío rápido esperando que dure tanto como el otro que tengo</t>
  </si>
  <si>
    <t>Me gusta mucho. Mi hija esta encantada con el libro. Y ami me parece muy interesante.</t>
  </si>
  <si>
    <t>Bueno Buen producto</t>
  </si>
  <si>
    <t>Todo muy bien El diseño es muy bonito. Práctico y a mis hijos les encanta para hacerse el Colacao de cada día.</t>
  </si>
  <si>
    <t>Fantastico! El reloj viene perfectamente envuelto y protegido, con la caja original, garantia, etc... Es tal como se muestra en las fotos! Quizas incluso mejor. Es el segundo reloj de la marca G-Shock que compro a través de Amazon y he quedado encantada.</t>
  </si>
  <si>
    <t>No falla Exactamente lo que promete. El reloj más práctico y con garantías del mercado. Llegó a tiempo y viene con la pila puesta. Me compré un Casio porque quería un Casio y es un Casio lo que recibí y lo que tengo desde entonces.</t>
  </si>
  <si>
    <t>Me encanta. Queda perfecto y muy cómodo.me encantame</t>
  </si>
  <si>
    <t>UN GRAN PRODUCTO A MUY BUEN PRECIO. ESTUPENDA CALIDAD, LA PRASTIFICACIÓN QUEDA BRILLANTE Y DURADERA. AUNQUE PUEDE DEPENDER DE QUE TIPO DE PLASTIFICADORA SE USE, NO TODAS TRABAJAN IGUAL DE BIEN.</t>
  </si>
  <si>
    <t>Tamaño perfecro Las he usado para tazos y metal gliders y van muy bien, no se salen y son de buena calidad</t>
  </si>
  <si>
    <t>No satisfechos Finalmente hemos tenido que comprar otro porque con la ropa  de invierno y al dormir se cambiaba la hora con facilidad, los botones son demasiado sensibles al contacto o movimiento de muñecas y/o ropa.</t>
  </si>
  <si>
    <t>María José Bueno... No está mal, lo esperaba distinto, más como en la foto, el metal es más feucho. Pero calidad precio... No está mal!!!</t>
  </si>
  <si>
    <t>Correcto Bien</t>
  </si>
  <si>
    <t>MALA SUERTE?? COMPRÉ UNO Y SALIÓ MAL Y AHORA ESTE TAMBIÉN O ESO PARECE ESTOY INDIGNADO</t>
  </si>
  <si>
    <t>mala calidad*** muy mala calidad, tuve que cambiar los cartuchos estando por la mitad.</t>
  </si>
  <si>
    <t>rápido de buena capacidad a buen precio por el precio que tiene va muy bien. es bastante rápida y muy discreta. el único problema es que seguramente el sistema para utilizar un conector o el otro termine fallando por que es muy tiene pinta de ser muy endeble.</t>
  </si>
  <si>
    <t>Botines con cuña Perfectos!!! Comodidad  y estilo unidos jajaja</t>
  </si>
  <si>
    <t>Diseño Me ha gustado el diseño que me parece estiloso. Muy fácil de conectar. Sonido muy bueno.</t>
  </si>
  <si>
    <t>Versión elegante y atrevida el DW-5600 Una bonita versión del conocido DW-5600, a la vez más elegante y atrevida que el modelo original.  La caja de presentación, de metal, es sencilla y en línea con el espíritu deportivo del reloj. El manual, en varios idiomas,  es muy justo y escueto,  pero cumple.  Finalmente la construcción del reloj es correcta, pero los bordes que rodean las botoneras están terminados em filo, y en cao de llevar la correa muy apretada puede causar alguna herida en la muñeca.  El conjunto es resultón, pero todo y haberlo comprado de oferta por algo menos de 70€ , me sigue pareciendo un precio alto por este tipo de reloj. Todo y así es un artículo que bien merece la pena tener como pieza clásica, que aparece tanto en películas (speed, el sargento de hierro, etc) como en fotografías de misiones espaciales de la NASA.</t>
  </si>
  <si>
    <t>Biberon cristal Es muy limpio i va bien por los gases</t>
  </si>
  <si>
    <t>Justo lo que necesitaba , buena calidad relación precio Justo lo que necesitaba , buena calidad relación precio</t>
  </si>
  <si>
    <t>Este es el segundo par que me compro de esta marca y modelo Las zapatillas Merrell en general para mi las mejores que he tenido, de hecho he vuelto a comprarme unas de diferente color pero mismo modelo porque las anteriores las llevo muy agusto, cómodas y resistentes al agua sin que te entre humedad, para mi un 10.</t>
  </si>
  <si>
    <t>Buen producto, buen servicio. El producto acorde a la descripción, la talla es la misma que usas normalmente de Converse.</t>
  </si>
  <si>
    <t>Genial Estupendo</t>
  </si>
  <si>
    <t>Según lo que esperaba Lo que esperaba, ni mas ni menos, se ve de buena calidad agradable al tacto. Compra muy correcta. Un saludo</t>
  </si>
  <si>
    <t>Perfectos Pedí una talla más por los comentarios pero me queda más grande, no ando mal por lo que me los he quedado y n se salen. Yo tengo el.pie ancho puede que otra persona se le salgan si tiene el pie fino. Son estupendos, muy ligeros y no me duelen los pies. Muy contenta los recomiendo.😊</t>
  </si>
  <si>
    <t>Encaja sin problemas Es una buena cubierta para micrófono, encaja a la perfección sin problema，hace de antipop cuando lo uso en grabación ambiente.</t>
  </si>
  <si>
    <t>Muy buenas Al principio se hace raro pero después es muy agradable y confortable</t>
  </si>
  <si>
    <t>Es muy elegante y brilla muchísimo Es muy bonita</t>
  </si>
  <si>
    <t>Talla completa Excelente relación precio calidad.</t>
  </si>
  <si>
    <t>Ha superado mis espectativas. Ha funcionado mejor de lo esperado. Había probado anteriormente otros micrófonos de calidad un poco inferior, pero que en principio no eran malos y siempre se oia un poco de parásito de fondo. Incluso llegue a pensar que era algo de la placa por lo que no tenía muchas esperanzas puestas en un dispositivo nuevo. Ha superado mis espectativas ahora se oye la grabación de una forma nítica sin el tedioso parásito de fondo.  En mi caso estoy con un equipo con el sistema operativo Linux Mint ( equivalente a un Ubuntu 18.04 ), por lo que los usuarios de Linux - almenos en mi caso - les debería también funcionar correctamente.  El trasto es más grande de lo que me esperaba ( impresiona un tanto la primera vez que lo ves ), el peso hace que tenga muy buena estabilidad. Para aquellos que se muevan mucho igual no es tan práctico ( por el peso y por el volúmen ), pero en mi caso eso es poco importante.</t>
  </si>
  <si>
    <t>Estupendo Perfecto para mi hijo. Buenos acabados y un funcionamiento correcto. La verdad es que su usuario está encantado con él.</t>
  </si>
  <si>
    <t>Muy bonito y elegante El collar me a parecido muy bonito y elegante, la verdad es que es de los mejores que he tenido, la única desventaja que e tenido es que si eres alérgica a los metales malos, no te lo recomiendo, ya que evidentemente no es ningún metal noble, pero por  lo demás de 10</t>
  </si>
  <si>
    <t>Ni te lo pienses... ¡compralo! Sin duda, mi primera compra con amazon ha cumplido con creces mis expectativas, copia datos rapidísimo! lo estoy usando en mi xbox 360 y va de cine... ideal para consolas y por un precio buenísimo!</t>
  </si>
  <si>
    <t>colgante cadena muy fina</t>
  </si>
  <si>
    <t>Como esperaba! Tal cual los originales que venían en la caja al comprar el móvil!!!! Tiene manos libres y me encanta el piquito que tiene el auricular ya que es más cómodo que el redondo del todo!!!Otra ventaja?El precio!!</t>
  </si>
  <si>
    <t>Muy contento y resistentes Calidad precio son los mejores que he probado(y he probado muchos ya que se me rompen continuamente) y el acabado de los auriculares de apariencia metálica le aportan mucho.  El micro funciona bien y el botón muy cómodo, la calidad de audio por el precio esta mas que bien. Pese a que no se la resistencia que tienen puedo decir que sin querer se me cayeron en la lavadora y siguen funcionando a la perfección!!  Cosas que se pueden mejorar seria el cable que podría ser tipo "cordón" por que la verdad que se lían bastante y también el hecho de que solo tenga un botón no permite subir y bajar volumen de las canciones.  En la tienda física oficial de xiaomi los he podido encontrar mas baratos.</t>
  </si>
  <si>
    <t>Colores que desaparecen en poco tiempo A pesar de haberlos usado bastante, y de que me gustaron mucho los colores cuando los compré (hace meses) ahora me estoy dando cuenta que los vinilos expuestos a exteriores , como en coches y cosas así , los colores se apagan casi totalmente quedando blanquecinos casi sin color, con apenas dos meses pegados, una lastima la verdad , ya que el precio es muy bueno, ahora ya se porqué</t>
  </si>
  <si>
    <t>Decepcionado No va muy bien y la olor que suelta no es muy agradable</t>
  </si>
  <si>
    <t>Deja de funcionar a los dos meses... dificil reclamar a Amazon Si lo sé, no lo compro aquí. Es la gran ventaja de comprar en comercios fisicos locales.</t>
  </si>
  <si>
    <t>el reloj casio no es lo que yo esperaba . Embalaje abierto El embalaje me llego abierto , y no era ni mucho menos lo que yo me esperaba. lo quiero devolver y no me deja</t>
  </si>
  <si>
    <t>correcto esta muy bien tal como se anuncia, calienta bien, hace su función, para calor en trapecio va muy bien, sirve para otras zonas</t>
  </si>
  <si>
    <t>Un detalle a un precio inmejorable Buena presencia y bien acabado, con un precio muy ajustado.</t>
  </si>
  <si>
    <t>Más durabilidad que otros En general me gusta este producto. Lo veo más resistente que los que hay en espira ( he tenido en espiral y me han durado muy poco)l. Pegas: es un Pelin más incómodo de usar y la parte destinada a las tetinas no sirve de mucho ya que al no tener cepillo no se limpia bien. Hay que insistir mucho para poder sacar los posos de leche que quedan a veces. De hecho para las tetinas utilizo uno de cepillo que tengo chiquitín.</t>
  </si>
  <si>
    <t>la calidad Es un calzado muy fuerte, impermeables, cómodos y resulta eterno. Es mi tercer par, aun uso los anteriores aunque su aspecto no lucen nuevos. RECOMENDABLE!!!!</t>
  </si>
  <si>
    <t>Contento con la compra Relación calidad/precio está muy bien. Los batidos quedan perfectos.</t>
  </si>
  <si>
    <t>Muy bueno Muy bueno. Se ve de buena calidad</t>
  </si>
  <si>
    <t>Muy cómodos, buena calidad Unos zapatos muy cómodos. Buenos materiales y acabados a mi entender.</t>
  </si>
  <si>
    <t>Util Lo utilizo para etiquetar las cajas y botes , paquetes cartas etc</t>
  </si>
  <si>
    <t>Un sonido espectacular a un precio de risa!!!!! Hace ya tiempo que vengo gastando auriculares de esta marca y puedo decir que son realmente buenos. Así que me decidí a probar estos In-ear tipo Airpod de Apple y después de usarlos puedo decir que no tienen nada que envidiar a los auriculares de Apple. El sonido es muy muy bueno, los graves perfectos. Además viene con almohadillas de diferentes tamaños para adaptarse a tus comodidades.  Lo dicho, los recomiendo totalmente a quien quiera unos auriculares con un precio realmente genial y un sonido todavía mejor.</t>
  </si>
  <si>
    <t>La textura con la que deja los batidos es lo mejor, finita, finita!!! Lo único que no me gustó, fue que el libro de recetas viene en francés. Por ningún sitio en castellano, ni en inglés.</t>
  </si>
  <si>
    <t>Bien. Bien.</t>
  </si>
  <si>
    <t>Vale la pena Es de buena calidad, me decidí por este después de hacer varias comparaciones y las opiniones me hicieron decantarme por este. No me arrepiento es justo lo que buscaba, no hace nada de ruido y hasta ahora no he tenido ningún problema. Un acierto de compra</t>
  </si>
  <si>
    <t>Buen material Buen material y cómodo de colocar</t>
  </si>
  <si>
    <t>Muy bien Perfecta. Quizás un poco más pequeña hubiese sido suficiente. Pero es mi elección.</t>
  </si>
  <si>
    <t>zapatillas muy comodas zapatillas super comodas y muy bonitas y no pesan nada parece que no llevas las zapatillas puestas, muy buena compra</t>
  </si>
  <si>
    <t>Muy prácticas El pedido ha llegado perfecto y a tiempo. Las esponjas con mango son muy prácticas y no se nos han roto, así que las recomiendo!</t>
  </si>
  <si>
    <t>Calidad Apple Cascos de 10. El único problema puede ser el precio. Pero si eso para ti no importa estos cascos son muy buenos para el día a día, nada profesional desde mi punto de vista. Mi hermana tiene los de primera generación y este año hemos decidido regalárselos a mi padre. Le parecían una chorrada, tiene más cascos inalámbricos pero con estos está encantado.</t>
  </si>
  <si>
    <t>buena minimochila Lo compre para sustituir un bolsito de hombre pequeño. Es muy cómoda de llevar, espacio suficiente para llevar llaves, móvil, cartera, accesorios, algun libro o tablet, y un bocadillo si quieres. Los materiales son de muy buena calidad. No es una mochila, la capacidad creo que son de unos 4l. Tiene muchos bolsillos y el que sea tipo bandolera, con una sola asa, hace que sea mas cómoda de llevar (de poner y de quitar). Lo recomiendo si sois de llevar mochilas con una sola asa, y no necesitáis que sea muy grande.</t>
  </si>
  <si>
    <t>Justo lo que buscaba!!! Hace exactamente lo que necesitaba, en cualquier documento de Word, pasa de página en página... o va bajando mientras lo mantienes pulsado, lo cual te libera las manos como en mi casa, para poder seguir tocando la guitarra, mientras pasas de hoja en la partitura desde el pedal, conecta por bluetooth, y no me ha dado ni un solo fallo</t>
  </si>
  <si>
    <t>Buena Se me han roto varias grapadoras más caras ( petrus, ... ) debido al uso intenso con niños . Esta de momento resiste bien.y es de buen material . Precio muy ajustado</t>
  </si>
  <si>
    <t>LA CALIDAD Las zapatilllas son  como esperaba, muy buena calidad y el servicio extraordinario. Muchas gracias.</t>
  </si>
  <si>
    <t>Se nota que son de calidad Espectacular auriculares son un maravilla el sonido que dan. Nada que envidiarle a los de grandes marcas. El sonido es una pasada, claro y envolvente. Se enlazan muy rápido. Se puede hablar con ellos y se escucha muy bien.</t>
  </si>
  <si>
    <t>Buena La potencia de este produccto es muy bueno y con esta oferta he sacado un producto buenisimo a precio de ganga. Tiene muchos utiles apropiados para la reposteria</t>
  </si>
  <si>
    <t>Lo que buscaba &lt;div id="video-block-R2N8WC67TNMIZF" class="a-section a-spacing-small a-spacing-top-mini video-block"&gt;&lt;div tabindex="0" class="airy airy-svg vmin-unsupported airy-skin-beacon" style="background-color: rgb(0, 0, 0); position: relative; width: 100%; height: 100%; font-size: 0px; overflow: hidden; outline: none;"&gt;&lt;div class="airy-renderer-container" style="position: relative; height: 100%; width: 100%;"&gt;&lt;video id="15" preload="auto" src="https://m.media-amazon.com/images/I/A1wtGS-lETS.mp4" style="position: absolute; left: 0px; top: 0px; overflow: hidden; height: 1px; width: 1px;"&gt;&lt;/video&gt;&lt;/div&gt;&lt;div id="airy-slate-preload" style="background-color: rgb(0, 0, 0); background-image: url(&amp;quot;https://m.media-amazon.com/images/I/61LYdwDqT1S.png&amp;quot;);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center;"&gt;0:00&lt;/div&gt;&lt;div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value="https://m.media-amazon.com/images/I/A1wtGS-lETS.mp4" class="video-url"&gt;&lt;input type="hidden" name="" value="https://m.media-amazon.com/images/I/61LYdwDqT1S.png" class="video-slate-img-url"&gt;&amp;nbsp;¡PERFECTO! ¡Un pendrive multifuncional! Cuando pedí este pendrive yo solamente buscaba un pendrive que tuviera por lo menos 32GB para mover archivos tanto del trabajo como para uso personal. Este pendrive por supuesto que cumple mi necesidad, pero además cuenta con conectores para poder enchufarlo a cualquier móvil. Realmente esto, por lo menos en mi caso, no es algo que utilice todos los días, pero con el poco tiempo que llevo con él, ya me ha resultado útil en un par de ocasiones. Concretamente estando de viaje y evitando tener que sacar el ordenador para consultar un par de cosas, ya que el móvil solemos llevarlo encima y encendido. Viene en una caja muy chula, perfecta para llevarlo junto con el accesorio para conectarlo a teléfonos con conector "Type C" y que ninguna de las pieza sufra ningún daño (viene con acolchado en el interior. La caja contiene: - Pendrive con USB, Lightning (iphone) y michoUSB - Adaptador USB-Type C - Instrucciones para IOS y para Android  Estoy muy satisfecho con la compra y se lo recomiendo a toda la gente que necesite un pendrive normal, ya que es un pendrive normal y mucho más</t>
  </si>
  <si>
    <t>Producto no apto para ciudad. Son zapatillas con suela de tacos, es decir: a no ser que corras por la montaña se desgasta enseguida la suela. Vamos, que en 1 mes están listas para tirar a la basura. Piénsalo.</t>
  </si>
  <si>
    <t>Buena calidad Bien todo para trekking</t>
  </si>
  <si>
    <t>Muy bien con el servicio pero con dudas con la durabilidad El producto es tal cual lo describe sin embargo el cable me parece muy fino y me da la sensanción de que en breve se me romperá con cualquier estirón. Me llegó rapido y bien embalado.</t>
  </si>
  <si>
    <t>Katia Hola, compre las botas para un viaje especifico al frio y me las puse 5 veces se me rompieron las dos evillas, como puedo ponerme en contacto? Un saludo</t>
  </si>
  <si>
    <t>No comprar El reloj es falso. NO ES CASIO. Lo compré en Febrero y en Mayo ya no funcionaba.</t>
  </si>
  <si>
    <t>Decepción Malísima calidad,no vienen ni en caja en un plástico</t>
  </si>
  <si>
    <t>Buena relación calidad-precio El producto tiene un diseño excelente. La terminación también parece robusta. El único pero es que la rejilla para panecillos no es retráctil y no va incorporada en la estructura, sino que se tiene que montar encima de la ranura y desmontar cuando no se usa. Por lo demás, muy buen producto.</t>
  </si>
  <si>
    <t>Celo Muy buen producto</t>
  </si>
  <si>
    <t>Genial Es una maravilla, para el mantenimiento diario no existe algo mejor, ya que no solo te "barre" sino que te saca todo el polvo del suelo, se agradece cuando tienes en casa gente que va todo el día descalza. No quita manchas importantes del suelo, manchas de aceite, de derrames de refrescos secos y demás, saca el polvo y pequeñas pisaditas de agua. Por ponerle un pero, me lo esperaba mas silencioso pero verdaderamente, tampoco es algo que considere problemático si no vas a dejarlo limpiando mientras duermes.</t>
  </si>
  <si>
    <t>SD barata, nada del otro mundo [Si este comentario le ha sido de ayuda, agradecería que le diese a voto útil, gracias]  Pues la verdad es que es un SD normal, nada del otro mundo, tiene un precio bastante bueno (yo lo he comprado a 5.72€), el espacio real es de un poco más de 14GB, pero bueno, por el precio que tiene no voy a poner pegas.  Muy conforme con ella, la recomiendo a todo el mundo.</t>
  </si>
  <si>
    <t>Muy buenas tarjetas Buenas tarjetas. Rápidas y con bastante capacidad para mi cámara a un precio muy razonable. Satisfecho con la compra que da lo que promete.  Las volvería a comprar</t>
  </si>
  <si>
    <t>Muy practico y buen resultsfo Usado hace tiemp y genial redultafo</t>
  </si>
  <si>
    <t>Recomendable Compré un par para mi y otro para mi hermana y son perfectas. Ya había tenido unas antes y sabía que iban a ser cómodas, pero para mi sorpresa el modelo está mejorado ya que la suela está más reforzada y son más cómodas todavía. En cuanto a la talla, yo uso una 36/37 normalmente pero con Superga me va mejor la 36, y a mi hermana lo mismo, usa la 37/38 y pidió la 37 y quedan perfectas. Además, el envío fue muy rápido. 100% recomendadas.</t>
  </si>
  <si>
    <t>Lo que quería Lo que esperaba, es cómodo ponérselas y andar con ellas</t>
  </si>
  <si>
    <t>Álbum Tamaño perfecto vale para fotos 20x25 tanto sí son horizontales como verticales. Entran una cantidad importante de fotos, y la presentación es estupenda por no decir que tiene un precio más que razonable</t>
  </si>
  <si>
    <t>Muy resistentes Muy resistentes y cómodas</t>
  </si>
  <si>
    <t>Muy contenta con el producto Compré el ssd por sugerencia de un compañero de trabajo, ya que el ya había hecho esta compra. Y la verdad es que llegó super ràpido, el tamaño correcto para mi laptop y además es ligero.  Lo puse como disco principal e instalé el w10 home y la verdad es que hay muuuuucha diferencia, mi pc tiene 2 años y nunca había ido taaaaaan ràpido.  Para ponerlo como disco principal en un portàtil es mucho mejor que tenga más capacidad, pero primero queria probarlo, igualmente de almacenaje tengo el que venia de serie de 1 tb.</t>
  </si>
  <si>
    <t>Buen sonido y diseño Muy buen sonido y diseño bonito, muy buen precio para el producto, me ha gustado mucho por el momento. Lo recomiendo.</t>
  </si>
  <si>
    <t>Excelente relación Calidad/Precio Suenan estupendamente con ANC. El tiempo dirá si los pulsadores e interruptor ANC son lo suficiente fuertes como para que duren. Con respecto la batería "no cambiable" también será el tiempo quien ponga las cosas en su sitio. De todas formas por la relación calidad/precio que tienen no se puede pedir más. Eso sí, si durasen enteros mucho tiempo ya sería la monda.</t>
  </si>
  <si>
    <t>Rr. Martens 1460 Back Smooth talla 43 Hace días recibí las botas y estoy muy satisfecho. Ya había tenido hace tiempo  unas Martens y aunque utilizo una talla 43, decidí pasarme antes por una tienda para probarme la talla 42. Muy raramente calzo un 42 y quería asegurarme de comprar el número correcto.  La 42 me quedaba justa, más bien apretada y teniendo en cuenta que las botas las voy a poner en invierno con calcetines gordos, tenía claro que mi talla era la 43. Mi recomendación es que compres las botas de tu talla habitual, y si te quedan un poco grandes te pongas un calcetín gordo para llevar el pie ajustado. Las he comprado a un precio muy interesante, 86€. En la calle están a 136€ aproximadamente, 10% menos en rebajas (según el dependiente de la tienda donde las probé). Mi otra duda era saber si las botas serían Black - Smooth (original)  o Black (otro tipo de negro) como se describe en la web.  Aunque en la web las describen “color Black”, finalmente son de color Black Smooth original pues viene así  indicado en el exterior de la caja. En este sentido, creo que Amazon debería ser más específico con las descripciones. También las describen “para hombre” y en la tienda me dijeron que son botas unisex. Lo cierto es que en la página web de Martens hacen distinción entre botas para hombre y mujer pero opinión no se diferencian en nada, solo en la talla… Respecto a las dudas de si son originales o no, (como he leído en comentarios) me cuesta creer que no lo sean... Las botas las vende Amazon y las envía Amazon que es garantía de comprar.</t>
  </si>
  <si>
    <t>Anillos bonitos y baratos Anillos 100% recomendables. Bonitos y con un buen precio. El envío rápido y a tiempo.</t>
  </si>
  <si>
    <t>Biberón AVENT Este biberón es estupendo. Mi hijo no quiere otra tetina</t>
  </si>
  <si>
    <t>Perfecto Me ha resultado muy económico, es de una marca conocida y por la cantidad tengo para siempre pues son muchos.</t>
  </si>
  <si>
    <t>Reloj casio Excelente! Tal como esperaba ligero y funcional! La calidad de casio es de fiar lo compraré de nuevo en otro color</t>
  </si>
  <si>
    <t>Perfecto Lo que esperaba</t>
  </si>
  <si>
    <t>Chandal para verano Es un chandal ligero, ideal para verano o para entrenar con él. Se lleva ajustado y queda muy bien. Nike da bastante talla así que si , como en mi caso normalmente usas la M en la ropa,  tienes que comprar una S.</t>
  </si>
  <si>
    <t>Buena elección para PS4 Pro! Y lo tengo a casi un año y ya estoy bien. En el caso de que el rendimiento sea superior a un hdd normal y por debajo de un ssd.</t>
  </si>
  <si>
    <t>Buen producto en relación calidad-precio Los uso varias horas al día y de momento están funcionando bien (de otras marcas no me suelen durar muchas horas), y en principio en relación calidad-precio están muy bien</t>
  </si>
  <si>
    <t>Normalito No está mal</t>
  </si>
  <si>
    <t>buena calidad y muy bonitas algo grande. gasto un  le puse una plantilla porque eran slgo grandes. son comodas y buena calidad. son muy bonitas.</t>
  </si>
  <si>
    <t>Bate mal. Pero es bonita y sencilla de usar. Muy bonita. Sencilla de usar. La hélice no se puede quitar para lavarla aparte. No bate bien especialmente mente las hojas verdes</t>
  </si>
  <si>
    <t>Caja dañada Son buenos biberones le doy 3 estrellas porque parece que a la caja le ha pasado un trailer por encima por lo demas unos biberones muy buenos</t>
  </si>
  <si>
    <t>La máquina genial, las instrucciones dejan mucho que desear. Muy útil y funciona bien. Lástima que las instrucciones que incluye el fabricante dejen bastante que desear. No indican en ellas cómo programar las áreas donde no se quiere que entre la máquina, pese a que el manual dice que desde la app se puede hacer (y en la app tampoco se indica el modo). Si no fuera por estas cosas le daría las cinco estrellas.</t>
  </si>
  <si>
    <t>Mala calidad La calidad muy mala, se les va el color en poco tiempo</t>
  </si>
  <si>
    <t>A mí no me funcionó. No pude usarlo, con pilas nuevas falló mucho. Puesta en la camisa cerca de la boca, el sonido se entre cortava.</t>
  </si>
  <si>
    <t>Queda bien Bonito</t>
  </si>
  <si>
    <t>Luis Llegó bien y anda perfecto, se ven los movimientos de la máquina excelente para los que les guste que se note el reloj</t>
  </si>
  <si>
    <t>Buen funcionamiento Su tamaño</t>
  </si>
  <si>
    <t>Es muy bonito Es cómodo y tal como se ve en la foto. Aunque sea de plástico es muy resistente, lo llevo a diario y es como son los Casios. Relación calidad precio muy buena.</t>
  </si>
  <si>
    <t>Me gusta mucho Calidad precio esta genial. Muy bonito. Quizás la cadena un pelín larga pero del resto no tengo nada que decir. Habrá que esperar su duración</t>
  </si>
  <si>
    <t>Calidad precio inmejorable Cuando los pedí no esperaba que por el precio que tenían fueran tan cómodos, y de tan buena calidad, además trae una funda para poderlos guardar, calidad precio inmejorable.</t>
  </si>
  <si>
    <t>Compraré más! Lo compré para un regalo y estoy pensando en comprármelo para mí! Perfecto</t>
  </si>
  <si>
    <t>Excelente Batidora excelente tanto en potencia como en accesorios, tiene dos botellas que las usamos para crear el batido o la bebida deseada, solo tenemos que ponerle la cuchilla en el vaso y apretarlo para que empiece a funcionar. Otra cosa que me ha llamado la atención es que trae dos barritas para llenarlas de agua y congelarlas y acoplarlas mediante rosca a la tapa del bote para que se mantenga la bebida fría y no se agüe, un acierto sobre todo en verano. Tiene bastante potencia para picar cualquier cosa incluso hielo. También cuenta con una funda de goma para ponérsela al vaso y se agarre mejor</t>
  </si>
  <si>
    <t>Jarra electrica Buen producto y buen servicio de entrega</t>
  </si>
  <si>
    <t>Contenta con la compra Me llegó a la fecha indicada. La camilla es muy fácil de monta y práctica. Muy contenta con la compra. Es cómoda y aguanta mucho peso. Tiene mucha estabilidad y no se mueve. Ideal para masajes, sesiones de reiki, etc. El único defecto que puede tener es a la hora de trasladarlo de lugar. Pesa un poco y es grande.</t>
  </si>
  <si>
    <t>Un Kingston de 32 GB de siempre Recibí la tarjeta SDHC 32 GB en el oríginal blister de Kingston, funciona perfectamente, es rápido. Merecía la pena a esperar un poco por comprar unos de ellos por menos de 8 euros, cuando no tenía la necesidad inmediata.</t>
  </si>
  <si>
    <t>Bolso hombro. Perfecto..es lo que esperaba. Gracias.</t>
  </si>
  <si>
    <t>Calcetines medias de las mejores. Son muy buenas, sujetan sin molestar tanto el pie como el gemelo, he repetido la compra,  relación calidad precio inmejorable.</t>
  </si>
  <si>
    <t>Perfecto Perfecta</t>
  </si>
  <si>
    <t>Diseño atractivo y primera calidad La descripción corresponde al producto,hierve el agua rapidísimo y se apaga sola y mantiene la temperatura del agua sola por lo que no tienes que preocuparte de nada... Adiós despistes. La Última que tuve que no era eléctrica se me  quemó en el fuego mientras hacía otras cosas... El lacado es de gran calidad. 100% satisfecho con la compra,la recomiendo.</t>
  </si>
  <si>
    <t>Perfecto La corona es metálica con los bordes redondeados y buen acabado. Los cristales  están bien pegados y además es metálica completa pero no pesa en demasia. A mi hija le ha encantado ser princesa para siempre con ella..... Las de plástico dice que no son coronas de verdad.....</t>
  </si>
  <si>
    <t>Buenas zapatillas Quedan genial, unos zapatos muy cómodos y elegantes, fabulosa marca de zapatos. Compra totalmente recomendada</t>
  </si>
  <si>
    <t>muy buen gel A mi en particular que tengo múltiples  fracturas me va muy bien. una aplicación por la mañana y me alivia el dolor de todo el día</t>
  </si>
  <si>
    <t>Increíble potencia sin gastar mucho Creo la mejor relación calidad-precio. Super potente, yo he triturado los anacardos y sale super bien. Lo unico es la forma de el vaso que en mi caso (frutos secos) no permite el movimiento de rotacion del el producto de abajo hasta arriba, pero para hacer smoothie y cualquier otra cosa es perfecto sin gastar mucho. Entrega rapida. Servicio perfecto.</t>
  </si>
  <si>
    <t>Encajan muy bien en el palo de vileda Perfectas, encajan igual que las vileda en el mismo palo y no son tan caras, la misma calidad y la misma función perfectas</t>
  </si>
  <si>
    <t>Humificador pequeño y bonito Fácil de usar e intuitivo, tienes mucha variedad de colores y modos , ademas tiene un mando con el cual puedes cambiar todas las funciones que tiene.</t>
  </si>
  <si>
    <t>Elegante Es muy bonito, muy fino ideal para vestir o sport...compra perfecta. Parece basstante resistente.</t>
  </si>
  <si>
    <t>Muy simple y a veces inútil No es lo que esperaba, es muy pequeño y segun que alimentos ni los corta. Hace un vacio extraño y se calienta con facilidad.</t>
  </si>
  <si>
    <t>Cumple su función. La relación calidad precio no es la mejor, el plástico es de una calidad mejorable por el precio y por €5 más hay muchas mejores opciones.</t>
  </si>
  <si>
    <t>Tamaño pequeño Bonitos pero muy pequeños.</t>
  </si>
  <si>
    <t>Pésimo La medida de los agujeros no coincide con las anillas estandars.</t>
  </si>
  <si>
    <t>NO LO COMPRÉIS! Pésima compra. Debí hacer caso a los comentarios negativos de este producto. El embalaje estaba bien pero la pizarra llegó un una línea vertical, abombamiento, que dificulta la escritura. No puedo devolverlo porque lo necesito de manera urgente.</t>
  </si>
  <si>
    <t>BIEN, ALGO CARA FUNCIONA BIEN PERO LA ENCONTRE ALGO CARA PARA EL RENDIMIENTO QUE DA. LA APP PARA CONECTARLA A OTROS DISPOSITIVOS, COMO POR EJEMPLO AL TELEFONO MOVIL, ES UN POCO CONFUSA Y NO SIEMPRE CONECTA A LA PRIMERA.</t>
  </si>
  <si>
    <t>Muy buen reloj automático Excelente producto. Relación calidad-precio en cuanto a relojes automáticos es de lo mejor. El bisel gira de manera perfecta, con un traqueteo muy conseguido. La fecha se puede elegir entre dos idiomas: español/inglés. El movimiento automático del reloj, funciona a la perfección. La mecánica del reloj es visible desde la parte trasera del mismo. En general tiene una calidad percibida muy buena para un reloj de su precio. El único mejorable que destacaría, y por el que no pongo 5 estrellas, es que la corona no va roscada.</t>
  </si>
  <si>
    <t>Tamaño Para mi gusto es demasiado pequeña.</t>
  </si>
  <si>
    <t>Mal cierre Lo único malo que el cierre del reloj no cierra muy bien y arriesgas a que se pueda perder .</t>
  </si>
  <si>
    <t>Tallan pequeños Las devolví porque hay que pedir un número o medio número más por lo menos, por lo demás muy guapas, las volveré a comprar.</t>
  </si>
  <si>
    <t>Bien Tenia el explorer 500 y pedí este para tenerlo de repuesto y no hay mucha diferencia de sonido con el otro y a este le dura más la batería.  El explorer 500 valía casi el doble...</t>
  </si>
  <si>
    <t>Tapa perfectamente No he probado otras marcas, pero este liquido siempre me ha funciona perfectamente, por lo que repito con el. Llevo varios meses sin reponerlo y he comprado para no quedarme sin el. El formato ahorro de 1L merece la pena.</t>
  </si>
  <si>
    <t>fundas que no se ve el interior si buscas fundas que no sean transparentes, y que sean algo rigidas estas son perfectas. no se ve el interior y la calidad esta genial</t>
  </si>
  <si>
    <t>Color muy bonito me chiflan! son muy bonitos, iguales que en la foto. Los colores son preciosos. Buena calidad-precio no se puede pedir mas!</t>
  </si>
  <si>
    <t>Peso muy ligero Muy bien.Es un fantástico regalo</t>
  </si>
  <si>
    <t>Enchufar y listo Tenía ganas de tener un humificador y me decidí por este y de momento bastante contento con la compra.  Funcionamiento sencillo, tiene varias opciones, para que se apague en un momento determinado o sea continuo.  El aroma es correcto sin llegar a agobiar. Olor suave para habitaciones pequeñas. Si quieres perfumar una sala muy grande creo que este no es suficiente.  En resumen, más que contento con la compra.</t>
  </si>
  <si>
    <t>Buena sujeción y sonido Sin duda me han parecido los auriculares más cómodos que he comprado hasta ahora. La calidad de sonido es bueno, tiene en general buenos agudos y graves. Algo que odio de algunos auriculares esque se resbalan y finalmente se caen, con estos en cambio no, se quedan perfectamente adheridos. El estuche es pequeñito, perfecto para llevarlo en el bolsillo. La conexión es 5.0 y tiene una buena batería, hasta ahora no se me quedaron sin bateria al salir. Los controles táctiles permiten play/pausa, subir/bajar volumen, anterior/siguiente canción y creo que puedes rechazar llamadas y activar asistente. Muy contento con la compra, buenos calidad precio.</t>
  </si>
  <si>
    <t>Excelente Buen producto.</t>
  </si>
  <si>
    <t>Muy cómodos Los uso para salir a correr. Aguantan muy bien en la oreja, además viene con 3 diferentes medidas de cada pieza. Lleva una pinza que, se puede quitar, para aguantar el cable en la parte trasera de la camiseta. Es súper útil ya que así no se mueve nada. Suenan bastante bien. Estoy contenta.</t>
  </si>
  <si>
    <t>Muy buenos Ideal para cualquier tipo de sonido enchufalos y veras el resultado,para ordenadores ,Tables cine en casa mesa de mezclas.Jose Maria</t>
  </si>
  <si>
    <t>Comodisimo Super fit.</t>
  </si>
  <si>
    <t>Conchi Muy buena calidad de la sudadera y dan talla. Son amplias. Me han llegado el día previsto. Muy contenta con mi pedido</t>
  </si>
  <si>
    <t>Buenas zapatillas Bonitas, cómodas, económicas y siempre pedir una talla más a las tuyas</t>
  </si>
  <si>
    <t>Zapatillas muy cómodas. Las compre para mi hijo y esta muy cómodo con ellas por lo que volvo a comprar para tener unas por si en otra ocasión n las hay.  La talla que se usa habitualmente.</t>
  </si>
  <si>
    <t>Muy bueno Esta buenísimo, es muy fácil de usar y viend con instrucciones y un app. El material es firme y de buena calidad, lo he usado para la universidad sin ningún problema, ya intenté conectarlo a mi mac, a mi iphone y a los pc de la universidad. Hasta ahora muy buen producto.</t>
  </si>
  <si>
    <t>ANDIE Buscaba un manoslibres compatible con mi smartphone. Me decante por este por ser una marca mas o menos conocida, pues bien no puedo decir otra cosa que un acierto en toda regla. Se enciende y se enlaza con el movil en un segundo, se escucha a la perfeccion llamadas y musica del movil, pequeño y se ajusta bien a la oreja, la bateria dura mucho unas 6 horas aproximadamente, y no se cae como pasa con otros. La entrega es muy rapida y enseguida se pone en funcionamiento porque es muy rapido de entender el funcionamiento.  En mi caso mi es compatible con mi movil que es un Samsung galaxy s7.  Una buena compra sin lugar  a dudas.</t>
  </si>
  <si>
    <t>Funciona Muy práctico y fiable</t>
  </si>
  <si>
    <t>Me encanta No me lo quito.me encanta</t>
  </si>
  <si>
    <t>Robot aspirador Aspira bastante bien pero el mapa no lo hace bien, para hacer las zonas no hay forma de que haga las habitaciones separadas. Junta varias. La potencia de succión es inferior a la xiaomi</t>
  </si>
  <si>
    <t>Ok Son preciosas, el unico es que las mas pequeñas no son redonditas del todo. Pero por lo demás todo OK</t>
  </si>
  <si>
    <t>Talla equivocada Pedi una 43/44 y llegó una 41/42. ya no me daba tiempo a devolverlas y tenerlas a tiempo por lo que me las he quedado y he ido con chanclas pequeñas. Por lo demás según lo esperado</t>
  </si>
  <si>
    <t>Cutres Mañana calidad, malos acabados ,Se ven cutres . Pero para lo que costaron no se puede pedir más.</t>
  </si>
  <si>
    <t>Mala conexión Bluetooth El sonido es bueno. Lo que es nefasta es la conexión Bluetooth, que entrecorta las conversaciones aunque estés a centímetros del móvil.  Lástima porque son muy cómodos. Pero para las llamadas no van bien, así que los he devuelto. Probaré el modelo superior a ver si han solucionado ese fallo, porque por el resto la calidad no está nada mal.</t>
  </si>
  <si>
    <t>Buena compra Calienta el agua súper rápido y los indicadores de cantidad interiores son perfectos para no echar más agua de la deseada. Estéticamente es bonita y por ponerle un pero diré que al tacto una vez ha calentado el agua, el exterior si lo tocas está caliente pudiendo llegar a quemar. En resumen diré que lo recomiendo al 100%, y si enganchas una oferta flash como yo pues mejor aún.</t>
  </si>
  <si>
    <t>Cómodas y básicas Zapatillas cómodas y básicas para actividad deportiva del día a día.</t>
  </si>
  <si>
    <t>Realmente cómodas Muy cómodas y calientes. Quizá el único pero lo veo en que transpiran mas bien poco y que la plantilla interior tiene a moverse y salirse ya que van algo justas.</t>
  </si>
  <si>
    <t>De calidad y buen precio De buena calidad , por el precio de un par en cualquier tienda aqui tienes 8 pares diferentes llegan muy bien presentados en una caja bonita y empaquetados por parejas.</t>
  </si>
  <si>
    <t>practica y pequeña esta bien para uso de casa o poco uso es pequeña y no muy potente pero cumple perfectamente su cometido. pures,mahonesa,batidos...... pratica y comoda de usar un solo boton.</t>
  </si>
  <si>
    <t>Divertido Genial. El micro se escucha muy bien y la música suena como si fuera un altavoz normal. Viene perfecto para fiestas y montar un karaoke en muy poco tiempo. Se conecta por bloothoot y además, la batería es muy duradera.</t>
  </si>
  <si>
    <t>Mi marca favorita Super comodisimas y ligeras, es como estar en una nube. Las uso tanto en invierno como en primavera, me encantan son las terceras que compro.</t>
  </si>
  <si>
    <t>USB metálico diminuto con un gran precio Es mas pequeño de lo que me figuraba, que para unas cosas va muy bien y para otras no tanto, ideal para llevar en llavero, robusto por su carcasa metálica, y de momento muy bien, ya que he tenido muchos USB de muchas marcas y a la larga fallan, pero con este aun llevo poco tiempo, el único contra es que no lleva led de funcionamiento, pero en este tamaño y ya muchos modelos de USB, no lo llevan, que para mi es util para saber si esta leyendo o escribiendo, por lo demás calidad precio inmejorable. entrega super rápida, contento siempre con Amazon</t>
  </si>
  <si>
    <t>. Es elegante le gusto mucho</t>
  </si>
  <si>
    <t>La versión mini ASPECTOS POSITIVOS + Trae 2 botellas iguales portátiles. + El acabado y el diseño. + Bloqueo de seguridad. ASPECTOS NEGATIVOS - En los primeros usos desprende un poco de olor.</t>
  </si>
  <si>
    <t>Angel Gran reloj calida precio el color es precioso al ser un negro mate lo hace muy tactico , comodo y se ajusta perfectamente a la muñeca.</t>
  </si>
  <si>
    <t>Muy comodas Comodisimas y este modelo muy bien tallado.  Las uso para andar x ciudad y son estupendas. Para todas las estaciones, quizás en verano si te suda mucho el pie no transpire mucho, yo no sudo y no me las quito. Se ven muy bien. Recomendaría sin duda. Y a un precio invatible.</t>
  </si>
  <si>
    <t>Me encanta Para mí es uno de los más precisos de la marca, aún mayor que el de pincel, ya que puedes medir la cantidad de producto que aplicas y el lugar exacto donde hacerlo. El precio es bueno y la adhesión aún más.</t>
  </si>
  <si>
    <t>MUY LOGRADO Yo compré los colgantes y tanto las reliquias como el giratiempo muy chulos. Las reliquias me esperaba algo más grande pero tiene muy buen acabado y es consistente, quiero decir, que no es finito que se rompe. Muy contenta</t>
  </si>
  <si>
    <t>Pendientes originales De tamaño justo, son grandes pero no en exceso, ligeros, no pesan, lo colores son tal cual se ve en la foto. Muy contenta con la compra, son muy bonitos</t>
  </si>
  <si>
    <t>NO ME ARREPIENTO DE HABER HECHO ESTA COMPRA ATRASA 8 SEGUNDOS DIARIOS MAS O MENOS PERO ES LO NORMAL EN ESTES RELOJES  EL RESTO PERFECTO</t>
  </si>
  <si>
    <t>Excelente batidora Tras una semana de uso prácticamente diario, he de decir que estoy encantado con el producto Destaco:  - Facilidad de uso y modo automático - Potencia (pica bien hielo) - Facilidad de limpieza</t>
  </si>
  <si>
    <t>Ideal, y muy bien conseguida. Me ha gustado, mucho, el material, es bastante rígido, el tamaño, muy adecuado, caben 4 bolis, perfectamente.</t>
  </si>
  <si>
    <t>Esteticamente brutal Justo lo esperado, igual a las fotos, encaja con nuestra decoracion, aguanta unhas 4 horas con los 100 ml y con unas gotas de aceite ambienta una habitacion de unos 20 metros cuadrados perfectamente, la humedad ni se aprecia. Respecto a alergias.... De momento no apreciamos efectos positivos ni negativos</t>
  </si>
  <si>
    <t>Muy bien calidad/precio La verdad es que por el precio están muy bien.  Buen sonido y no me parece que sean  malas calidades los materiales del que está hecho.  No los he probado haciendo deporte,  no los puedo puntuar en ese sentido.  Yo tengo gafas y hay que colocarlo bien para que  no haga daño con las 2 cosas puestas, cosa que se hace sin problema.  Los recomiendo.</t>
  </si>
  <si>
    <t>Piel más hidratada y suave Llevo un mes usando el aceite en la cara, mañana y noche y ya me noto la cara mucho mejor, se me ha ido prácticamente la descamación de la barbilla y me la noto mucho más suave. El pelo también lo noto más suave y con mucho brillo. Se agradece además el mail de la empresa informando de los usos y forma de aplicación del producto</t>
  </si>
  <si>
    <t>Llegó de una pieza 24 días después Llego entero, de una pieza.. El producto es como se esperaba. Se recibió 24 días después de la compra, pero dentro del plazo prometido por el vendedor.</t>
  </si>
  <si>
    <t>se puede mejorar es una buena fórmula para poder hacer tes de especias pero sería maravilloso que se encajaría mejor cuando se cierra para no perder especias</t>
  </si>
  <si>
    <t>Excelente compra Me encantó entrega muy puntual y la verdad los materiales se ven de muy buena calidad y el tamaño con suficiente capacidad, una buena compra! Gracias superó mis expectativas!</t>
  </si>
  <si>
    <t>Decepcionante Algunas frecuencias bajas y medias se oyen con muy poca nitidez, lo que provoca un sonido sucio y desagradable. Me esperaba más calidad de un producto que supuestamente es de uso profesional. Algunas partes de cuerdas se oyen como si estuviesen detrás de una pared y los graves tienen mucha más presencia de la que me gustaría. Incluso en grabaciones de conversaciones se acentúan los graves del sonido ambiente de una manera muy desagradable. He tenido ocasión de compararlo con su hermano mayor, el K271, y este último proporciona un sonido mucho más limpio. Los he devuelto porque la experiencia ha sido muy decepcionante.</t>
  </si>
  <si>
    <t>Talla Bueno</t>
  </si>
  <si>
    <t>Descripcion del producto engañosa Acabo de recibir el reloj y ni tiene luz y la caja no es de acero inoxidable sino de carton... estoy decepcionada porque era para un regalo y regalar un reloj en caja de cartón como que no.</t>
  </si>
  <si>
    <t>Termine por no usarla No es práctica y no me gusta como quedan los batidos, con grumos y mal. Creo q mejor una batidora de vaso. Yo ni la uso. Una pena.</t>
  </si>
  <si>
    <t>Tallaje demasiado pequeño Igual que en la foto pero tallaje demasiado pequeño, pedi una m y parece una xs</t>
  </si>
  <si>
    <t>Calidad y muy buenas prestaciones Por poco más de 60 eur. es la mejor opción en SSD pci-e. Fiabilidad y prestaciones, 500 gb por lo mismo que me costó hace 1 año un SSD básico de 250gb</t>
  </si>
  <si>
    <t>Suena muy a Twin. Por el precio, el tamaño y la practicidad, nada que decir, muy bueno para practicar con auriculares. También puedes conectarlo a un altavoz autoamplificado. Tiene un sonido muy a Twin Reverb, con tres grados de saturación: limpio, overdrive bluesero y más overdrive (rock clásico, no metal), y tres efectos: off, reverb y una especie de reverb+chorus. Controles de volúmen, drive y tono en los cuales hay que tener buena vista para ver en qué numerito estás, por eso le quito una estrella. Lo volvería a comprar.</t>
  </si>
  <si>
    <t>Que es práctico Por el tamaño y para hacer música</t>
  </si>
  <si>
    <t>Myri He usado otras del mar muerto y èsta no se seca como las otras mascarillas, pero tiene un olor agradable y no deja mal la piel</t>
  </si>
  <si>
    <t>Lector de billetes falsos Fácil de usar y te ahorra más de un disgusto</t>
  </si>
  <si>
    <t>Muy bonita Todo tal cual la foto!!!!!</t>
  </si>
  <si>
    <t>Increibles Ligeras el unico fallo los cordones</t>
  </si>
  <si>
    <t>HOLA. LO HE TENIDO SIEMPRE DE PLÁSTICO Y ESTE DE METAL ES FANTÁSTICO. HOLA DE NUEVO, YA HE ROTO TRES MONEDEROS DE PLÁSTICO Y POR FIN, LO ENCUENTRO DE METAL. ADEMÁS EL PRECIO ES INSUPERABLE. OTRA COSA A MENCIONAR ES EL ENVÍO, FUE EN MENOS DE 48 HORAS. GRACIAS.</t>
  </si>
  <si>
    <t>Buena compra Comodas, y bonitas, tallan bien</t>
  </si>
  <si>
    <t>Jose Ángel El reloj funciona estupendamente y es exacto a la descripción del producto realizada. La correa es muy cómoda y se adapta perfectamente a los diferentes tamaños de muñecas por los multiples orificios que trae para aborcharla. Buen formato de pantalla, con los números digitales a un tamaño adecuado e iluminación de LED idónea. Las funciones son las descritas en el producto, destacando las 5 alarmas programables que creo que son muy útiles. Estoy 100% satisfecho.</t>
  </si>
  <si>
    <t>Muy elegante y vale perfectamente para sport y vestir bien Reloj elegante y llamativo, de color negro con detalles metalicos. Es de metal y goma. Me gusta mucho puesto y perfectamente puede servir para sport y para vestir. La correa es suave al tacto, no molesta. Tiene varias funciones, como la fecha con semanas y meses, día de la semana, luz LED, cronógrafo, cronometro, pantalla para marcar la hora digitalmente, sonido en las horas en punto, alarma, es resistente al agua.. En resumen, estoy muy contento con el reloj, ya que tiene muchas cosas útiles y en relación calidad precio está genial.</t>
  </si>
  <si>
    <t>Correcto Van geniales... mi salvación!!</t>
  </si>
  <si>
    <t>Es compatible con mi pulsera pandora Me ha gustado mucho, es lo que esperaba. Llego a tiempo, bien empacado.</t>
  </si>
  <si>
    <t>Una opción excelente si buscas unos auriculares bluetooth. Un gran producto, muy buena calidad de los materiales, la caja para guardarlos es un detalle muy a tener en cuenta para evitar la rotura de los auriculares. Los he utilizado para hacer deporte y en ningún momento se han modido de las orejas con el movimiento. Emparejamiento rapidísimo con Android y iOS no hay delay en ningún momento y la calidad del sonido resulta excelente. 10h de batería que le da una autonomía excelente sobre todo necesitando 1-2 h para cargarse. Sin duda una gran apuesta para los auriculares deportivos respaldada por una gran marca con un servicio postventa perfecto. Sin duda seguiré comprando productos de soundpeats.</t>
  </si>
  <si>
    <t>Muy guapos , y ligeros Son muy chulos , tal cual a la foto . Si que es verdad que pedimos una 43 y llego 44 menos mal por que le vienen bien .</t>
  </si>
  <si>
    <t>bonitos y de calidad Los auriculares vienen equipados dentro de una cajita translucida de plástico con varias medidas para el oído. Son cómodos y se ven de buena calidad. No tengo queja de ellos</t>
  </si>
  <si>
    <t>Perfecto. Me encantan estos biberones, y la tetina yo creo que es la mejor que hay.</t>
  </si>
  <si>
    <t>Elasticidad La tela de este pantalón corto es lo mejor que tiene porque es muy elástica y parece ser resistente a todo tipo de tiburones además de que tiene unos bolsillos muy estratégicos en la parte delantera. Sin lugar a duda los volvería a comprar.</t>
  </si>
  <si>
    <t>Realmente funciona Funciona muy bien con relojes de pantalla de plástico, repare un reloj automatico de cerca de 20 años, ha quedado la pantalla brillante como nuevo</t>
  </si>
  <si>
    <t>Ya las conocía. Bien. Me gustan las botas. Tengo otras de otro color y estas parecen más rígidas. Pero todo satisfactorio.</t>
  </si>
  <si>
    <t>Buenos zapatos Solo quería ratificar la mayoría de las opiniones acerca de estos zapatos,  muy cómodos (esencial para unos trabajos de a diario), en este sentido todo un acierto su suela de goma EVA dando la impresión de ir en zapatillas deportivas (también ayudan a aislar del frío, importante para mi dado que trabajo en unas oficinas sin parqué), plantilla anatómica, muy ligeros y después de mas de un año de uso siguen casi como el primer día, por lo que entiendo que están fabricados con materiales de buena calidad. Mi positivo para Clarks, los tendré en cuenta para próximas compras.</t>
  </si>
  <si>
    <t>Perfecto Corresponde con la descripcion, la talla perfecta.</t>
  </si>
  <si>
    <t>Era demasiado grande La verdad es que posiblemente tenia que haberlo previsto, pues tiene una capacidad de 2,2 litros pero no esperaba que fuera tan grande. Lo tuve que devolver.</t>
  </si>
  <si>
    <t>Ausencia casi total de graves Desde un punto de vista técnico y funcional son óptimos, el emparejamiento con otros dispositivos es intuitivo y casi automático, el uso es comodo y seguro siendo muy dificil que se suelten. El sonido es otra cosa, es muy nítido en las frecuencias medias, en las altas no es brillante pero es acepatable, en las bajas simplemente carece practicante de ellas, cualquier auricular in ear de cable que venga con moviles de gama media supera la calidad de sonido de las frecuencias bajas o graves con creces</t>
  </si>
  <si>
    <t>Miniland Mantiene muy bien el calor. Se suele salir algo de agua a pesar de estar bien cerrado.</t>
  </si>
  <si>
    <t>Escucha flojo y se caee Se escuchan muy flojo y se caen</t>
  </si>
  <si>
    <t>Decepcion Llevo utilizando HD de esta marca desde que tengo uso de razon pero con esta compra he quedado totalmente decepcionada , despues de 2 meses de uso ya me esta dando problemas como : relentizaciones en la transferencia de archivos y el molesto ruido mecanico que siempre avecina una rotura del disco . He de decir que el disco solo lo utilizo para tener un backup  , le he dado muy poco uso para tener esos problemas. Es por eso por lo que estoy totalmente decepcionada y procedere a la devolución del producto.</t>
  </si>
  <si>
    <t>Raya el vidrio Lo use para pulir el vidrio de un reloj, con un paño de algodon y agua, tiene piedrecitas que rayan el vidrio, no hay manera de pulir porque no esta bien molido el polvo y esas particulas producen rayas.</t>
  </si>
  <si>
    <t>Brujita Quedan preciosos.</t>
  </si>
  <si>
    <t>Buena relación calidad precio Se le da mucho uso y aún así sigue como el primer día.</t>
  </si>
  <si>
    <t>El tallaje es algo pequeño Mi talla en este tipo de calzado en un 46 y es el que pedí. Cuando me llegaron, al probármelas con un calcetín normal me estaban superjustas de longitud. Solicité el cambio por otras de talla 46,5. Estas ya me están bastante mejor aunque mejor hubiera sido unas de talla 47.</t>
  </si>
  <si>
    <t>Buena relación calidad precio Producto correcto. Buen material</t>
  </si>
  <si>
    <t>La rapidez Ok</t>
  </si>
  <si>
    <t>Buena calidad y acabados Buena calidad y entra más de lo que parece. Quizás el color tendria que ser más fidedigno en las fotos. Igual cumple mis expectativas.</t>
  </si>
  <si>
    <t>Muy bueno Muy buena compra. Mi hijo se adapto perfectamente a este tipo de tetina. Resistente y muy seguro. Muy contenta con la compra.</t>
  </si>
  <si>
    <t>funciona bien calienta rapido, va bien para dolor de cuello ,parece que es buen material y duradero.</t>
  </si>
  <si>
    <t>Perfecto. Un buen pack económico para satisfacer las necesidades de un bebé. Entre los biberones de la guardería, los de reserva del carro y los de casa estoy usando cada día casi todos los del pack. Buena calidad.</t>
  </si>
  <si>
    <t>Biberones ergonómicos Me encantaron. Mi primer hijo los probó y aprobó, entre otras formas de tetina, los eligió, y los compré para mi segundo hijo, que aunque no quiso ni probar la leche de biberón ni los chupetes, recomiendo Tommie Tippie.</t>
  </si>
  <si>
    <t>De primera La serie Samsung PRO es símbolo de garantía y fiabilidad. Instalado a la primera en mi placa base, sin ningún tipo de problemas. Por el momento, funcionamiento perfecto. Lo uso para la carga de videojuegos de mucho peso (Witcher 3, Battlefield I, Call od Futy WWII, PUBG, etc.). Bajo mi punto de vista, altamente recomendable, especialmente, por el añadido del software Samsung Magician, que está muy bien desarrollado y ofrece muchas posibilidades para mantener y optimizar tu unidad.</t>
  </si>
  <si>
    <t>Cortadora de papel Una cortadora de papel precisa y simple que no ocupa mucho espacio. Según sus especificaciones puede cortar hasta 12 hojas de 80gramos. Yo lo he utilizado con papeles normales y alguna cartulina y todo bien. Tiene guias de corte y la cuchilla se le puede cambiar, en la parte de abajo tiene unas gomas para que no se mueva realizando el corte.</t>
  </si>
  <si>
    <t>Rayen Mery Funciona bien y ahorra esfuerzas.</t>
  </si>
  <si>
    <t>Brutales Los mejores auriculares con cable que he tenido nunca. Calidad de sonido, aislamiento, materiales, varias tallas de almohadillas y una bolsita con cierre de cuerda para llevarlos guardados. Simplemente los mejores con cable que he tenido hasta la fecha (y no han sido pocos).</t>
  </si>
  <si>
    <t>Buen juguete Super divertido!</t>
  </si>
  <si>
    <t>Exquisito y duradero Muy  buena calidad y consistencia, lo cogi para mi humificador que dura 8hras encendido y mantiene sus aromas desde el minuto uno hasta el último,con 5 gotitas para 200ml de agua son suficientes para perfumar todo el ambiente a limón,me encanta!!!</t>
  </si>
  <si>
    <t>Buena inversión Tenía los QC25 que también son una maravilla en cuanto a calidad y reducción de ruido. La batería dura muchísimo y además el bluetooth se puede conectar al menos a 2 equipos a la vez por lo que no necesito tener que andar apagando el bluetooth del móvil si lo quiero usar con el ordenador o la tablet. Los uso mucho para viajar en avión y son una pasada. Es una inversión que merece la pena.</t>
  </si>
  <si>
    <t>Su relación precio/calidad es buena. En general este producto está bien.</t>
  </si>
  <si>
    <t>Los 10 años de batería y sumergible 100 metros Estoy bastante contento con el lo único que como lo uso para trabajar ya lo arañe un poco pero por lo demás todo bien</t>
  </si>
  <si>
    <t>La mejor al mejor precio Son las mismas que en cualquier tienda pero más  baratas.</t>
  </si>
  <si>
    <t>Perfectas Quedan genial!</t>
  </si>
  <si>
    <t>suenas geniales con retraso, pero lo he recibido, están geniales y suenan muy bien</t>
  </si>
  <si>
    <t>Bonito y funcional. Es un reloj muy bueno, tiene muchas funciones, lo único malo es que no se puede sumergir en el agua por lo demás el mejor reloj que me he comprado hasta el momento.</t>
  </si>
  <si>
    <t>Las instrucciones no están en español Está bien, pero no entiendo que las instrucciones no vengan en español</t>
  </si>
  <si>
    <t>No tiene tan buena calidad No tritura todo demasiado bien</t>
  </si>
  <si>
    <t>El problema de siempre Aunque considero que la calidad de sonido es aceptable con este método, sigue sin corregir el error insalvable del crosstalk: la señal se cuela por el circuito provocando realimentaciones no deseadas y haciéndolo inservible a altos niveles de ganancia si lo usamos con auriculares (que va a ser lo habitual). Tras tropezar dos veces con la misma piedra, lo siento pero me tiro a los interfaces USB.</t>
  </si>
  <si>
    <t>No puedo opinar No puedo opinar. Lo tuve que devolver porque venía mal; no me lo reconocía ningún sistema operativo (windows, linus, IOS) y, por supuesto, tampoco me lo reconocía el NAS. Pudo ser un golpe en el transporte; los de Correos no destacan precisamente por ser los más cuidadosos.</t>
  </si>
  <si>
    <t>Auriculares nefastos La calidad de los auriculares es malísima. En menos de un mes uno de los auriculares no iba y al poco dejó de funcionar el otro. El vendedor dijo que mandaría otro pero han pasado más de tres meses y nada. No recomiendo para nada este vendedor.</t>
  </si>
  <si>
    <t>Cumple con su cometido perfectamente Imagi'ne que sería un velcro de peor calidad pero no, funciona perfectamente, en algunos cables lo uso a diario para enrollar y desenrollar y la verdad es que no pierde agarre, cierto es que a veces me viene un tanto corto pero gracias a la hebilla agujereada, se puede empalmar otro velcro sin problemas  Un saludo!!!</t>
  </si>
  <si>
    <t>Super Contento</t>
  </si>
  <si>
    <t>Perfectos Funciona perfectamente, llevo un mes con ellos y no me han dado ningún problema, los uso diariamente.</t>
  </si>
  <si>
    <t>Cumple para el precio No parecen de muy buena calidad, pero no pesan mucho y el tallaje es bueno.</t>
  </si>
  <si>
    <t>Buen producto Lo que esperaba, el envio muy rapido y el articulo muy valido para organizar los cables. To he utilizado para el cable de la tele... que tenianun desorden. Lo malo que hay que tener paciencia para hacer el trenzado. Pero si no, todo ok</t>
  </si>
  <si>
    <t>Muy bonita Muy bonita , mucho mejor de lo q me esperaba. Espero q sea así con el paso del tiempo y que no se ponga fea</t>
  </si>
  <si>
    <t>Biberón evolutivo y termo Biberón de aluminio con diferentes boquillas según la evolución del niño. La boquilla de biberón es de silicona y también trae la boquilla de pajita de silicona o tapadera normal. Se puede utilizar de termo,para mantener caliente por ejemplo la leche del biberón o también para el agua. Tiene. Una capacidad de 180 ml.</t>
  </si>
  <si>
    <t>INCREÍBLE Me encanta todo, lleva hasta garantía, es súper bonito. Lo uso para todo y es increíble. Se puede mejor pero no mucho tiempo. Os lo recomiendo</t>
  </si>
  <si>
    <t>Muy buena compra Muy buen sonido, buena conexión. Buena compra, para el colegio. Para las fiestas escolares, para poner música durante el recreo.... Transporte rápido y seguro.</t>
  </si>
  <si>
    <t>Perfecto Es el más barato pero va perfecto. Tiene un buen tamaño, se acopla al bien al soporte, en mi caso, al Andoer, y me llegó relativamente rápido (creo que de Bélgica)</t>
  </si>
  <si>
    <t>La talla es muy justa Yo calzo un 42 y pedí la 42/43 de talla Brasil y el talón se queda un poco fuera</t>
  </si>
  <si>
    <t>BUENAS SENSACIONES EN EL PRIMER USO LAS SENSACIONES HAN SIDO MUY POSITIVAS. COMODAS Y CON UNA MUY BUENA RIGIDEZ. ESPEREMOS QUE LA DURABILIDAD RESPONDA A LO ESPERADO. SI CUMPLE TODAS LAS EXPECTATIVAS, IMBATIBLE RELACION CALIDAD/PRECIO.</t>
  </si>
  <si>
    <t>Jordi Perfecto!! Cumple perfectamente con su función. He arreglado ya tres pinchazos por clavos y es muy sencillo de reparar, lo que aconsejo lógicamente es un compresor para hinflar posteriormente</t>
  </si>
  <si>
    <t>Perfectos Calidad-precio, bajos buenos, y buena definición de los sonidos. Por ponerle una pega en la diadema se clavan un poco, por lo demás pefecto. Además tiene una función con la Asistente de google, que pulsando el boton de encendido dos veces seguidas puedes decir comandos. Muy útil.</t>
  </si>
  <si>
    <t>Cable de buena calidad Un buen cable que funciona perfectamente. Recomendable.</t>
  </si>
  <si>
    <t>Grapas Grapas. Nada mas se puede decir.</t>
  </si>
  <si>
    <t>La batería dura muchísimo Aunque he destacado en el título la batería, he de decir que dura muchísimo porq me los lleve de finde y los utilice muchísimo, se me olvido la cajita que es donde se guardan y cargan automáticamente y no se acabo la batería e incluso al ponerlos le quedaba aún bastante y fue una grata sorpresa, se adaptan muy bien y la calidad de sonido es bastante buena y a un precio absequible. Viene aparte de estar en su cajita una bolsita como se ve en la foto para guardarlos aún mejor, su cable de carga y otras almohadillas</t>
  </si>
  <si>
    <t>Relación calidad precio inmejorable. Los auriculares vienen muy bien embalados en su caja precintada. En el interior protegida por una bolsa se encuentra los auriculares. En una bolsa aparte el cable para cargar tipo micro USB y cable con doble clavija Jack. Se escuchan muy bien y tiene una buena autonomía. Hoy lo he probado conectándolo al PC para una conversación por Skype y van muy bien. La almohadillas son grandes  y no hacen presión sobre las orejas evitando que te hagan  daño. Un buen producto a un precio aún mejor. Lo recomiendo</t>
  </si>
  <si>
    <t>bueno y bonito cumple con lo indicado, buen precio</t>
  </si>
  <si>
    <t>Pack de aceites esenciales virgenes Me encanta lo fácil que es de reponer en el humidificador. Vienen 6 botes diferentes, entre los cuales te encuentras Mentha, Clavero, Lavanda, Mano de buda y Franquincienso. A mi el que mas me gusta es el de lavanda, oculta los olores y además cuando te lo pones antes de dormir te ayuda a relajarte un montón.</t>
  </si>
  <si>
    <t>Muy buenos Fácil de conectar y estupendo para tener conectados los cables.</t>
  </si>
  <si>
    <t>Buena compra Calientes y comodas</t>
  </si>
  <si>
    <t>Está muy bien La compré para mi hijo y hasta ahora cumple bien con las especificaciones, sin problemas de manchas ni tener que hacer nada especial para quitar  la escritura, solo con un simple paño, usándola con rotuladores bic velleda negros.</t>
  </si>
  <si>
    <t>Precio calidad muy buenos. Suenan muy bien. Echaba de menos un sonido tan bueno. Después de usar varios sin cables la calidad del sonido no tiene nada que ver con esto. Impresionante. Además aíslan muy bien del sonido de la calle. Viene sin control de volumen bien micro por eso vale quizás a ese precio. Pero de verdad suenan muy bien. Los bajos molan mucho. Yo que escucho mucha música electrónica se agradece pero ahora mismo estoy escuchando a los korn y esos bajos se agradecen mucho. Muy contentos.</t>
  </si>
  <si>
    <t>Buen precio. Demasiados bajos. En principio me gustan los bajos, pero en estos auriculares tienen demasiada presencia, "comiéndose" un poco los medios y agudos. Por lo demás, bien, tienen buen precio, son bonitos, me parecen cómodos y son plegables (para quién le interese).</t>
  </si>
  <si>
    <t>Bien Bonito diseño  material del cabuchón no es lo que esperaba pero por ese precio no se puede pedir más</t>
  </si>
  <si>
    <t>Validis Me ha gustado el precio y la rapidez en el envío</t>
  </si>
  <si>
    <t>Mala experiencia con la marca WD Tal y como indico en la cabecera del comentario, tuve una mala experiencia con este disco duro en particular.  Compré este disco duro por su precio y por el respaldo de una marca conocida. No incorpora ningún programa para clonar otro disco duro en este, aun así, siempre encuentras un programa u otro para este fin. Por otra parte, al volcar todos mis datos en el disco duro, al cabo de 3 días el disco duro no arranca. El ordenador se enciende, pero el SO va muy lento.  Esta operación me pasó con dos discos duros iguales de esta marca.  Probé con un Seagate de la misma capacidad y precio y todo excelente.</t>
  </si>
  <si>
    <t>horrible No se lo recomiendo a nadie, suena a cascado y venía sin micros ni mando. Fabricado en China, Calidad China.</t>
  </si>
  <si>
    <t>Cumple lo descrito Esta bien y cumple su función. Echo de menos una pestaña para llevarlo en el bolso de la americana y que no se mueva dentro del bolso.</t>
  </si>
  <si>
    <t>entrega rapido facil de manejar</t>
  </si>
  <si>
    <t>Buen Reloj parlante Cumple su función, lo usa una persona mayor que está mal de la vista y cumple perfectamente, lo peor es ponerlo en hora</t>
  </si>
  <si>
    <t>Precio ok Por el precio bien se transparenta bastante</t>
  </si>
  <si>
    <t>Si pero no Por lo que costaba esperaba que la parte dorada fuera metálica y sin embargo es de plástico, sigue dando el pego pero no es lo mismo. Lo bueno de este Casio con estos colores es que no lo tiene nadie más y me gusta bastante como queda.</t>
  </si>
  <si>
    <t>Genial Genial. Huelen muy bien y me llegaron perfectas.</t>
  </si>
  <si>
    <t>Relación calidad precio Suena bien, la batería aguanta bastante bien. Cómodo y aún no me he caído en el gimnasio. Por el precio son geniales. Compré estos habiendo comprado los auriculares y nuevamente, por el precio he estado muy contento</t>
  </si>
  <si>
    <t>Muy bien Perfecta como siempre. De las mejores marcas de electrodomésticos pequeños</t>
  </si>
  <si>
    <t>Encantado Como el que tenían mis padres! El de toda la vida, pero más moderno. Tacto super agradable</t>
  </si>
  <si>
    <t>Fantásticos de momento Después de devolver unos del LIDL que valian 5 veces menos pero tenian el forro extraible el cual se me salia cada vez que sacaba el pie me decidí por estos y son muy muy cómodos y como el forro va cosido pues sin problema. Si el forro no se rompe antes de dos o tres años (no los llevo todo el dia, solo un rato) habré pagado lo que valen. Si se rompe antes habrán salido caros.</t>
  </si>
  <si>
    <t>Funcionan y quedan muy nitidas Son tan buenas como outras de marcas mas famosas.</t>
  </si>
  <si>
    <t>Cristina Jiménez Morcillo Excelente regla para patronaje en la costura...y para aumentar y disminuir las tallas Muy contenta con la compra Satisfecha gracias</t>
  </si>
  <si>
    <t>Perfecto Tenía dudas a la hora de la talla pero me quedan perfectas</t>
  </si>
  <si>
    <t>Óptimas Muy buena relación precio/calidad. Son cómodas, aunque un poco calurosas. También son un poco mas grandes que otros zapatos de seguridad de la misma talla.</t>
  </si>
  <si>
    <t>Muy útil. Tenía un par de herramientas de jardinería sucias y las he abrillantado con este ácido cítrico. Es un buen remedio casero para estos casos, en mi familia lo hemos usado desde hace mucho tiempo.</t>
  </si>
  <si>
    <t>Muy comodas Muy cómodas, y muy bonitas Mismo color que en la Foto. Ideal para estar muchas horas de pie, se nota que el pie descansa mucho más. Las Recomiendo.</t>
  </si>
  <si>
    <t>El complemento perfecto para mi habitación &lt;div id="video-block-RSAHVMHNOC8HD" class="a-section a-spacing-small a-spacing-top-mini video-block"&gt;&lt;div tabindex="0" class="airy airy-svg vmin-unsupported airy-skin-beacon" style="background-color: rgb(0, 0, 0); position: relative; width: 100%; height: 100%; font-size: 0px; overflow: hidden; outline: none;"&gt;&lt;div class="airy-renderer-container" style="position: relative; height: 100%; width: 100%;"&gt;&lt;video id="59" preload="auto" src="https://images-eu.ssl-images-amazon.com/images/I/91Sj9nL6R-S.mp4" style="position: absolute; left: 0px; top: 0px; overflow: hidden; height: 1px; width: 1px;"&gt;&lt;/video&gt;&lt;/div&gt;&lt;div id="airy-slate-preload" style="background-color: rgb(0, 0, 0); background-image: url(&amp;quot;https://images-eu.ssl-images-amazon.com/images/I/71S5TqcSxbS.png&amp;quot;);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center;"&gt;0:00&lt;/div&gt;&lt;div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value="https://images-eu.ssl-images-amazon.com/images/I/91Sj9nL6R-S.mp4" class="video-url"&gt;&lt;input type="hidden" name="" value="https://images-eu.ssl-images-amazon.com/images/I/71S5TqcSxbS.png" class="video-slate-img-url"&gt;&amp;nbsp;La verdad es que me sorprendió para bien, buen producto súper silencioso y de fácil uso, el mando a distancia es un puñetazo y que puedes ponerlo en funcionamiento desde el mismo sofá dando un bonito aroma a la estancia con un solo click. El toque del cambio de color(también puedes dejar uno fijo) es algo que me gusta para mi cuarto gamer por los led, muy recomendable la verdad</t>
  </si>
  <si>
    <t>Que me han llegado en buen estado. Son muy bonitos, pero para mí gusto, pequeños..</t>
  </si>
  <si>
    <t>Confort Bonitas,cómodas y ligeras</t>
  </si>
  <si>
    <t>el ajuste perfecto Calzo una 43,esa pedí y me quedan como un guante.Zapato robusto también.Me llegaron casi una semana antes de lo que me habían dicho.</t>
  </si>
  <si>
    <t>Perfecto!! Es precioso. Me encanta. Tal cual se ve en las fotos!!!! Me encanta!!! Muy contenta con la compra. Gracias!!!!</t>
  </si>
  <si>
    <t>Buen sonido Probado en Ibanez srx350 da una calidad de graves aceptable,</t>
  </si>
  <si>
    <t>Comodos Cómodos y bonitod</t>
  </si>
  <si>
    <t>Muy elegantes Bonitos aunque más pequeños de lo esperado.para regalo</t>
  </si>
  <si>
    <t>incompleto No lo pude usar porque no me entraba en el móvil. No pude apreciar bien la descripción del producto</t>
  </si>
  <si>
    <t>no limpia no limpia el cuero solo da brillo</t>
  </si>
  <si>
    <t>No se si fue está la que compre No se si  está  bandolera fue  la que compre</t>
  </si>
  <si>
    <t>No me acaba de convencer Aunque aumentó la velocidad de mi portátil no me acaba de convencer, aveces hace cosas raras y se bloquea unos 40 segundos hasta que vuelve a arrancar.</t>
  </si>
  <si>
    <t>Confortable Calor perfecto suave para las noches de invierno</t>
  </si>
  <si>
    <t>Muy práctico. Bolso muy práctico para cuando vas de Sport tiene un tamaño pequeño pero con mucha capacidad,tiene 4 bolsillos exteriores y uno interior permite llevar todo muy ordenado.Estoy encantada con mi compra.</t>
  </si>
  <si>
    <t>Javier GC Correcto,  correcto y correcto. Ok ok ok ok ok ok ok ok ok ok ok ok ok ok ok....ok perfecto</t>
  </si>
  <si>
    <t>Buen humificador &lt;div id="video-block-R32FUZ1S4QRJEE" class="a-section a-spacing-small a-spacing-top-mini video-block"&gt;&lt;div tabindex="0" class="airy airy-svg vmin-supported airy-skin-beacon" style="background-color: rgb(0, 0, 0); position: relative; width: 100%; height: 100%; font-size: 0px; overflow: hidden; outline: none;"&gt;&lt;div class="airy-renderer-container" style="position: relative; height: 100%; width: 100%;"&gt;&lt;video id="23" preload="auto" src="https://images-eu.ssl-images-amazon.com/images/I/B1FM8pPI+QS.mp4" style="position: absolute; left: 0px; top: 0px; overflow: hidden; height: 1px; width: 1px;"&gt;&lt;/video&gt;&lt;/div&gt;&lt;div id="airy-slate-preload" style="background-color: rgb(0, 0, 0); background-image: url(&amp;quot;https://images-eu.ssl-images-amazon.com/images/I/81hRDIT+MpS.png&amp;quot;);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center;"&gt;0:00&lt;/div&gt;&lt;div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value="https://images-eu.ssl-images-amazon.com/images/I/B1FM8pPI+QS.mp4" class="video-url"&gt;&lt;input type="hidden" name="" value="https://images-eu.ssl-images-amazon.com/images/I/81hRDIT+MpS.png" class="video-slate-img-url"&gt;&amp;nbsp;Buen humificador para que la casa huela bien. Silencioso i de capacidad, convina las fragancias para que huela como mas te guste. Muy satisfecho i con el mando muy comodo.</t>
  </si>
  <si>
    <t>Buen sonido La base de carga tiene mucha autonomía. Tienen buena calidad de sonido. Al principio te tienes que acostumbrar a ponerlos, pero una vez que te acostumbras sin problema.</t>
  </si>
  <si>
    <t>Gran producto y calidad. Tal cual se ve en las fotos. Muy buena calidad de producción y de materiales. Gran marca de prendas interiores.</t>
  </si>
  <si>
    <t>Reloj de calidad y superligero Reloj práctico y muy cómodo. No pesa nada, tiene varias funciones y se ve perfectamente en la oscuridad. Para el diario es muy buena opción incluso para cuando vas más arreglado.</t>
  </si>
  <si>
    <t>Calidad y comodidad ¡Perfectas y muy calentitas!</t>
  </si>
  <si>
    <t>Increible la calidad Increible la calidad por el precio</t>
  </si>
  <si>
    <t>Buenos cascos Están muy bien en relación calidad precio, suenan genial, no tengo ninguna queja y bastante alto, en breve me quedo sordo, son cómodos, y la batería dura bastante, los pongo a cargar cuando me acuerdo y no me suelo quedar sin batería, la única "pega" que le pondría es que como los uso mucho, para el gym, trabajando, etc no tienen pinta de ser demasiado resistentes y posiblemente me duren menos de lo que durarían, pero eso es en mi caso personal. La verdad que es una gran comodidad estar sin cables y funcionan a bastante distancia del dispositivo al que esta conectado. Los recomiendo.</t>
  </si>
  <si>
    <t>La calidad y el precio La rapidez del proceso</t>
  </si>
  <si>
    <t>Un buen producto y con la calidad esperable Es justo lo que buscaba y va perfecto</t>
  </si>
  <si>
    <t>Sonido potente y equilibrado para dispositivos portátiles y buen ajuste en la oreja Justo lo que esperaba de esta marca y por ese rango de precios. Estoy acostumbrado a unos Sennheiser de estudio y no me conformo con cualquier cosa. Estos MX 365 ofrecen un sonido limpio, sin agudos estridentes y con buena presencia de graves. Respecto a estos últimos, claro está, no esperéis la misma respuesta que en unos cascos de diadema estándar de 25-30 euros, pero acostumbro a escuchar música electrónica y los bombos y bajos están bien presentes y sin distorsiones. Lógicamente, los graves también se pierden un poco en entornos con tráfico o viento.  Los recomiendo sobre todo para mp3 y móviles, que es para lo que están pensados. Conectados a la salida de audio de un ordenador de sobremesa, por ejemplo, el sonido se aprecia más débil que en los dispositivos portátiles mencionados.  El ajuste en la oreja es bastante bueno. Los he usado para correr y, con las almohadillas colocadas, no se mueven ni un milímetro. Tampoco transmiten ruidos ni vibraciones de componentes internos, como algunos usuarios señalan en los Sennheiser MX 170. El codo final de la clavija lo veo un poco fino, aunque parece resistente. El par de almohadillas incluido es también fino y, si no se quitan los auriculares con cuidado, pueden caerse. Por estos motivos, recomiendo comprar almohadillas de repuesto (compré un lote de 30 por 0,90€).  En resumen, perfectos en relación calidad-precio.</t>
  </si>
  <si>
    <t>La comodidad. Son muy cómodas!</t>
  </si>
  <si>
    <t>Mejor de lo esperado Mucho mejor de lo que me esperaba. Silencioso, y muy efectivo. Tengo una consulta de masaje y lo utilizo 10 minutos antes de cada masaje. Antes tenia uno que me costó 150 euros y se quemo. Tengo claro que si este se quema me compro otro igual. Estoy muy satisfecho.</t>
  </si>
  <si>
    <t>Bonito y recistente Muy bonito y muy recistente tube que devolver el vape pero el estuche me encanto,</t>
  </si>
  <si>
    <t>Perfectas Son muy cómodas. El embio muy rápido y son resistentes todo tipo de líquido</t>
  </si>
  <si>
    <t>LA ALEGRIA DE MI BEBA Mi beba tiene 5 meses y me tocaba incorporme a trabajar estaba solo con lactancia materna exclusiva estuve una semana intentando que cogiese biberon pero de una marca que utilise cuandi nacio que no conocia aun mi pezon (4 dias hasta que me subio la leche) y queeeeva ya esa tetina no le gustaba lloraba mucho su pediatra me recomendo esta marca y fue uman asierto total a la primera y con dos o tres tomas toma su biberon apacionadamente .LO RECOMIENDO</t>
  </si>
  <si>
    <t>Joma Todos los productos en perfecto estado han tiempo y son muy cómodos. Sí mides 180 o más tienes que comprar la talla XXL en adelante para que te quede perfecto porque</t>
  </si>
  <si>
    <t>Perfecto Lo uso a diario y va perfecto</t>
  </si>
  <si>
    <t>Bien presentados y con muy buen aroma Las compré para el humidificador y dejan muy buen olorcito en la habitación echando unas 3 gotitas por cada 100ml es suficiente. Hay 3 de aroma suave y otros 3 de aroma bastante intenso; los 6 botes vienen en una cajita muy bien presentadas y tienen un tamaño considerable.</t>
  </si>
  <si>
    <t>Grapas de Alta Calidad No se oxidan. Llevo varias cajas compradas y desde luego no hay problema con las grapadoras. No se atasca y el resultado es firme.</t>
  </si>
  <si>
    <t>Simplemente excelente!!! Es uno de estos artículos que en el apartado relación calidad-precio es insuperable. Difícilmente se puede creer que por poco mas de 25€ consigues unos auriculares bien hechas en cuanto a los materiales, sonido sobresaliente (Siempre teniendo en cuenta el precio), bluetooth, manos libres, super cómodos y con una batería interminable. Vamos.., a ese precio.., imposible! El primer había comprado para mi hijo. Me llego hoy y después de probar no dude en pedir otro para mi. He tenido muchos..., el actual que usaba era un JBL C45BT (Me costaron 69€). Pues prefiero Mpow H7, sin duda!</t>
  </si>
  <si>
    <t>Decepcionada La pedí pensando que me iba a ser útil y me he decepcionado un poco, porque pensé que daría más calor. Coge hasta una temperatura pero no veo que caliente mucho, será que estoy acostumbrada a un saco que tengo que calientas en el microondas, que coge más temperatura y además repartido por todo el saco. Y en ésta almohadilla, lo coge por algunas zonas y muy bajo, aún poniéndolo al máximo.</t>
  </si>
  <si>
    <t>No dura el olor en el difusor Yo sinceramente los compre para difusor y en los primeros 5-10 min huele bastante pero luego ya no... pone que con 5 gotas vale pero yo le hecho 15 por lo menos.... y no dura el olor y como no me lo aplico en el cuerpo no se si hidrata o no....</t>
  </si>
  <si>
    <t>Hasta que dejó de funcionar Funcionó muy bien un mes; después dejó de funcionar, sin más. Ni el usb, ni cambiando pilas... nada. Está conectado y encendido pero ya no funciona. No hace nada. Hasta que dejó de funcionar era perfecto. Se cogía bien, funcionaba a bastante distancia, muy práctico para las presentaciones... una pena que solo aguantara un mes!!!!</t>
  </si>
  <si>
    <t>Fallos en la rueda de ajuste La rueda de ajuste (que es lo más importante de este artículo) falla de manera habitual y hace difícil la sujeción del compás.</t>
  </si>
  <si>
    <t>Un poco endeble pero bien de precio. Lo veo un poco endeble, al menos los conectores aunque por el precio que tiene no se le puede pedir más.</t>
  </si>
  <si>
    <t>Cumplen su función Me han parecido un medio perfecto para estar conectado con los cascos al ordenador, de momento no me han dado ningun fallo</t>
  </si>
  <si>
    <t>Lo mejor que te puedes conseguir a ese precio Son unos auriculares muy buenos para el precio que tienen, su caja es muy práctica y pequeña, pero me costaba sacarlos de su base magnética y pulsaba el botón son querer, también al ponerlos en los oídos, y querer ajustarlos más al fondo, aprietas el botón de apagar. aún así son muy buenos.</t>
  </si>
  <si>
    <t>Expectativas cumplidas Buen producto. Buen diseño. Cómodo.</t>
  </si>
  <si>
    <t>Muy recomendabiles Por el prieço son dos mejores phines del mercado! Excelentes! Los recomiendo! No isolan el ruído, talvez la único falha!!</t>
  </si>
  <si>
    <t>Perfecto Muy bien</t>
  </si>
  <si>
    <t>Perfectos Son unos auriculares muy discretos, los he usado mientras hacía deporte y no parece ni que los llevaras puestos. El diseño y la caja de carga son muy elegantes.</t>
  </si>
  <si>
    <t>Regalo acertado Lo compré para hacer un regalo. La persona destinataria quedó encantanda tanto por el diseño de la joya como por la presentación del producto, y después de usarlo dos semanas, prácticamente todos los días, no ha tenido ningún tipo de alergia, no ha oscurecido la cadena, y las piedras continúan con el mismo brillo. Por todo ello, le doy la máxima puntuación pero he de reconocer que, personalmente, pensé que era de un poquito más grande.</t>
  </si>
  <si>
    <t>Excelente estudio fotográfico Es un buen estudio fotográfico por un pequeño precio, perfecto para artículos o si tienes una página web subir las fotos de productos etc. Viene con varios fondos intercambiamles y las lámparas son muy buenas. Estoy encantado con el producto.</t>
  </si>
  <si>
    <t>Sorprendido Calidad, Acabados y tamaño. Lo compré para el lóbulo y simplemente es perfecto. Yo es lo que buscaba.</t>
  </si>
  <si>
    <t>Rápido y de calidad Con un precio muy competitivo, no veo mejor opción. Después de unos meses de uso no me dio ni un solo problema, y ya no puedo utilizar un ordenador sin está fluidez y rapidez a la hora de encender y abrir las aplicaciones</t>
  </si>
  <si>
    <t>Excelente Muy bien todo</t>
  </si>
  <si>
    <t>Muy buena compra. Es muy pequeño y una vez puesto en un puerto casi no sobresale que es lo que yo quería porque conduzco un autobús y al pasar la gente ya me habían roto 2. Con este sin ese problema hasta que se rompa por si solo. Normalmente solo lo utilizo para música, se calienta un poco pero debe ser lo normal con este tamaño. Se raya un poco porque va muy ajustado pero tampoco se nota demasiado. A partir de ahora cada vez que necesite un pincho de esta capacidad compraré este sin duda.</t>
  </si>
  <si>
    <t>Colgante símbolo hielo Buscaba símbolo de hielo como los dibujos de Frozen para mi sobrina y di con este y perfecto.  Esta encantada de llevarlo y pensar que es como la muñeca!  Muy satisfecho con esta marca.</t>
  </si>
  <si>
    <t>Genial el produto! Yo lo uso para calientar mi camilla y funciona muy bien.</t>
  </si>
  <si>
    <t>Buena compra Muy buen producto, todo el mundo que lo ha probado de mi familia contento, ya sé que regalar a más de uno por su cumple jejejej. El masaje lo da según la presión que tú efectúes al sofá te coge bien las contracturas, lo recomiendo buena compra.</t>
  </si>
  <si>
    <t>Ligero y agarre fuerte. La batería dura mucho, con la ventaja de poder cargarlos en la misma caja donde se guardan cuando no los usas (solo hay que estar pendiente de recargar a caja, claro). Se pueden utilizar los dos o solo uno (siendo el derecho el principal), lo que a veces se agradece si no quieres/puedes aislarte mucho. Los he conectado al móvil, al ordenador y a la SMART TV.  Cuando la potencia de la caja de carga sea inferior al 20%, la luz indicadora de la caja de carga parpadeará en rojo cada 3 segundos. Cargue la caja de carga a tiempo y puede cargarse completamente en aproximadamente 1,5 horas. Al cargar la caja de carga, el indicador de la caja de carga continuará iluminado en rojo, y la luz completa se convertirá en una luz azul constante.  Los auriculares HD estéreo proporcionan un sonido realmente natural, con una potente respuesta de bajos. Estos auriculares harán que disfrute la música con una gran calidad de sonido.  Son muy buenos auriculares, según tengo entendido, esta es una actualización de los auriculares.</t>
  </si>
  <si>
    <t>Excelente relación calidad precio Justo lo que esperaba</t>
  </si>
  <si>
    <t>Buena relación calidad precio Fácil de instalar, impresionante relación calidad precio</t>
  </si>
  <si>
    <t>Recomendado a quin le encante los masajes Es genial. Da masajes que da gusto. Tiene dos bolas a cada lado como se ve en la foto. Tiene dos posiciones, fijas con la luz de calor, o rotando dándote un masaje con la luz. A quien le encante los masajes, se lo recomiendo</t>
  </si>
  <si>
    <t>Velcro adhesivo, pequeñitos y Buenos. Los velcro adhesivos vienen en 10 láminas, 5 de cada. Son más pequeños de lo que esperaba, pero el velcro es de calidad, además como son pequeños les puedes poner mejor y si hace falta puedes 2. Son buenos.</t>
  </si>
  <si>
    <t>Buena compra La compra fue muy bien y muy rápida. El libro vino en excelentes condiciones, por lo que si te preocupa el envío, en mi caso no tuve ningún problema con el. Sobre el libro poco hay que decir, era exactamente lo que quería.</t>
  </si>
  <si>
    <t>Perfecto, buena calidad. Simplemente funciona.</t>
  </si>
  <si>
    <t>Muy cómodos Muy cómodos, ideal para la playa, para estar en casa o caminar en verano. Se secan en un minuto y no sudan los pies. No son de plástico como los de los chinos. Permiten caminar muy bien Gracias a la cinta trasera. Volvería a comprarlos.</t>
  </si>
  <si>
    <t>El cable coge vueltas Elegí el producto por las opiniones de los clientes, pero creo que pasé por alto si en alguna de ellas decía que el tomaba vueltas. Y las toma. Es alejarme un poco del amplificador, volver y alejarme otra vez y tengo que desconectarlo por que ha cogido mil vueltas. Así no se puede tocar. No le he puesto menos estrellas porque el sonido es bueno (faltaría más) Pero inicialmente NO lo recomiendo.</t>
  </si>
  <si>
    <t>No me ha gustado el pedido como ha sido enviado No me ha gustado que vengan cada abalorio por separado, me hubiera gustado que ha biera venido todo junto en una cajita</t>
  </si>
  <si>
    <t>Elegante Por el precio que tiene...esta muy bien</t>
  </si>
  <si>
    <t>mala eleccion Todo lo que va planchando va dejando adherido a su placa algo de tenido, para luego mancharte la siguiente prenda. Muy descontenta con ella.</t>
  </si>
  <si>
    <t>Se calienta una barbaridad Es encenderlo y ya alcanza los 60º. Con un poco de trabajo se queda fijo en 65º y nunca baja de esa temperatura. Copiando un archivo desde un usb al disco duro te alcanza los 69º por lo que automaticamente se baja la velocidad de transferencia pasando de 128 mb/s a 1.4 mb/s. Es un disco M.2 inutil y lento por el tema de la temperatura, por lo que  siempre tendras que estar monitorizando la temperatura constantemente. Ni siquiera instalandole un disipador baja la temperatura. NO RECOMIENDO SU COMPRA.</t>
  </si>
  <si>
    <t>No vale para iPhone No funciona para iPhone!!!!!</t>
  </si>
  <si>
    <t>Muy correcto Muy completo y económico. Cumple perfectamente</t>
  </si>
  <si>
    <t>Bonitos y buen tamaño Son bonitos y buena calidad, tienen un buen tamaño</t>
  </si>
  <si>
    <t>Buena calidad y diseño. Aunque tuve algunos problemas de sincronización, lo que he probado me ha parecido un artículo de calidad. Buenos materiales y con sensación de bien terminado. A destacar la calidad de sonido, aunque en eso cada cual es muy subjetivo. El micrófono funciona razonablemente bien. Diseño moderno y que llama la atención por elegancia. La cajita con terminación en cuero añade un plus de elegancia. Compra recomendable 100%</t>
  </si>
  <si>
    <t>Práctico Fue un regalo para mi señora, le gustó</t>
  </si>
  <si>
    <t>Masaje ideal Me gustó lo potente que es la única pega el cable debería ser más largo.</t>
  </si>
  <si>
    <t>Muy buena compra Lo compré para iniciarme en el aprendizaje de los sintetizadores y cumple perfectamente mis expectativas. El acabado, aún siendo de plástico, es más que bueno. Lo recomendaría para aquellos que se quieran iniciar en este mundo, pero si ya lo dominas seguramente se quede corto.</t>
  </si>
  <si>
    <t>Buena compra Perfecto el pantalón buena calidad y estética un 10</t>
  </si>
  <si>
    <t>el micrófono llego perfecto perfecto</t>
  </si>
  <si>
    <t>Bonita Genial</t>
  </si>
  <si>
    <t>Nada visto hasta ahora en batidoras. Fantástico. Es un aparato fantástico, no comparable con batidora de las corrientes. Deja la comida finamente triturada y en un tiempo récord. Lo recomiendo sin ninguna duda.</t>
  </si>
  <si>
    <t>Calidad precio Hola. Me he comprado estos auriculares, pese a tener inicialmente alguna reticencia por no ser de una marca conocida. Tras ver las opiniones me animé, ya que el precio me parece más que bueno. Me llegaron hace unos días y los he podido probar con un iPhone 8. Son cómodos de llevar y la música se oye con un volumen correcto. Me parece que el volumen a máximo es más que suficiente y más sabiendo que son inalámbricos, aunque igual alguien pueda echar en falta más potencia si hay mucho ruido ambiente (como con cualquier auricular, creo yo). Yo los uso en una oficina para trabajar y me parecen correctos. A mi no se me han movido de las orejas ni andando por la calle, ni haciendo las tareas de casa.  El empaquetado me ha parecido muy cuidado. La caja donde viene todo, lleva una presentación correcta y la caja donde se guardan es de un tamaño bastante pequeño (recordemos que hablamos de unos auriculares de 50€) y además los carga mientras los tiene protegidos de los golpes. Se fijan a la caja mediante imán, por lo que no se mueven fácilmente.  Resumiendo, que creo que son una muy buena compra si no quieres gastarte los 180€ que cuestan unos de marca. Seguramente repetiré la compra estas navidades para algún regalo.</t>
  </si>
  <si>
    <t>Perfectos A mi novia le han encantado.Un mes despues y siguen perfectos.</t>
  </si>
  <si>
    <t>Lo recomiendo 100% recomendado para ejercitarse! Ha quedado a la medida y el material se ve bueno y resistente</t>
  </si>
  <si>
    <t>MAGNÍFICAS SUPERAN MIS EXPECTATIVAS TANTO EN CALIDAD COMO EN DISEÑO Y COMODIDAD Y ACABADOS.</t>
  </si>
  <si>
    <t>Me guié por las opiniones y estoy muy contento Hasta la fecha, lo he probado en un par de ocasiones y puedo comentar que se trata de un muy buen producto. Su potencia es más que suficiente para el uso que yo le voy a dar. Eso sí, no es una buena opción si buscas una picadora de hielo.</t>
  </si>
  <si>
    <t>Cloud domestico asequible Lo he comprado a fin de controlar el destino de mis fotos, documentos y otros elementos que hasta la decha venain siendo metidos en el dropbox o onedrive.  No es que no sean fiables pero a mas info mas pagas, con este sistema un rato de darle vueltas a sus funciones y puesta en marcha te configuras tu cloud del tamaño que quieras y ampliable ademas de hacer copia en RAID.  Lo recomiendo totalmente</t>
  </si>
  <si>
    <t>Muy práctico Es muy práctico porque la mayoría de bandejas de este tipo sólo tienen tres compartimentos y se quedan pequeñas. Muy buen acabado y fácil de montar.</t>
  </si>
  <si>
    <t>Buena calidad. Me a gustado mucho su diseño y aún más como se ve todo su mecanismo interior. La calidad es buena y corresponde con su precio.</t>
  </si>
  <si>
    <t>Correcto Correcto</t>
  </si>
  <si>
    <t>Con seleccion de voltage. Funciona con rapidez y ocupa poco sitio Nada que objetar. Cumple sus funciones a la perfeccion.</t>
  </si>
  <si>
    <t>Perfectos Están súper cómodos quizás un poquito grande</t>
  </si>
  <si>
    <t>Era lo que esperaba Era lo que esperaba y llego en el plazo indicado!! Después de varias semanas de funcionamiento no he notado ningún problema!</t>
  </si>
  <si>
    <t>Muy buena y aconsejable. Es una plancha que cubre todas las necesidades que necesito. Fácil de manejo, se desliza bien en todas las superficies. Muy buena.</t>
  </si>
  <si>
    <t>Mala calidad para el precio tan exagerado Compré este producto por su "buena reputación". No me importaba el precio, pero cuando antes de los dos años, se me calentó uno de los envases y me dejaba partes del productos en mi comida, hablé con Amazon, y me dieron otro nuevo. Hace unos días haciendo un salmorejo, lo cogió mi marido, en este caso, la batidora y dejó de funcionar. Ya Amazon no se hace cargo del mismo por haber pasado más de 2 años, y yo me quedo con un montón de envases que ya no puedo usar. El problema de todo esto es que lo que hace girar a muchos de los envases es un trozo de plástico que cede fácilmente con un poco de calor. De verdad, no lo compréis porque está hecho para que deje de funcionar en unos pocos meses.</t>
  </si>
  <si>
    <t>Incómodo Pesa mucho y resulta incómodo. El bisel se mueve con mucha dificultad</t>
  </si>
  <si>
    <t>Reloj muy bonito pero de difícil lectura. Buena calidad. Buen tamaño, pero un problema insalvable para mi, la esfera es completamente negra y no hay marcas de otro color para ver las horas. Además las pantallas digitales son negras también que las hace difícil de ver y se iluminan poco. Un reloj muy bonito pero difícil de leer la hora no es muy útil. El vendedor excelente al gestionar el envío y la devolución.</t>
  </si>
  <si>
    <t>Estafa en las fotos Estafais con las fotos</t>
  </si>
  <si>
    <t>Batidora Es cómoda y potente , aunque el brazo se cayó al suelo y se le rompió inmediatamente  la pieza de enganche a la batidora, me duró una semana .</t>
  </si>
  <si>
    <t>MULTITUD DE COMPARTIMENTOS En general es un buen diseño de bolso para gente que busque tener varios compartimentos separados,con ranuras para bolígrafos,libretas,tarjetas..o lo que se te ocurra. La tela no es mala,es bastante robusta,al igual que las cremalleras. La correa es un poco corta para mi gusto,pero se puede cambiar por una mas adecuada a tus necesidades. La única pega que le pondría sería el color de la tela. Mi compra fue la versión en negro.pero no es un negro intenso,tira a grisáceo y el estilo de la tela a la vista parece envejecida,para nada parece un bolso nuevo,no es un buen negro homogéneo. Respecto al precio,está en el límite de lo que a mi me parece coherente pagar por un bolso de estas dimensiones y características.</t>
  </si>
  <si>
    <t>genial Esta muy bien, pedí una talla mas por si acaso, y la verdad es que estoy muy contenta, incluso sujeta muy bien y me reduce bastante el pecho, sin duda repetiré.</t>
  </si>
  <si>
    <t>Es de mis preferidos La leche cae en su justa medida, con otros se atascaba, y con otros salía demasiado rápido y se atragantaba, la tetina es muy cómoda para el niño.</t>
  </si>
  <si>
    <t>Buena elección Mi talla es 43, la pedí así y perfecto como un guante. Cómodas ! A ver qtal se portan el prxmo invierno pero em dos veces que me las he puesto estoy contento</t>
  </si>
  <si>
    <t>cómodas, calientes. Son cómodas, para lluvia también van bien y abrigan y no se empapan. Yo me pille un numero mas por el tema de los calcetines gordos.</t>
  </si>
  <si>
    <t>Ligero Buen producto</t>
  </si>
  <si>
    <t>guapo es lo que esperaba</t>
  </si>
  <si>
    <t>o.k O.k muy funcional</t>
  </si>
  <si>
    <t>Me costó encontrarlas en tienda Un clásico sin sorpresas.  Tallan igual que la marca de siempre (no coincide con otros tallajes)</t>
  </si>
  <si>
    <t>Buen disco y muy buena velocidad Buena inversión, elimina el coello de botella formado por los discos magneticos y mucho mas rapido que el puerto sata. Una vez le des al boton de encendido en 5 ó 6 segundos tienes windows ya operativo. Para jugar carga muy rapido.</t>
  </si>
  <si>
    <t>Es lo que había pedido y el envio ha sido adecuado Me ha gustado mucho el color, los he usado para aceites esenciales, para llevar en el bolso</t>
  </si>
  <si>
    <t>Perfecto Muy buen producto</t>
  </si>
  <si>
    <t>Excelente Perfecto.</t>
  </si>
  <si>
    <t>Genial por el precio Tal como esperaba</t>
  </si>
  <si>
    <t>buena compra correcta el almacenamiento sin problemas y yo la utilizo para mi móvil un Sony tambien y cumple todas mis expectativas</t>
  </si>
  <si>
    <t>Bolso super interesante por su precio Producto muy interesante y practico. Por su precio inmejorable.</t>
  </si>
  <si>
    <t>Hace su función Todo bien</t>
  </si>
  <si>
    <t>Potente y eficaz. La batidora de Taurus Bapi Unic 900 es un pequeño electrodoméstico muy robusto, fácil de utilizar, con una buena potencia.  Todo el conjunto que está en contacto con los elementos a batir o picar están fabricados en acero inoxidable por lo que la calidad de ellos están aseguradas.  Con sus 900W de potencia unido al sistema de cuchillas podremos picar hielo perfectamente.  Todo este sistema funciona gracias a dos botones que tiene en la parte superior, uno para batir con la velocidad que le marquemos en el selector de velocidad que podemos apreciar en la parte superior de la batidora, podremos seleccionar 20 diferentes velocidades.  El uso es muy cómodo, y ergonómico, en la prueba que he realizado me ha parecido así.  También destacar la sencillez para desmontar el sistema de cuchillas y posteriormente limpiarlas, solo girar la parte inferior.  Las dimensiones son de 39 c 5'5 cm aproximadamente, con un peso muy controlado para la potencia que tiene de 798 gramos.  El sistema Turbo Rotation System ayuda enormemente a la Taurus Bapi Unic 900 a dejar cualquier alimento picado sin grumos y muy homogéneo.  En la prueba a toda potencia lo que notas es su fuerza, tienes que agarrar la batidora y el vaso contenedor de los alimentos, si o si, ya que de lo contrario, éste saldrá disparado.  En definitiva, un excelente pequeño electrodoméstico que te será muy útil en tu cocina, y con un precio muy ajustado.</t>
  </si>
  <si>
    <t>Fashion Cómodas</t>
  </si>
  <si>
    <t>funcional y necesario hola buenas tardes,los archivos son funcionales y necesarios para tener las cosas importantes,ordenadas y clasificadas</t>
  </si>
  <si>
    <t>Suena mb Brutal</t>
  </si>
  <si>
    <t>bonita bien de precio</t>
  </si>
  <si>
    <t>Ligero y sonoro Compré este amplificador con la idea de no dejarme la voz en el campamento de verano durante unas clases que daré como monitora a niños. Veo que va a servir a mis propósitos, pues alcanza gran volumen y calidad de sonido, y a la vez no pesa nada.</t>
  </si>
  <si>
    <t>No puedo ponermelas por el cierre Me gustaro mucho eran un autoregalo pero por desgracia me llegaron sin un cierre</t>
  </si>
  <si>
    <t>Precio poco competitivo y se caen. Los devolví porque se se caían en el gimnasio. Imagino que los de este tipo más o menos van todos igual. Por otro lado salen muy caros para lo que son.</t>
  </si>
  <si>
    <t>muy bien las e comprado a muy buen precio por amazon recomendable las compre sin saber pero me gustan mucho las uso para el trabajo son muy comodas.se me les estropeo la plantilla al mes y medio sin exagerar osea que barato no se si son imitacion pero me a salido igual la reparacion 25e</t>
  </si>
  <si>
    <t>Tuve que devolverlo Tuve que devoverlo ya que me llegó una caja distinta en la que no se incluía el vaso para moler semillas. He pedido otro de distinta marca.</t>
  </si>
  <si>
    <t>Y ahora qué? Ha llegado con la pila agotada 😡</t>
  </si>
  <si>
    <t>Perfectas Todo perfecto, llegaron pronto y en perfecto estado. Calidad Vans de toda la vida La única pega es que con el tiempo y uso se despega la suela un poco en la doblez de los dedos del pie. Pero lo dicho es cosa de diseño de Vans en todos sus modelos pasa</t>
  </si>
  <si>
    <t>Buen producto no puedo opinar pues por causas ajenas a mi voluntat,la tengo en la camara pero sin estrenar.Lo siento</t>
  </si>
  <si>
    <t>Queda muy bien Queda muy bien, pero es algo complicado de poner. Al final, lo hemos tenido que llevar a una relojería para que lo ajustarán.</t>
  </si>
  <si>
    <t>la verdad que muy bien me quedan perfectas. ya me las habia probado en la tienda , físicamente, así que lo esperaba, pero sn muy chulas, no pesan anda y muy cómodas.</t>
  </si>
  <si>
    <t>Pendientes Me ha gustado que vaya en una cajita todos colocados ,ha sido un regalo para mi sobrina y la gustó mucho.</t>
  </si>
  <si>
    <t>Buena compra El bote no es mucha la cantidad Pero es ideal para poner directamente el pegamento sobre los bordes de las pantallas.</t>
  </si>
  <si>
    <t>Preciosa. Me encanta! Preciosa. Me encanta! Más bonita que en la foto. Incluso pedí otra para regalar. Me ha encantado y la uso mucho.</t>
  </si>
  <si>
    <t>Muy recomendable Las zapatillas muy chulas, como en la foto. Son las originales, llegaron rapidísimo, en su caja y muy bien de precio así q todo perfecto</t>
  </si>
  <si>
    <t>Abrigo cómodo Es un abrigo muy comodo porque a la vez que es ligero abruga mucho. Aqui que hace mucho frio en invierno es perfecto para mantenerse calentito. Por su tejido exterior hace tambien de impermeable cuando llueve.</t>
  </si>
  <si>
    <t>Lo que esperaba. Correcto. Se ajusta a la descripción. Bien.</t>
  </si>
  <si>
    <t>MICROONDAS MILECTRIC MIW-20LB Perfecto calidad - precio. Envio muy rapido.</t>
  </si>
  <si>
    <t>Hdd Play 4 Lo compré para sustituir el disco duro de una Play4, y va perfecto</t>
  </si>
  <si>
    <t>Encantada Todo perfecto y el envío rápido</t>
  </si>
  <si>
    <t>Muy bonito Fue un regalo y le encanto</t>
  </si>
  <si>
    <t>Calidad Guitarra</t>
  </si>
  <si>
    <t>sd genial</t>
  </si>
  <si>
    <t>Sorprendente para su precio Por el precio que tienen no creo que haya unos auriculares de este tipo que suenen mejor. Llevo prácticamente un mes con ellos y me duran cerca de 15 horas. La única pega que les encuentro es que no puedes subir o bajar el volumen con ellos, sino que tienes que hacerlo desde el móvil. Pero claro, por 30€ ya sería demasiado.  Con un cupón de descuento el día del padre me salió por 22€.</t>
  </si>
  <si>
    <t>+ q correcto para relación calidad precio Funcionan perfectamente, merecen la pena. Los uso karaoke y me dan más de 8 metros de distancia. Todo ok</t>
  </si>
  <si>
    <t>Perfectas. Me costó encontrar el número exacto ya que las tablas donde vienen las medidas en cm no coinciden exactamente con la talla EU. Después de usarlas durante unos meses y de hacer el camino de Santiago con ellas, puedo decir que son unas botas muy cómodas, perfectas para caminar largos periodos. Me han salvado de más de una torcedura de tobillo en caminos empedrados. Además, después de pasar charcos, riachuelos, y de soportar lluvias, los pies seguían secos, son totalmente impermeables. Encantado con ellas.</t>
  </si>
  <si>
    <t>Suave y calentita El tapón encaja bien y cierra bastante fuerte para que no se salga el agua. El tejido es suave y viene con un envoltorio extra para irlos cambiando. Cumple su función, mantiene el calor durante bastante tiempo y calienta la cama.</t>
  </si>
  <si>
    <t>Recomendable Veo que estos aceites huelen genial, la verdad estoy muy contenta con el producto van de maravilla con solo una gotita ambientan cualquier habitaculo.</t>
  </si>
  <si>
    <t>MARAVILLOSA Estoy encantada con ella.Yo no soy nada habilidosa con la mahonesa y con el accesorio la hago sin problemas y en un momento. Se ha convertido en mi aliada en la cocina para hacer de todo, salsas, merengues,etc.  Envío rápido, y perfecto</t>
  </si>
  <si>
    <t>Genial Me ha encantado tanto que he vuelto a comprar otra regalar.</t>
  </si>
  <si>
    <t>perfectas las mejores zapatillas que he llevado</t>
  </si>
  <si>
    <t>Esperaba más El estuche de lo más normalito. Material no muy grueso. Esperaba algo más robusto y resistente por 7€. La cremallera debe ser la bomba pero no justifica la compra.</t>
  </si>
  <si>
    <t>Rodillo quitapelusa muy normalito Me ha decepcionado bastante. Por los comentarios parecía que era muy bueno, pero a mí no me lo parece. Lo he comprado para quitar los pelos de mi gato de mi ropa y la primera pasada los quita más o menos, pero ya en la siguiente pasada, como ya está el rodillo lleno de pelos y pelusas, casi no quita nada. Es bastante difícil quitar el papel usado del rodillo, porque hay que tirar de una esquinita del papel y no es fácil. Luego sí sale fácilmente todo el papel usado y queda el nuevo. Solo lo recomiendo para casos concretos y no para la limpieza de todos los días.</t>
  </si>
  <si>
    <t>Bien Esta bien calidad precio</t>
  </si>
  <si>
    <t>Malisima calidad Fatal, nos fuimos a pasar el dia a un parque acuatico y las compre para no quemarnos con el suelo y nos han durado un dia solo. Compre 5 y todas se han echo agujeros, para lo que valen un timo.</t>
  </si>
  <si>
    <t>INDIGNADO con la calidad Me ha durado 4 meses. Sin golpes, siempre en funda. De repente un día dejo de leerlo el ordenador. He perdido información muy importante de mi trabajo. Estoy indignado con este producto</t>
  </si>
  <si>
    <t>Muy buena compra Por ese precio está muy bien. Los conectores son de calidad, aunque posiblemente el material del propio cable no dure mucho en condiciones de concierto. Para tocar en casa o en estudio está muy bien.</t>
  </si>
  <si>
    <t>Recambio original Correa original así que sin objeciones. Pero viene sin destornillador para los tornillos especiales... Eso puede ser un problema y para el precio que tiene, incluir el destornillador no es ninguna locura...</t>
  </si>
  <si>
    <t>Buenas zapatillas, para vestir. Zapatillas de vestir, preciosas y de buena calidad. Si se le da uso (para todo) aparecen los rotos y descosidos, pero en mi caso le quedarán pequeñas antes de no poder utilizarlas.</t>
  </si>
  <si>
    <t>Buena compra La talla y la tela, correcto. La unica pega es que es muy fino, por lo que si hace frio, no abriga. Es mejor esperar a la primavera para ponerlo</t>
  </si>
  <si>
    <t>Casi perfecto Un estilo y calidad de un nivel irrebatible. Todas las funciones q se le pueden pedir a un reloj de este estilo. Lo único q no me ha gustado y por eso no le doy las 5 *, es el hecho q el lacado de la caja tiene un plateado muy diferente a la correa metálica, desvelando así su arquitectura de plástico y rebajando el estilo... Si la caja fuera de metal o el acabado estuviera más acordé, no le daba 4, le daba 10 estrellas. Una pena, existiendo casios más económicos donde todo es de metal... En fin, voy a buscar un buen espray metalizado q igual le hago un apaño. Por cierto, buscad en Youtube todos los mods. q se le pueden hacer, imperdible ;)</t>
  </si>
  <si>
    <t>Muy positiva Calidad precio muy buena.</t>
  </si>
  <si>
    <t>Muy recomendable. Un placer pasar el invierno con este infierno. Dos mandos para poder separar la temperatura de ambos lados. Tenéis que probárlo.</t>
  </si>
  <si>
    <t>Perfecto en diseño y funcionamiento. Reloj muy combinable para sport o salir y a la vez muy bonito en estética. Se lo regalé a mi hijo hace un tiempo y de hecho varias personas se han fijado en el reloj y le preguntan de que marca es. Aparenta mas de que se pagó por él. Funciona correctamente y lo tiene hace ya tiempo.Lo recomiendo si alguien tiene que hacer un regalo.</t>
  </si>
  <si>
    <t>Una pasada Ha sido un regalo, y mi pareja ha flipado cuando le he enseñado lo que tenia el cristal. Además la presentacion impecable y queda muy fino.</t>
  </si>
  <si>
    <t>Buen producto y muchos posibles usos. Buen producto. Lo he utilizado para reforzar una cama de perros y me ha dado buen resultado.</t>
  </si>
  <si>
    <t>Buena tela Una prenda ideal, dudaba realmente si me quedaría bien pero la verdad es que la tela es muy buena y sobretodo muy fresquita, cae muy bien y se ajusta bien a los tobillos como debe de quedar</t>
  </si>
  <si>
    <t>BUENA COMPRA &lt;div id="video-block-RJQM9ZW8V810L" class="a-section a-spacing-small a-spacing-top-mini video-block"&gt;&lt;div tabindex="0" class="airy airy-svg vmin-supported airy-skin-beacon" style="background-color: rgb(0, 0, 0); position: relative; width: 100%; height: 100%; font-size: 0px; overflow: hidden; outline: none;"&gt;&lt;div class="airy-renderer-container" style="position: relative; height: 100%; width: 100%;"&gt;&lt;video id="31" preload="auto" src="https://images-eu.ssl-images-amazon.com/images/I/91cKaa36RSS.mp4" style="position: absolute; left: 0px; top: 0px; overflow: hidden; height: 1px; width: 1px;"&gt;&lt;/video&gt;&lt;/div&gt;&lt;div id="airy-slate-preload" style="background-color: rgb(0, 0, 0); background-image: url(&amp;quot;https://images-eu.ssl-images-amazon.com/images/I/91epgd89D1S.png&amp;quot;);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center;"&gt;0:00&lt;/div&gt;&lt;div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value="https://images-eu.ssl-images-amazon.com/images/I/91cKaa36RSS.mp4" class="video-url"&gt;&lt;input type="hidden" name="" value="https://images-eu.ssl-images-amazon.com/images/I/91epgd89D1S.png" class="video-slate-img-url"&gt;&amp;nbsp;Funciona perfecto, muy fácil de poner en funcionamiento y tal cual la descripción.</t>
  </si>
  <si>
    <t>Regalo perfecto Un regalo muy bonito y no muy caro era para mi mujer, y le encantó. Es sencillo a la par que elegante y muy bien acabado. Viene en su cajita y una bolsita con un paño.</t>
  </si>
  <si>
    <t>Muy bonito Muy fino y bonito, recomendable.</t>
  </si>
  <si>
    <t>Igual en la foto Muy bonitas</t>
  </si>
  <si>
    <t>Muy bien calidad precio El SSD va muy bien por lo pronto, (sólo llevo con el montado 6 días) Calidad precio esta muy bien, aunque es verdad que ya están saliendo SSD pcie 4.0 a con un 1TB por 150€, aún así merece la pena, porque tampoco es que se note en la realidad a la hora de realizar cargas, siempre que estemas hablando de juegos, lo dicho, por ahora muy bien, el tiempo dirá si ha merecido la pena.</t>
  </si>
  <si>
    <t>Silencioso y potente El producto es como esperaba, posee calidad es silencioso, potente -en un plis plas estrujas un pomelo- y muy  fácil  de limpiar. El único inconveniente que posee  en su base, son los dos taquitos fijos de plástico en su parte anterior que podría resbalar  en el poyo, lo he solucionado poniendo dos de goma.</t>
  </si>
  <si>
    <t>Totalmente recomendable Súper bonito</t>
  </si>
  <si>
    <t>Perfectas Son un regalo para mi marido, el número es perfecto, cuadra exactamente con las de otro par que tiene ya en casa de ese mismo modelo. El color está muy bien, es un rojo muy oscuro, casi marrón.</t>
  </si>
  <si>
    <t>Buena compra Las peques están encantadas, buena compra. Lo recomendaría</t>
  </si>
  <si>
    <t>Siempre 1 talla mas en mustang Muy comodas. Uso una tall 42 y he pedido la 43 y perfecta</t>
  </si>
  <si>
    <t>Ideal Ha llegado en el tiempo previsto. Mi hija está encantada con las zapatillas. La talla perfecta. Una buena compra.</t>
  </si>
  <si>
    <t>satisfecho con mi Casio Impresionante muy bien en todo satisfecho con esta compra el brazalete esta muy bien acabado y el tamaño preciso ni tan normal ni tan grande.</t>
  </si>
  <si>
    <t>Hace bastante ruido Producto bien presentado, pero a veces no conecta bien y hace bastante ruido. No repetiría la compra</t>
  </si>
  <si>
    <t>InnoGear Filtro Pop de Micrófono con Doble Capa Un filtro como cualquier otro, nada que destacar, hace su funcion, aunque seguramente haria lo mismo con otro mas barato.</t>
  </si>
  <si>
    <t>Mal Mala calidad</t>
  </si>
  <si>
    <t>No es nueva No es nueva. Claramente ha sido usada. Algunas piezas rayadas y los plásticos protectores estaban sucios rotos y viejos</t>
  </si>
  <si>
    <t>Producto de mala calidad He comprado el producto y la pieza de plastico del vaso se ha roto en menos de 5 meses de uso. No recomiendo la compra.</t>
  </si>
  <si>
    <t>correcto el producto está bien embalado y ha llegado en perfectas condiciones. Todos los usb funcionan perfectamente aunque son un poco lentos de escritura, pero la valoración calidad/precio es positiva. Le daría 5 estrellas si hubiesen llegado antes. Comunicación con el vendedor: muy buena. Hay alguno que si lo introduces mal ( al revés ), se hunde hacia dentro y no lo lee bien, pero se soluciona sacándo el dispositivo del corcho y apuntalándolo bien. Deve ser algun defecto en la fabricación pero fácil de solucionar.</t>
  </si>
  <si>
    <t>Magnifico diseño Me gusta su diseño y calidad; el precio no está justificado.</t>
  </si>
  <si>
    <t>Ideal para senderismo. Para senderismo es estupendo. Echo en falta un poco más de zoom en los traks. Robusto y estéticamente precioso.</t>
  </si>
  <si>
    <t>La suela, es muy buena. Necesitaba unos zapatos con una suela que agarre. Estos cumplen de sobra.  Son fuertes como esperaba. En principio todo bien habra que ver con el uso.El envio llego en el tiempo previsto, y perfecto. Pedi una talla 44, segun la medida en cm de mi pie unos 27,10cm, bastante bien la talla.</t>
  </si>
  <si>
    <t>nota de agradecimiento OS DOY LAS GRACIAS POR EL INTERES QUE HABEIS MOSTRADO EN TODO MOMENTO  HACIA MI PROBLEMA. ES DE JUSTICIA DECIR QUE CUANDO ALGO MALO SE SOLUCIONA CON INTERES ES DE AGRADECER. MUCHAS GRACIAS POR DEMOSTRAR QUE HABEIS ESTADO AHI. LA PULSERA  ES ELEGANTE Y ORIGINAL. OTRA VEZ GRACIAS</t>
  </si>
  <si>
    <t>Calidad Audio Sinceramente de los mejores microfonos que hay en el mercado! lo recomiendo 100x100! Una pasada! y hay bastante variedad de colores a elegir :P</t>
  </si>
  <si>
    <t>Unos Guantes Este es el calzado que uso casi todos los dias, para ir al trabajo, para salir a caminar, son demasiado comodos.La unica pega es que son dificiles de limpiar y apenas se mojan, (como cuando cae una ligera llovizna) los zapatos se manchan y se forman las famosas marcas de agua en los zapatos de gamuza. La grasa no la tolera para nada. Pero en general bastante contento</t>
  </si>
  <si>
    <t>Lo que esperaba Perfecto</t>
  </si>
  <si>
    <t>Minimalismo Por ahora, simplemente espectacular</t>
  </si>
  <si>
    <t>Excelente Memoria Tengo ya casi un mes utilizandola y va de maravilla, una velocidad muy rapida y con buena capacidad y resouesta. Se comporta bien en mi Note 8, por el precio que tiene y sus especificaciones es una gran compra. Se las recomiendo ya que la de 256GB tiene un precio de locura.</t>
  </si>
  <si>
    <t>Buena calidad precio . Todo muy bien.</t>
  </si>
  <si>
    <t>Muy cómodos Ideales para estar en casa cómoda y para dormir. Tienen el efecto de que no llevas suje, pecho natural con ropa encima. Sensación agradable en la piel, tacto suave.</t>
  </si>
  <si>
    <t>SOBRESALIENTE. Envío muy rápido!. Solcitado sábado y entregado domingo!. El reloj cumple con todas las espectativas. Muy bonito y muyyy cómodo. En su embalaje original y con todas las garantías Casio. MUY CONTENTO. Empresa impecable.</t>
  </si>
  <si>
    <t>Calidad y cantidad Viene mucha cantidad de producto, el formato es muy cómodo gracias al cuentagotas. La idea era usarlo para hacer jabones pero con ese olor y cantidad lo voy a utilizar para todo.</t>
  </si>
  <si>
    <t>Buenos Muy buen producto calidad precio. Se escuchan realmente bien, se le puede regular el volumen desde los propios auriculares. También puedes contestar las llamadas y adelantar y retroceder las canciones, o pausar un vídeo. Se emparejan muy fácil y rápido. Con sacarlos de la base cargadora se conectan automáticamente al móvil. Tienen muy buena autonomía y lo que más me gusta es que tiene su propia base cargadora, que te la puedes llevar a cualquier sitio y los puedes recargar sin necesidad de cables. Sólo tienes que cargar la base de vez en cuando. No hace falta apagarlos, ya que ellos solos se apagan cuando los dejas en su caja. Si no los quieres dejar en la caja también se pueden apagar pulsando el botón que tiene cada auricular. Muy satisfecho con la compra</t>
  </si>
  <si>
    <t>Cómodos, con buen sonido y con estación de carga que permite cargar tu móvil Muy contento con esta compra. Lo importante para mi, el sonido, muy bueno. Lo segundo en importancia, la comodidad, en mi oreja encaja perfectamente y los he llevado varias horas trabajando y sin problemas. Viene con diversas almohadillas, pero a mi las que venían puestas me han venido bien. Autonomía, bastante buena, la sesión más larga de uso ha sido sobre 4 horas y sin problemas, no he llegado a agotarlos. De este me llamó la atención que viniera con una estación de carga que permitía “ceder” carga a tu móvil, que lo veo muy útil. Esta ventaja hace que la estación de carga pese algo más que otros que compré y que finalmente se ha quedado mi hija. Los mandos están en los propios cascos como es habitual y son bastante sensibles. Tienen protegidos para la humedad, y al menos en el gimnasio con el sudor han aguantado bien y tienen fácil limpieza. Las instrucciones vienen en castellano además de otros idiomas. Los recomiendo.</t>
  </si>
  <si>
    <t>Flexibles y cómodas Flexibles y cómodas para el trabajo. Nada que ver con las botas de trabajo tradicionales, van reforzadas también, por lo que protegen tus pies de posibles golpes o aplastamientos pero no producen rozaduras ni pesan tanto</t>
  </si>
  <si>
    <t>Love Me encantan</t>
  </si>
  <si>
    <t>Buen producto siempre usamos otra marca de biberón, y por consejos hemos cambiado a este biberón es genial, y le cambiaré todo a este marca. Tiene una tetina con facil agarre y buen anticolico</t>
  </si>
  <si>
    <t>Todo muy bien El producto me llegó en el día indicado y en perfectas condiciones. Además me encantan estas zapatillas, favorecen mucho! Lo único es que me quedan un poco grandes (pero me las puedo poner sin problemas y probablemente una talla menos no me hubiese valido)</t>
  </si>
  <si>
    <t>limpio Util</t>
  </si>
  <si>
    <t>Buena relacion calidad precio Calidad Casio, buen producto. No da problemas</t>
  </si>
  <si>
    <t>Encantada! Estoy encantada! Tanto como talla , cómo comodidad , es la primera vez que los he comprado , y si me duran volvere a comprar los mismos</t>
  </si>
  <si>
    <t>No soporta casi nada de peso Las compré para colgar unas fotos de cartón pluma, muy poco pesadas, de 30x45 cm, sin marco. A la tercera que colgué, comenzaron a caerse de la pared. Si la superficie no es perfectamente plana, ya no aguantan. Acabé tirando del cuelgafácil de toda la vida. Una decepción.</t>
  </si>
  <si>
    <t>Taurus Ultimated Lithium Aspirador de escoba Taurus, no es un Dyson ni tampoco un Xiaomi ROidmi, pero por su precio succiona bien y con ganas, las ruedas deslizan bien por todo tipo de suelo, esta bien construido y la batería dura lo suficiente para aspirar un piso de 60mª, el adaptador para colgarlo en la pared que viene hace que sea bastante fácil guardarlo sin que moleste.</t>
  </si>
  <si>
    <t>micro El micro ha sido para el cumpleaños de mi hija de 6 años, sorprende la calidad del sonido del altavoz, aunque la calidad del micro es diferente. Tienes que pegar la boca a la parte superior para que se escuche. Para niños y por el precio que tiene , está bien, es entretenido y cumple su función.</t>
  </si>
  <si>
    <t>el producto es correcto pero no cumplia con mis espectativas lo devolvi tiene pocos departamentos y para mi no me serbia , en cuanto a la tela bien si tienes que abrir y cerrar a menudo no es muy practico por sus 2 cierres</t>
  </si>
  <si>
    <t>Se soltó una pieza de goma y se trituró con el batido. Peligroso El producto es útil, fácil de utilizar, en general estaba bastante contento hasta que noté algo raro mientras hacía un batido, y luego vi trocitos de plástico sueltos. Se había soltado una goma, si no llego a darme cuenta la podría haber ingerido..  Por supuesto, la voy a devolver y supongo que desde Amazon no pondrán ninguna pega, pues la tengo menos de 1 mes.</t>
  </si>
  <si>
    <t>Compacto, pero despues de usarlo un mes apare óxido. Compacto, como esperaba. Pero después de usarlo unas semanas empezó a aparecer óxido en la parte interior, en la zona de unión de la base y la pared lateral. Compré al mismo tiempo otro hervidor de acero inoxidable de otra marca para tenerlo en mi oficina, que uso también a diario, y en cambio en ese no hay oxidación, cuando el tipo de agua que utilizo es similar. Este modelo de H.Koenig me ha decepcionado.</t>
  </si>
  <si>
    <t>Buen tamaño Es útil y tiene buen tamaño, suficiente para llevar una tablet</t>
  </si>
  <si>
    <t>Que el niñ@ tenga la edad recomendada El piano es estupendo, calidad de material muy buena y la idea es genial. Lo devolví porque es a partir de la edad que indica sí o sí. Mi hija, más pequeña, aún no identifica colores y como no tiene melodías extra no le llamaba la atención, pero lo compraré de nuevo en un par de años, seguro.</t>
  </si>
  <si>
    <t>Valoración La tela parece demasiado floja, aunque supongo que por el importe de venta va en relación calidad precio. Lo utilicé para regalar.</t>
  </si>
  <si>
    <t>usar tantas veces como  quieras Me encantan me sientan genial y comodisimas</t>
  </si>
  <si>
    <t>No está mal!!! Hola, va bien!! No es gran cosa!! Por el momento funciona y muy lijera.</t>
  </si>
  <si>
    <t>Para viajar bien Me gusto</t>
  </si>
  <si>
    <t>Son buenos Muy buenos excelente calidad pero cuabdo lo usas por mucho tienpo tiende a dolerte las orejas  un poco</t>
  </si>
  <si>
    <t>Calidad excepcional , precio ajustado En cuanto al sonido nada que objetar, los graves son una pasada.   Si tienes unas orejotas como es mi caso resultan algo incómodos estos auriculares  El diámetro de las almoadillas es más pequeño que otros modelos más o menos equivalentes de AKG como el K601, K701. La banda también aprieta más . Por lo demás no tengo queja, espero que me duren mucho.</t>
  </si>
  <si>
    <t>Un recogemigas que funciona Funcionó muy bien, y el acabado está muy bien, no como esos de plástico que se abren en cuanto los empujas</t>
  </si>
  <si>
    <t>Brutal, sonido muy limpio, muy recomendable Brutal, muy fácil de conectar y un sonido muy limpio. Supongo que los habrá mucho mejores, pero a mi me ha resultado perfecto. Tengo una escuela de finanzas y tengo que hacer los videos del curso y, sinceramente, espectacular el sonido. Si buscas algo sencillo, fácil de usar y conectar, este es tu micro.</t>
  </si>
  <si>
    <t>Una maravilla Estoy ecantada con la compra , tallan como se espera y son muy bonitas y de muy buena calidad . Mi hija esta encantada</t>
  </si>
  <si>
    <t>Cumple su función Me gusta esta marca para las tarjetas de memoria, la verdad que me da bastante confianza.</t>
  </si>
  <si>
    <t>100% recomendable Llevo usándolo 3 semanas y estoy muy contenta. Te deja una sensación de bienestar en la cara ideal. Yo aconsejo que se use frío. No sé si me mejorará las ojeras (es por lo que me lo compré), pero me gusta.</t>
  </si>
  <si>
    <t>Sorprendentemente útil Vivo en zona de costa, y según algunas indicaciones comentaban que no acababa de limpiar bien porque aquí el agua es algo más dura. Y la verdad, que nos ha sorprendido. Pusimos algo más de cantidad de la recomendada por lo dicho anteriormente, y aunque desconfiábamos, la ropa huele a limpio!!! Sin duda, dejo de de usar cualquier detergente o suavizante, la ropa queda limpia y con un sutil aroma al aceite esencial que le pongas al saquito de tela (incluye dos).</t>
  </si>
  <si>
    <t>Rápida y no muy ruidosa. Muy buen producto y mejor calidad-precio. Es potente, rápida, hace cremas muy finas y no es demasiado ruidosa. Estoy contenta con la compra aunque es muy pronto para opinar puesto que la compré hace poco y aún no le he dado mucho uso. De momento le doy muy buena nota.</t>
  </si>
  <si>
    <t>Perfecta para LG G3 No sabia si me iba a servir, ya que el movil solo indica que acepta SD hasta 128 Gb y no pone nada de SD XC. Nada mas meterla al movil la ha reconocido, incluida la marca. La aconsejo sin temor a equivocarme. Es rapida aunque no la mas, pero mas que suficiente para grabar videos y fotos en alta definicion. Tras unos dias de poco uso la tarjeta se ha vuelto muy lenta, tarda mucho en grabar cada foto y volver a dejarte sacar otra.</t>
  </si>
  <si>
    <t>Profesional Perfecto</t>
  </si>
  <si>
    <t>El Ferrari de las batidoras Encantada con la batidora. Tiene mucha potencia que hace que todo quede bien batido.</t>
  </si>
  <si>
    <t>fenomenal Por el precio que tienen tan barato, una compra fenomenal, porque la calidad es más que suficiente para lo que sirven. Muy útiles para sujetar y tener ordenadas las cinchas sueltas siempre colgantes y molestas de mis mochilas. Tambien me han servido para mantener cables atados entre si, o para sujetarlos a puntos fijos, es verdad que el mayo suelta algo de pelo, pero no es grave, en cualquier caso estoy contento con la compra.</t>
  </si>
  <si>
    <t>Perfectas! Muy bonitas y cómodas. Se lavan y secan muy rápido.</t>
  </si>
  <si>
    <t>Fantástico Es perfecto, no pesa y es super facil de usar. Todo lo preparo muy rapido y fácil de limpiar</t>
  </si>
  <si>
    <t>Todo correcto Bien</t>
  </si>
  <si>
    <t>Perfecto Aunque dicen es silencioso un ruido, más que soportable, hace. En cuanto al diseño es muy bonito y las luces muy agradables. Llegó al día siguiente de pedirlo y estoy muy contento con la compra. Justo lo que esperaba</t>
  </si>
  <si>
    <t>Suenan, que por el precio que tienen, no es poco Por lo que me costó, poco más se puede pedir. Enlaza correctamente y emite sonido. No penséis que la claridad o el tono van a ser medianamente decentes, ya que no lo van a ser</t>
  </si>
  <si>
    <t>Mediocre La tira que sujeta la mochila a la espalda estaba mal acabada y le salían hilos. El diseño no está mal pero la calidad mejorable.</t>
  </si>
  <si>
    <t>Mala calidad No vale la pena, se me rompió el primer día.</t>
  </si>
  <si>
    <t>Muy mejorable Es muy pesada. El cable de conexión resulta incómodo y aunque el tejido es suave no contrarresta la incomodidad que supone lo pesado que es</t>
  </si>
  <si>
    <t>SON DE LAS MEJORES Buena calidad pero algo caras.</t>
  </si>
  <si>
    <t>Buen precio Lo esperado</t>
  </si>
  <si>
    <t>Sustituto para la clásica bayeta Me gustan, son como bayetas pero biodegradables. Aunque no creo que vayan a durar tanto como las tradicionales.</t>
  </si>
  <si>
    <t>MUY BUEN USB DE TAMAÑO REDUCIDO Hace pocos días que lo tengo y va perfectamente. La relación calidad-precio es buena. No doy la puntuación de  excelente porque le falta un tapon o cierre al USB para que no le entre polvo o agua si se cae. Aunque depende de cada caso y además del precio, particularmente considero que para un usuario normal pensando en una posible perdida o extravío puede ser mejor tener 2 de 64 G aunque sea un poco mas costoso .</t>
  </si>
  <si>
    <t>La marca da confianza Todo bien, solo un pelín estrecho para la talla. Cómodos de llevar y andar.</t>
  </si>
  <si>
    <t>Cómodos y con buen alcance Los auriculares son cómodos y tienen un alcance de unos 15m. En la carcasa podemos ver la batería que tenemos todavía para cargar los cascos y a ambos lados la batería que le queda a cada auricular. Se puede cargar con USB o USB C</t>
  </si>
  <si>
    <t>Calidad de imagen más que aceptable. Recomendable Temía que un dispositivo de tan bajo precio ofreciera una calidad de imagen pobre. Pero en absoluto. Ofrece gran calidad. Recomendable.</t>
  </si>
  <si>
    <t>Chanclas Envío rápido y producto ok</t>
  </si>
  <si>
    <t>Precio y la protección del paquete Es muy bonito según mi mujer le a encantado</t>
  </si>
  <si>
    <t>BIEN UN USB BARATO</t>
  </si>
  <si>
    <t>De 10! El mejor regalo que he hecho! Contentisimos con el resultado</t>
  </si>
  <si>
    <t>bien Pedido perfecto, buen vendedor, recomendable +++</t>
  </si>
  <si>
    <t>Muy ligeras. Buen producto  y comodas</t>
  </si>
  <si>
    <t>Biberón de cristal 120 ml Este biberón es de cristal resistente al calor; la tetina de silicona es ancha, suave y flexible y tiene un diseño con forma de pétalos que imita la forma natural del pecho para facilitar el enganche. Es anticólicos pero no impide que el bebé llore.</t>
  </si>
  <si>
    <t>Correcto Unos pendientes bonitos y de calidad</t>
  </si>
  <si>
    <t>Saray PERFECTAS! Han llegado bien embaladas en su caja original, con la etiqueta, limpitas y nuevecitas! Son muy cómodas y, lo mejor, súper bien de precio! Para orientar, yo uso 37 y me pedí el 36 2/3! Y me van clavadas! 👌🏻 Un 10!</t>
  </si>
  <si>
    <t>judit barcelona Son comodísimas. De las mejores vans que he tenido. Se adaptan perfectamente y quedan bien con todo. Muy recomendables. ;)</t>
  </si>
  <si>
    <t>Es.muy chulo el carrito, a mi nena la encanta Encantada</t>
  </si>
  <si>
    <t>Tarjeta memoria BBB De las mejores tarjetas de memoria del mercado, gran capacidad, no falla y no te deja tirado, la velocidad de almacenamiento no es muy alta, yo la utilizo para fotografía y al no hacer ráfagas, me sobra con esta.</t>
  </si>
  <si>
    <t>Perfectas y Economicas Buenas, comodas y sostienen.</t>
  </si>
  <si>
    <t>justo lo que esperaba no hay mas</t>
  </si>
  <si>
    <t>yolizoe Muy bien, todo perfecto y el tiempo hasta recibirlo muy rapido. El reloj funciona muy bien y la presentacion con su caja de camuflaje muy buena.</t>
  </si>
  <si>
    <t>Dr Mejora visto más que en la fotografía es súper cómoda de llevar y para un regalo que eres formidable por su presencia</t>
  </si>
  <si>
    <t>LAs esponjas mas "baratas" que he visto Son de la mas mala calidad que puedas encontrar en el supermercado, no se si valen la pena, aunque lo compre que era baratisima no me convencen, prefiero pagar un poco mas para unas que duren mas y asi no creamos tanta basura</t>
  </si>
  <si>
    <t>Hola No añade ninguna factura o albarán</t>
  </si>
  <si>
    <t>SUPER PEQUEÑA La mopa, como tal, es muy buena, pesa poco, es ágil, y cómoda. Su pega, es que es minúscula, debe medir 24cm de largo.No la recomiendo por eso, debería medir al menos 30 o 35 cm.  La próxima vez leeré hasta encontrar las medidas.  ¡Saludos!</t>
  </si>
  <si>
    <t>Insatisfacción El pendiente bien pero las tuercas no sirven y le reclame me mandaron otros y lo mismo así k no me los puedo poner</t>
  </si>
  <si>
    <t>No lo compres por dios El color no se corresponde entr correa y reloj. No pagueis el envio urgente es un timo, todavia estoy esperando rwspuesta por su parte para que me devuelvan el dinero del envio</t>
  </si>
  <si>
    <t>Perfectas Exactamente lo que estaba. Botas de buena calidad, cálidas y que ofrecen buena protección al pie en lo más crudo de esta ola de frío. No obstante ocurre lo mismo que mucho calzado de montaña técnico, en uso urbano pueden resbalar en algunas superficies muy lisas. Se nota que están más orientadas a uso de exteriores</t>
  </si>
  <si>
    <t>Muy contenta con ellas Buenas zapatillas. Después de algunas semanas de uso siguen como el primer día. Todavía conservan el dibujo del logo de la suela cosa que enseguida suele ir desapareciendo.</t>
  </si>
  <si>
    <t>Buen servicio Buen material y no si nada alérgicos..</t>
  </si>
  <si>
    <t>Confiando en la marca Elegí esta marca porque es la misma que tenía la cual duró mas de 10 años, hasta ahora va bien pero me da un poco de miedo los encastres ya que el de la tapa no esta firme. El recipiente es chico pero bueh... es el modelo. Hasta hoy estoy conforme con su rendimiento.</t>
  </si>
  <si>
    <t>Cumple con el precio y es muy bonito y favorecedor Bueno este jarse es muy bonito la talla es abundante si tienen dudas cojas una talla menos  es mi apreciación el color no es igual al que aparece en la pantalla pero sigue siendo bonito y muy favorecedor a la calidad de la prenda es lo que esperaba y es finito lo que menos me gusta es sus pequeños bolsillos laterales que no gusta por no tener buena forma en lo bolsillos es mi unica pega, por eso no le doy las 5 extrellas de todos modos estoy contenta un saludo y felices fiestas y año nuevo</t>
  </si>
  <si>
    <t>Identico al original Buen producto</t>
  </si>
  <si>
    <t>ANGOOL Sujetador Deportivo Almohadillas Extraíbles Yoga Run Bra para Mujer los he utilizado para practicar pilates y debo decir que son cómodos y dan la talla perfecta. Algo en su contra , dan ,mucho calor, pero para el invierno debe ser maravillosos</t>
  </si>
  <si>
    <t>Originales Comprobé que eran originales ya que había leído en comentarios que algunos vendedores las vendían falsas. Por lo general estas botas tallan grande, yo uso una 40 y tuve que coger una 39, lo mejor es probársela en tienda y luego aprovecharse de la oferta de Amazon. son duras, por lo que necesitarás unas semanas para hacerlas al pie.</t>
  </si>
  <si>
    <t>Calidad Muy buen producto y muy puntual en la entrega.</t>
  </si>
  <si>
    <t>Es lo que necesitaba Por eso me acabé comprando cinco iguales. Es cierto que me hacían falta porque tengo un pequeño alojamiento y quería anadir el servicio de té en la habitación. El hervidor es suficiente para calentar el agua de un par de tazas. Es robusto. La tapa se quita del todo y así es más fácil limpiar el interior. Y sobre todo, que tenga la posibilidad de escoger la temperatura para el agua me parece una idea genial, no lo había visto nunca. Es cierto que hay hervidores pequeños mucho más baratos, pero no de la misma calidad. Si necesito más volveré a comprar seguro.</t>
  </si>
  <si>
    <t>super comoda Muy por encima de mis prespectiva, buena calidad relacion precio. Muy satisfecho</t>
  </si>
  <si>
    <t>Todo ok Usando la tabla que de salomon para las medidas viene como un guante.Y han cumplido de sobra mis expectativas.</t>
  </si>
  <si>
    <t>Jon Calidad precio muy bien.  Lo compré por los comentarios y no me ha defraudado.  Se ve muy nítido. Mi compañera ve incluso con astigmatismo.</t>
  </si>
  <si>
    <t>Calidad precio excelente Son finos pero abrigan, y son transpirables. Contenta con la compra.</t>
  </si>
  <si>
    <t>Inma P Util para el cole. Siempre compro articulos de esta marca: lápices,por ejemplo, cuando mis hijos comienzan el curso escolar,porque me dan garantia de calidad.</t>
  </si>
  <si>
    <t>Excepcional Prenda perfecta, se adapta completamente a ti, siendo como tu propia piel. Volveré a comprarla.</t>
  </si>
  <si>
    <t>OROGINALES Son las autenticas, calidad/ precio amazon insuperable, las volveré a comprar de otros colores cuando las vuelvan rebajar ;)  cómodas y versátiles. Como nota, me cogí medio numero menos que mi talla habitual y me van perfectas.</t>
  </si>
  <si>
    <t>Muy buenos Muy buenos biberones, es de los mejores precios que he encontrado. Gran marca y los mejores anticolicos. Sin duda repetire.</t>
  </si>
  <si>
    <t>Dr. Martens 1460 - Botas con cordones para hombre, color negro, talla 43 Cómo no podía se de otra manera cumplió todas las expectativas. Todo en tiempo y forma. Espero que duren muchos inviernos.</t>
  </si>
  <si>
    <t>Estupendo Siempre la compro, conozco la marca y funciona muy bien.</t>
  </si>
  <si>
    <t>Comodidad Muy conodas para trsbajar toda la.noche</t>
  </si>
  <si>
    <t>SENCILLAMENTE, EXTRAORDINARIO! El articulo es precioso, la presentación muy buena, el envío rápido y ha cubierto mis expectativas. Se lo recomendaría a cualquiera, el articulo y la forma de comprar.  Gracias por todo</t>
  </si>
  <si>
    <t>Buena compra Genial, muy contentos. La bateria aguanta perfectamente para limpiar todo mi piso ( unos 100m2). Fácil de limpiar y muy manejable. Por ponerle una pega, hay veces que no llega bien a algunos bordes, pero por lo demás muy bien.</t>
  </si>
  <si>
    <t>Geniales No soy un gran entendido en sonido, pero sí algo purista. Busco calidad en los componentes, bajos decentes, autonomía y fiabilidad. Estos JBL cumplen con lo mencionado. Después de unas semanas de uso no puedo decir nada negativo. Recomendadísimos.</t>
  </si>
  <si>
    <t>producto normalillo Bueno son auriculares normalillo no se oyen perfecto pero bueno con el precio ya se sabe se puede estar aceptable</t>
  </si>
  <si>
    <t>Bien como regalo del Día de la Madre Perfecto para el día de la madre por que viene en una cajita elegante, pero el collar es un poco clásico. No estoy muy segura de si me lo quedaré por que no me acaba de convencer, la cadena es un poco tosca para mi gusto. Pero por 10€ que lo compré en oferta tampoco puedo pedir mucho más, por ese precio está genial como regalo.  PROS: Packaging muy elegante Calidad/precio Aspecto  CONTRAS: Un poco clásico Cadena un poco fea</t>
  </si>
  <si>
    <t>Calidad básica No me convence la calidad</t>
  </si>
  <si>
    <t>El Vaso, en concreto la tapa, no cierra y es un verdadero problema La batidora muy bien, pero la tapa del vaso portátil no cierra y pierde toda la funcionalidad que tiene. He contactado con Philipis y me dice que la garantía no cubre los "accesorios", a lo que yo he respondido que el "accesorio" es prácticamente lo más importante de esta batidora, y emotivo por el que me decanté por este modelo y no otro. El contenido del vaso se me ha derramado e varias ocasiones porque la tapa se abre de repente, y me ha causado problemas. También me dicen desde Philips que es el vendedor el que se hace responsable de cubrir lo referente a accesorios, pero no consigo contactar con el vendedor.</t>
  </si>
  <si>
    <t>Me enviaron un microfono usado Me enviaron un micrófono ya usado y claramente defectuoso con un ruido como de vibración de fondo constante, que por más que toqué opciones era imposible de mitigar. La caja no estaba sellada. Pedí un producto de reemplazo y el micro que me llegó sí que era nuevo, nada más enchufarlo funcionaba todo a la perfección.</t>
  </si>
  <si>
    <t>Mar Es corto el largo de pierna y al primer lavado ya lo he desechado; no lo entiendo porque compré este modelo en verde y es un pelín más largo.Una estrella por el precio.Gracias</t>
  </si>
  <si>
    <t>Los de toda la vida Llevo usando estos dvds unos 15 años, y no les encuentro ninguna pega. Es cierto que con la luz terminan estropeándose, pero después de muchos años. Dentro de albumes, no tienen que tener ningún problema. Y todavía no me he encontrado con ningún dvd defectuoso.</t>
  </si>
  <si>
    <t>Buena relación calidad precio, alta capacidad Lo he puesto para hacer backup de los datos más sensibles de mi nas y funciona perfecto.  Como contra decir que por la capacidad de 8TB es un poco más grande que otros discos y necesita alimentador de corriente, pero es normal para esta capacidad, aún así el tamaño no es demasiado grande</t>
  </si>
  <si>
    <t>Muy buenos cascos dentro de la gama media-baja Los uso para ir al trabajo, para una hora con ellos puestos no molestan en absoluto ya que son ligeros. Ya tenía el modelo antiguo y me gustaban por su sonido, muy nítido y potente en graves y aceptable en medios y agudos. Aisla bastante bien del exterior sin tener que ponerlos el volumen demasiado alto y el cable no molesta, ya que no es ni muy largo ni muy corto. No sé lo que me durarán pero por este precio seguramente repetiré cuando fallen o lo que sea. 8/10</t>
  </si>
  <si>
    <t>Mu bueno Nos ha satisfecho el producto. Ya teníamos uno igual pero con el paso de los años se ha ido deteriorando, y este es el recambio perfecto. Únicamente que escogí el modelo que lleva el corta patatas y nos sobra, por lo demás es perfecto.</t>
  </si>
  <si>
    <t>Estupendos Son muy cómodos, fáciles de conectar y van muy bien.</t>
  </si>
  <si>
    <t>Zapatillas de excelente calidad Gran calidad. Es la segunda vez que las compro por los buenos resultados obtenidos.</t>
  </si>
  <si>
    <t>Bonita sudadera Preciosa y de calidad. A mi hijo le encanta.</t>
  </si>
  <si>
    <t>Pequeño pero práctico Es pequeña, justo lo que buscaba. De un material que parece indestructible. Me ha gustado mucho porque siempre iba con uno de un tamaño superior y había veces que era innecesario.</t>
  </si>
  <si>
    <t>Gran producto Están perfectas e salido a correr con ellas y son perfectas,eso sí cuidado con las tallas yo utilizo una 47 y e cogido una 48 y me van perfectas</t>
  </si>
  <si>
    <t>Muy sencillo, lo conectas y funciona Teclado sensible ala presión. Muy útil la tecla de volumen. Quiza añadiría algún sistema que indicase en que zona del teclado te encuentras ya que con las teclas + y - te mueves con facilidad por él pero solo es con el sonido cuando te ubicas.</t>
  </si>
  <si>
    <t>Muy bonitad Las compré para un regalo y acerté de pleno,son más bonitas que en la foto y traen dos tipos de cordones diferentes para poner al gusto</t>
  </si>
  <si>
    <t>Cascos de buena calidad y precio Estaba buscando unos cascos bluetooth desde hace un tiempo  y vi estos que me llamaron la atención y su buen precio y no me equivoque, ya que son unos cascos geniales la verdad. Por mi parte son 100% recomendables.  - El sonido es bastante bueno y limpio. - Son bastante comodos. - Viene con varias gomas de distintos tamaños. - Muy fáciles de emparejarlos al teléfono. - Destacar que puedes usar solo uno de ellos sin obligacion de usar los dos a la vez  ya que ambos tienen microfono y puedes usar ambos como manos libres.  En definitiva unos cascos geniales, comodos a un muy buen precio y faciles de transportar ya que la cajita es pequeña y comoda.</t>
  </si>
  <si>
    <t>Lo mejor que he comprado!!!! Mi casa no tiene calefacción así que hace siempre frío. Con esta manta estoy siempre caliente y caliente la cama super bien! excelente compra y super suave.</t>
  </si>
  <si>
    <t>Excelente bolso de piel Es de piel auténtica, muy elegante, fácil de llevar y con muchos compartimentos. Me cabe todo. El tamaño tal y como indica la ficha técnica. Muy buena compra.Desearía añadir que lo compré el 24 de noviembre del 2018 y a día de hoy(4-5-2019) sigue impecable.</t>
  </si>
  <si>
    <t>el mejor con diferencia después de comprar otro, que costaba la mitad y creyendo que me iba a dar el resultado esperado, tuve que adquirir éste. no tiene nada que ver, no busques mas . idioma español, autonomía de 11 horas de conversación , no malgastes tu dinero en experimentos .Comprate este, no te arrepentiras.</t>
  </si>
  <si>
    <t>Espectaculars Pel preu que valen, no crec que n'hi hagi que sonin millor. Molt bons greus, mitjos i aguts,  i una escena espectacular, sembla que siguin d'un preu molt superior. Molt recomanables.</t>
  </si>
  <si>
    <t>Cómodo y buen precio. Buena captación de sonido. Fácil setup, directamente al móvil mediante minijack, funciona con la grabadora básica del teléfono sin problema. Bueno para una segunda pista de audio cuando grabas a distancia.</t>
  </si>
  <si>
    <t>Miguel Ángel Moles Rey Muy bonito , elegante y nada que envidiar a otras marcas lo he probado en piscina,mar,ducha, perfecto, horario perfecto,solo decir que la pulsera del reloj es de inferior calidad al reloj ... pero por su precio que más se puede pedir estoy muy contento</t>
  </si>
  <si>
    <t>comodidad es una zapatilla comoda ligueras</t>
  </si>
  <si>
    <t>SUPER CHULA!!! Completamente igual que la de los mayores pero en pequeño. Con las mismas funciones, las dos velocidades que hacen girar la cuchilla (de plastico, logicamente) y los botones laterales que la desmontan en las dos partes (es sabido de la parte de los mandos no la podemos fregar... ja, ja, ja,....), Incluye vaso para realizar las mezclas. Lo dicho muy completa y absolutamente igual que la de los adultos.</t>
  </si>
  <si>
    <t>Producto de gran calidad Producto totalmente recomendable, una muy buena compra. Un tanto caro para mi gusto pero el mercado es el que es.</t>
  </si>
  <si>
    <t>Manejable Normal</t>
  </si>
  <si>
    <t>Correcta Buena camiseta para hacer deporte siempre que no sea correr. Al sudar provoca manchas hasta que toma tono uniforme. En general y al precio que la compré cumple su función.</t>
  </si>
  <si>
    <t>bien precio pero contiene mucho alcohol esta muy bien de precio aunque se nota mas el alcohol</t>
  </si>
  <si>
    <t>pesimo La goma de abajo aprieta bien pero lo que es la copa no tiene nada de sujecion. tela muy fina y son incomodos</t>
  </si>
  <si>
    <t>Pésimo Fatal al mes dejaron de funcionar no los volveré a comprar nunca más. Espero q os sirva de ayuda un saludo</t>
  </si>
  <si>
    <t>Relación calidad precio.. Acceptable Todo bien... Solo que para el suelo mojado no valen!</t>
  </si>
  <si>
    <t>Aumenta la capacidad del iPad o iPhone Muy práctico para descargar fotos del iPhone o iPad en los viajes y archivar documentos cuando no deseas o no puedes hacerlo en la nube. Para regalo me parece un acierto, su aspecto es como aparece en la foto es bonito, pequeñito y práctico</t>
  </si>
  <si>
    <t>Pendientes Muy bonitos y a pesar de su precio se ven muy bien</t>
  </si>
  <si>
    <t>Estrecha Está muy bien. La talla corresponde pero el elástico de la parte inferior es exageradamente estrecho en comparación con el resto. Yo no tuve problema porque era para alguien bastante delgado</t>
  </si>
  <si>
    <t>Bonitas y funcionales pero algo grandes. Son calentitas, cómodas y bonitas pero quedan grandes en mi talla. Debería de ser un número menos.</t>
  </si>
  <si>
    <t>* Muy bien</t>
  </si>
  <si>
    <t>NUERNS RELACIÓN CALIDAD/PRECIO Buen artículo y con relación calidad precio que merece la pena. Lo recomiendo tanto que hice otro pedido.</t>
  </si>
  <si>
    <t>BUEN PRODUCTO El paquete llegó bien, el producto es bueno y muy economico, Las fundas son de buena calidad y pegan perfectamente. Volveremos a comprar este producto sin duda.</t>
  </si>
  <si>
    <t>Buena compra. La almohadilla es muy cómoda y su tacto es muy suave. Funciona perfectamente y se pueden ajustar mediante broches</t>
  </si>
  <si>
    <t>Son para regalo y seguro que le encanta . Son muy cómodas  para mi hija le gustará mucho es su estilo. Gracias un saludo.</t>
  </si>
  <si>
    <t>Clarks nunca falla Desde que conocí esta marca he repetido dos veces. Zapatos cómodos, duraderos, y a un precio razonable. Muy contento la verdad.</t>
  </si>
  <si>
    <t>Me encanta Me he quedado muy satisfecha con esta compra. El depósito de agua dura muchísimo. Lo único que no lo considero bueno para un dormitorio ya que es más ruidoso que otros que tengo de otro modelo. Lo tengo en el pasillo, y está perfecto para este sitio.</t>
  </si>
  <si>
    <t>Muy bien Eran para un regalo, gustaron mucho. Son muy calentitas y llamativas, talla como se esperaba.</t>
  </si>
  <si>
    <t>Comprador Mi hija de 5 años está prendada. Responde a las expectativas. Muy cómodo y ligero. Además se conecta por diversas vías con cualquier tipo de móvil u ordenador. Se puede cantar en playback y los niños se lo pasan muy bien.</t>
  </si>
  <si>
    <t>Tamaño super pequeño Estoy muy contento con la compra. Es un USB muy pequeño, con lo que lo puedes llevar en cualquier lugar. El hecho de tener los 2 USB (C y 3.1) hace que sea muy cómodo para poder usar en cualquier ordenador/dispositivo.</t>
  </si>
  <si>
    <t>Me gustan Son muy bonitas y comodas...tallan bien</t>
  </si>
  <si>
    <t>Buena compra Queda muy bien. La talla es fiel. Muy cómodas, impermeables, súper ligeras y calientan mucho los pies. Buena compra a mejor precio que las tiendas de la calle.</t>
  </si>
  <si>
    <t>Calentitos Buen producto un poco asperos</t>
  </si>
  <si>
    <t>Casio nunca defrauda Calidad asegurada a un precio de risa y  una estética atemporal. Da lo mismo en que década nos encontremos, estos modelos nunca pasan de moda. Casio apuesta siempre por buenos materiales tanto en la esfera como en los correajes, lo que hace que acabes cansándote del reloj antes de que se te rompa. He tenido otro modelo siilar a este con pero con la pantalla mas pequeña y e de decir que son prácticamente indestructibles. La pantalla se raya , como en todos los relojes, pero tiene que darle un golpe muy fuerte para que se acabe notando.</t>
  </si>
  <si>
    <t>Cumplen su propósito Tal y como se describen. Muy contento con el producto.</t>
  </si>
  <si>
    <t>Buen tejido y cómoda! Necesitaba una alfombrilla de este tipo, con almohadilla, ya que paso largas jornadas en el pc y , en ocasiones, la parte de la muñeca y túnel carpiano me producían molestias.  La he estado probando un rato y la verdad que el ratón desliza muy bien y la protección de muñeca es súper suave y cómoda. Quizás un poco "alta" la espuma pero con el uso seguro que se aplasta un poco así que muy bien. Además he de decir que se adhiere muy bien a la mesa y no sé mueve nada!  Por el momento muy contento tanto por la calidad del material como por el descanso para mi muñeca !</t>
  </si>
  <si>
    <t>Cumple con su función El producto cumple con su función. Es muy fácil el funcionamiento. Yo lo tuve que devolver por problemas ajenos, pero el artículo en sí es bastante recomendable.</t>
  </si>
  <si>
    <t>Relación calidad precio excelente Relación calidad precio excelente</t>
  </si>
  <si>
    <t>no me han funcionado No entiendo qué ha pasado pero de los 25 dvd's que lleva el estuche sólo 2 he podido utilizar el resto siempre me salía error de grabación, y sé que el error se debía a los discos porque probaba con otros y la grabación salía bien.. Francamente no lo entiendo porque Verbatim es buena marca.</t>
  </si>
  <si>
    <t>Aceptable pero con fallos El producto en general es aceptable, sin embargo en mi opinión tiene tres fallos. El primero es que saca bastante ruido. Si vives sola sin problema pero sino... El segundo es que los botones son tan discretos que no los encuentras por el tacto. Aunque tienen luz, para encontrar el botón muchas veces hay que parar y ponerse a buscarlo. Por último y el más importante es que en su intensidad más baja es bastante fuerte. Para las mujeres de clitoris sensible llega a ser doloroso. Sin embargo si no tienes muchas sensibilidad es perfecto.</t>
  </si>
  <si>
    <t>Gema El producto correcto aunque me llegó de otro color distinto al que se publicitaba. Me llegó de color magenta, su funcionamiento es bueno, e incluye clips en el envío.</t>
  </si>
  <si>
    <t>Fallo en la recarga Al otro dia de estrenarlos, uno de los auriculares dejó de cargar y ya ni siquiera se vinculaban automáticamente, lo intente pero no cargaba, el sonido puedo decir que aceptable, sólo los pude escuchar el primer día, por lo tanto los devolví, me he comprado otros de otra marca y hasta ahora van muy bien.</t>
  </si>
  <si>
    <t>Timo Sin su caja ni certificado que indique que es original. Lo único similar con el verdadero es el precio. Un timo, devolución solicitada según han llegado.</t>
  </si>
  <si>
    <t>Está bien El cajóncito para los rotuladores es pequeño y frágil</t>
  </si>
  <si>
    <t>Tetina especial y recomendable El bebe aceptó muy bien la tetina, que está pensada para que tenga que esforzarse al succionar como si del pecho de la madre se tratase, pero no queda claro si es anticolicos o no, de modo que ese aspecto es mejorable. Al final hemos acabado con otra marca para variar la tetina y que no se acostumbre, pero la experiencia fue buena.</t>
  </si>
  <si>
    <t>Bayetas Estan bien, las uso para limpiar baños, cocina, etc. De vez en cuando a la lavadora y como nuevas.</t>
  </si>
  <si>
    <t>Me ha gudtadi Buen producto aunque es un poco difícil de colocar</t>
  </si>
  <si>
    <t>Bella Me gusta la practicad de su uso</t>
  </si>
  <si>
    <t>Rodillo de Jade Este rodillo es perfecto para masajear los músculos de la cara y ayudar  a suavizar las marcas de la edad.  El tratamiento diario descongestiona las zonas masajeadas y además refresca la piel. Está muy bien realízado en cuanto a material y montaje, con un acabado muy bueno y el Jade perfectamente pulido. Viene guardado en una bolsita herméticamente sellada y al vacío junto con la piedra de gua sha. Muy contenta con este producto.</t>
  </si>
  <si>
    <t>Olores muy naturales Me ha gustado mucho el pack. Los aromas huelen muy naturales, no como otros que parecen más sintéticos... Durannlo normal, cuando lo apagas el olor puede durar hasta el final del día si lo pones en una habitación pequeña y poco ventilada. Para el precio que tiene es muy buena compra.</t>
  </si>
  <si>
    <t>Perfectas Bonitas, cómodas</t>
  </si>
  <si>
    <t>Merece la pena el precio Es tal y como viene en la foto, un pantalón entallado y de sport. Sirve tanto para hacer deporte como para ponérselo debajo de las faldas. El envío ha sido correcto y ha llegado en perfectas condiciones. La calidad también parece buena, no he encontrado ningún hilo suelto ni nada que me haga pensar lo contrario. No ha habido ningún problema con el vendedor.</t>
  </si>
  <si>
    <t>Estupendo Fantástica unidad usb con un fantástico acabado en aluminio. Ideal para enchufar pelis a la tv sin que se vea el usb o para llevarlo siempre encima cómo llavero</t>
  </si>
  <si>
    <t>Perfecto Perfecto. Tanto en la entrega como en el producto. Lo mismo que he visto es lo que he recibido, cosa que en algunos otros casos la imagen no se adecua a la realidad del producto recibido.</t>
  </si>
  <si>
    <t>Práctico para los peques Están bien, pero hay que subir el volumen a tope</t>
  </si>
  <si>
    <t>Fantásticas. Y cómodas a la par que chulas Desde que las probé... No quiero otro calzado. Súper súper cómodas!!!</t>
  </si>
  <si>
    <t>Perfecto Es lo que esperaba todo bien es una maravilla este aparatito me funciona a la perfeccion todo correcto muy contento</t>
  </si>
  <si>
    <t>Recomendable! Aunque es un hervidor de tamaño considerable, es muy ligero y está muy bien acabado, con materiales de calidad. Es realmente bonito y queda muy bien en la cocina. En cuanto a su función, la desempeña correctamente y es muy útil el termómetro, ya que hay infusiones que no necesitan el agua hirviendo... con este hervidor puedes controlar la temperatura del agua.</t>
  </si>
  <si>
    <t>Tal cual Es tal cual la describen y la foto.</t>
  </si>
  <si>
    <t>Geniales Los mejores pantalones de chandal que he tenido Suelo ser muy especial con los pantalones y estos me han encantado Son comodisimos y de precio estan bararisimos. Los uso hasta de pijama de lo comodos que son Comprare de nuevo este producto en otro color si se pude</t>
  </si>
  <si>
    <t>Buena Muy buen sonido Sencillos y cómodos, son cómodos de usar con las orejas, son geniales y suenan muy bien.  Los cables no se enredarán.  Tienen una ventaja de alto precio y se ven muy duraderas.  El control desde el control remoto en el cable es muy útil, puede contestar la llamada o colgar el teléfono sin tocarlo, y usar este comando para pasar de una canción a otra.  Están casi abandonados por el precio y la calidad que tienen.  Muy buena compra</t>
  </si>
  <si>
    <t>Rápido para la entrega Perfecto</t>
  </si>
  <si>
    <t>5 estrellas A favor : - sonido claro, sin interferencias, - impecable conectividad (lo he probado en IOS, Android, Windows y Linux) - cancelación de ruido algo superior al modelo anterior - cómodos incluso si se llevan durante muchas horas - diseño ergonómico, un poco mas pesado que el modelo anterior - botones bastante intuitivos - carga rápida y buena autonomía (llegaron a durar 8 - 9 horas con la batería cargada al 100%) - cable de audio de muy buena calidad con clavija robusta - flexibles, los altavoces se giran con facilidad y las bisagras dan la impresión de ser duraderas y bien hechas. - tienen su pequeño maletín para llevarlos donde sea En contra - mucho plástico (aunque de buena calidad) y poco metal - cable de carga muy corto</t>
  </si>
  <si>
    <t>Buen producto Tiempo de entrega correcto. Buen producto. Buena calidad. Lo recomiendo</t>
  </si>
  <si>
    <t>Muy buena Abriga bastante</t>
  </si>
  <si>
    <t>Converse Todo correcto, envío antes de lo previsto, estoy contento</t>
  </si>
  <si>
    <t>El precio muy bueno para el tamaño de la manta y marca buena Me ha encantado esta marca y su manta eléctrica, tamaño grande. Relación calidad precio excelente. Tacto muy suave y versatilidad.</t>
  </si>
  <si>
    <t>Aprieta demasiado No lo he probado. Lo tuve que devolver porque aprieta mucho el contorno de espalda. Parecía de buena calidad. Quizás para chicas delgaditas esté muy bien.</t>
  </si>
  <si>
    <t>esta bien parece resistente, buen material. buen tamaño. creo q por calidad-precio esta bien. incluiye regulador para ubicar bien los agujeros. recomendado.</t>
  </si>
  <si>
    <t>Baja calidad y pésima atención al cliente El producto es de baja calidad. La impresión de las letras del mismo no es la adecuada y la calidad de los remates del producto es muy muy baja para kingston. El embalaje no es el de siempre de esta marca, es de peor calidad y se nota a simple vista. También se hacen los despistados con la factura y la pides y te cuentan escusas....</t>
  </si>
  <si>
    <t>INFLEXIBLE, INADAPTABLE, DECEPCION imposible fregar un vaso , menos aun una copa, o una taza, todo lo que sea contorneado imposible limpiarlo con estos estropajos, solo valen para bases de sartenes, no se moldean, no se adaptan, ni se ajustan, veré de usarlos para ducharme antes de tirarlos...</t>
  </si>
  <si>
    <t>Calidad buena Las bolsas son resistentes, fácil su manejo cumpliendo perfectamente con su cometido. La transparencia es buena y el grosor de las bolsas adecuado para su función</t>
  </si>
  <si>
    <t>Relación Calidad/Precio muy buena Al lio!  Es una memoria USB de la marca SANDISK con 128GB en total en mi caso (115 GB utilizables en FAT 32), estandar USB 3.1 con el cuerpo totalmente de plastico y sin LED de lectura escritura. Incluye en su memoria el software SanDisk Secure Access. Y poco mas... os dejo una imagen comparando el modelo anterior con este en terminos de lectura/escritura y latencias. En mi caso el modelo anterior es de 32GB.  Saludos.</t>
  </si>
  <si>
    <t>Buena calidad Calidad igual que los originales que venían con el DishMatic. Fáciles de colocar. Por ahora está como el primer día de uso. Aunque intento no lavar cubiertos con el ya que es lo que los acaba desgastando.</t>
  </si>
  <si>
    <t>Mejor de lo q me esperaba Llevo dos días con ellos y sin ser un profesional del audio se escuchan genial agudos y graves y te aíslan el ruido de fuera bastante bien. Por ahora genial.... Desde el dia que lo compre no lo he vuelto a cargar y sigue funcionando perfectamente. creo q llevo unos 3 meses y lo escucho casi cada dia hora-hora y media</t>
  </si>
  <si>
    <t>Buena grapadora La llevo usándola un tiempo y cumple bien su función. Es robusta, lleva el cuerpo metálico y donde se prieta es de plástico duro. Recomendable.</t>
  </si>
  <si>
    <t>Todo bien como siempre! Comodidad y calidad a un muy buen precio</t>
  </si>
  <si>
    <t>Pulsera pandora Muy bonita</t>
  </si>
  <si>
    <t>Duraderos Los aceites huelen de maravilla, yo los uso para aromaterapia tanto del ambiente de la casa como para la ropa y son fantásticos.</t>
  </si>
  <si>
    <t>Auriculares de sonido estereo Me han resultado efectivos y son unos cascos de sonido estéreo estupendo. Los he probado varios días y son tal cuál, cómo se ven en las fotos, faciles de usar, manejables, simplemente se conectan a la clavija y listo, tiene para subir y bajar el volumen, es lo mejor para escuchar nuestra música preferida.  Unos cascos de sonido qué se oyen a la perfección, muy cómodos se adaptan perfectamente al oído.  Recomiendo que efectúes su compra al 100%, te va a resultar fantástico, y no lo vas a querer cambiar.  Doy mi puntuación: (Del 1 al 10)  Calidad: 10 Precio: 10 Usabilidad: 10 Empaquetado: 10 Diseño: 10 Terminación: 10  Si te ha servido mi comentario te agradecería que lo marcases como "útil" al final de este texto. Gracias!</t>
  </si>
  <si>
    <t>Cómodas, calentitas y muy bien confeccionadas Estas botas tienen una calidad muy alta, son completamente impermeables por la suela y el diseño es realmente bonito. Una de los puntos fuertes es que son muy calientes en su interior, ya que tienen un borreguito interno. Se ven unas botas muy robustas, las he estado utilizando durante varios viajes, tanto por ciudad como por montaña, en ningún momento me ha entrado agua en el interior y lo que es más importante, no he tenido dolor de pies durante su uso. Mi talla escogida es la misma que cualquier zapato/zapatilla comprado en una zapatería.  La suela de goma es de muy buena calidad, he estado andando entre piedras y algo de humedad y en ningún momento me he resbalado, por lo que son muy estables. Una compra perfecta para este otoño/invierno.</t>
  </si>
  <si>
    <t>Disco duro grande y rápido Tengo un SSD de 250gb para juegos y se me quedaba corto, decidí pillar este de mucha más capacidad y probé juegos que estoy jugando en el ssd en este y la verdad que carga bastante rápido y no se nota mucha diferencia. Es algo más lento pero ni comparación con los antiguos que había.</t>
  </si>
  <si>
    <t>Acierto seguro Andaba tiempo detrás de unas playeras de este estilo, para "jubilar" unas Nike Dart IV que tenía y que me habían dado un resultado fantástico. Son sencillas, bonitas y sin estridencias. Parecen muy robustas y el acabado es bueno. ¡Espero que duren mucho!</t>
  </si>
  <si>
    <t>Barato, bonito, y mantiene la hora. Estaba ya harto de la apariencia de mi super-resistente y fiable casio digital, y querría algo más elegante (aunque barato).  Es básico (sin alarma, ni fecha, claro) pero a mi me encanta la simplicidad de su estética. La correa es cómoda y resistente. No hace ruido a no ser que pegues el oído y oyes un tic débil. Llevo tres meses con él puesto todos los días y no he tenido que ajustar la hora.  Llegó rápido y buen protegido.  A este precio (menos de €10) inmejorable.</t>
  </si>
  <si>
    <t>La rapidez Todo bien</t>
  </si>
  <si>
    <t>Tarjeta con la calidad correcta muy barata Al igual que todas las tarjetas tiene el tamaño estandar y la capacidad estandar declarada (en mi caso 32Gb). Sin hacer un test de velocidad y escritura puedo decir que lo he usado para grabar video en alta calidad y va a la perfección, lo cual es lo más que se le puede pedir (salvo uso profesional). El motivo de la valoración tan buena es el precio tan barato.</t>
  </si>
  <si>
    <t>Ideal para relajar musculatura Ideal para musculatura cansada, tensa.</t>
  </si>
  <si>
    <t>Me gusta Biberón que no ha provocado ningún cólico a mi bebé y que utilizo con frecuencia , me gusta mucho que sea de vidrio porque no se pegan tanto los sabores</t>
  </si>
  <si>
    <t>Buen producto Comprado varias veces. Presentación buena y sobre todo el producto cumple. Usado principalmente para imperfecciones/granos y ayuda mucho a tener mejor la piel. Recomiendo la compra dado que la calidad/precio es muy buena</t>
  </si>
  <si>
    <t>Sami Encantada con el producto y el servicio recibido. Tallaje perfecto, muy cómodas, modernas. Sirven tanto para cada día como para verte arreglada con según qué ropa. Gracias ;)</t>
  </si>
  <si>
    <t>Se ve de calidad He sustituido un disco hdd por este de tipo ssd en un portatil HP. Me va muy bien y la velocidad del portatil es 5 veces mayor. Cuando usas el disco por primera vez no lo reconoce el ordenador pero si te vas a panel de control, seguridad, desfragmentación yen esa misma opción te aparece la opción de configurar el nuevo disco. Tengo Windows 10. Espero que me dure, pero he hacertado de lleno.</t>
  </si>
  <si>
    <t>Muy cómodos Desde que los probé siempre los uso para todo. Aunque tiene un defecto que enseñó en la segunda foto.... pero no da ningún problema si los estiras mucho pueden llegar a descoserse en mi caso me vino así.</t>
  </si>
  <si>
    <t>Excelente rendimiento Ya llevo mas de un año desde que lo compré y cumple con con su objetivo tiene un buen rendimiento.  Recomendado completamente</t>
  </si>
  <si>
    <t>Recomendable Que decir de esta bota la marca es muy reconocida eso lo dice todo</t>
  </si>
  <si>
    <t>Buen producto Me gusta todo. Funciona muy bien y es fácil de usar y limpiar</t>
  </si>
  <si>
    <t>No volvería a comprarla Para empezar no da demasiado calor. Y luego no tiene sujeción en el cuello, con lo cual es un poco incómoda. Es corta. Yo la pongo para cuello y lumbares, pero o me cubre una cosa o la otra. No recomiendo su compra.</t>
  </si>
  <si>
    <t>menos la de lavanda por ahora y no las probe aun todas...Muy bien Bien en general aun no probando aun todas las esencias....Deberian tener un formato mas grande para que el precio y rendimiento estuvieran parejos...</t>
  </si>
  <si>
    <t>Funciona bien. El aparato funciona bien. Inconvenientes son que la oreja no entra completamente en el espacio habilitado, y, además, en mi caso, parece ser que tengo intolerancia hacia el material de la cubierta de las almohadillas, de forma que en pocos minutos me produce dolor agudo en la piel en contacto con él. Contactado con el servicio de atención al cliente, no han sabido darme solución, ni recomendación alguna.  El aparato es ligero y amortigua completamente los ruidos graves. En cuanto consiga localizar una solución a la intolerancia al material, será perfecto.</t>
  </si>
  <si>
    <t>Mala experiencia La Corona llegó totalmente doblada y con algunas piedras caídas</t>
  </si>
  <si>
    <t>no son buenos son bonitos pero me duraron una semana se rompen por la suela</t>
  </si>
  <si>
    <t>No se ajusta a lo solicitado Lo compre como disco duro de 320 GB y en realidad tiene 32 GB. No me ha servido para lo que quería. En la caja tiene un dibujo enorme que dice 320 GB incorrecto al menos el que me llego a mí</t>
  </si>
  <si>
    <t>MAGNÍFICO RELOJ, AUNQUE ME LLEGÓ CON EL ENVASE ROTO Este reloj es inmejorable por su relación calidad-precio y le daría una valoración de cinco estrellas si no fuera porque la caja en la que venía estaba rota y arañada. Cuando uno compra un producto nuevo espera que le llegue en óptimas condiciones, y no ha sido el caso.</t>
  </si>
  <si>
    <t>Buena compra Muy buena compra,lo único negativo que diria es que pesa demasiado. Por lo demas la camilla y accesorios perfectos. Encantado</t>
  </si>
  <si>
    <t>Ignacio En general el producto cumple mis expectativas, son embargo a veces es difícil percibir con claridad las agujas sobre el fondo de esfera oscuro.</t>
  </si>
  <si>
    <t>Bien hecho Buena calidad y envío rápido, un dia</t>
  </si>
  <si>
    <t>Perfecto, lo mejor calidad precio Pues por 9€ que me ha costado por una oferta flash, es lo mejor que hay. Lo tengo instalado con un Sansón Meteor.</t>
  </si>
  <si>
    <t>Barato Era para mi nieta no esperaba mucho y la verdad es q es extraordinario</t>
  </si>
  <si>
    <t>Fantastica Me encanta</t>
  </si>
  <si>
    <t>Genial!!! Le pongo 3 estrellas para ejercitarse por qué queda muy chulo como para utizarlo haciendo deporte ,por lo demás es genial y queda como un guante. Perfect.</t>
  </si>
  <si>
    <t>Las mejores Son perfectas</t>
  </si>
  <si>
    <t>Perfecto para deportistas. Una sujeción muy buena para practicar deporte. Muy cómodo. Tejido muy suave que se adapta perfectamente. Transpirable, evacua el sudor.</t>
  </si>
  <si>
    <t>Super cómodos Los compré para el trabajo, ya que los necesito para hacer los shows y demás, deslizan super bien, ni siquiera al estrenarlos me hicieron roces de algún tipo. Encantada</t>
  </si>
  <si>
    <t>cumple con mis expectativas fácil de instalar, capacidad</t>
  </si>
  <si>
    <t>Camiseta Bien</t>
  </si>
  <si>
    <t>Increíble Perfecto</t>
  </si>
  <si>
    <t>De lo mejor Muy impresionado con el embalaje y lo que obtienes por tu dinero. La calidad de construcción también parece buena. El sonido es mucho más rico que mis viejos auriculares (Coloud) con graves más profundos y, lo que es más importante, son MUCHO más cómodos. El paquete incluye una linda bolsa de almacenamiento y un protector para el conector jack.</t>
  </si>
  <si>
    <t>Preciosas Super bonitas y muy cómodas....me encantan</t>
  </si>
  <si>
    <t>Precioso El colgante es precioso, a mi mujer le ha encantado. Además venía en una caja metido, por lo que venía bien protegido. Es de plata, y uno de los trozos de corazón es tono oro rosado.</t>
  </si>
  <si>
    <t>Fantastico Genial</t>
  </si>
  <si>
    <t>Lo volveria a comprar sin dudarlo Compré uno (usb version 2.0) en el 2014 que duro dos años colgados de mi llavero lleno de llaves. Dejo de funcionar en el verano del 2016. Entre que se cae al suelo y no tengo mucho cuidado con ello, me parece que ha durado bastante. Cuando dejo de funcionar, compré uno nuevo (usb version 3.0) sin pensarlo mas y estoy igual de contento. Compré uno mas como regalo en octubre 2016 y mi amigo está muy contento. Es pequeño y bonito, caben muchos datos y está muy bien de precio.</t>
  </si>
  <si>
    <t>Cómodas y modernas Me encantan estas zapatillas porque son cómodas y con un diseño muy especial. Te las puedes poner para dar una vuelta o para ir a la oficina. Son muy transpirables así que no recomiendo su uso en invierno o en otoño. Lo ideal es que ses usen en verano porque aunque son cerradas, el pie irá muy fresco.</t>
  </si>
  <si>
    <t>Buen producto Perfecta para cámaras un poco antiguas. Esta es la mejor opción en cuanto a calidad / precio, la velocidad es bastante aceptable .</t>
  </si>
  <si>
    <t>Pequeño y gran espacio Para llevar de llavero, siempre viene bien y compatible con mi Samsung S8+, necesitarás eso si, un adaptador a USB-C, valen muy poquito en amazon, pero cubres todo tipo de terminales de este tipo.  Muy bueno para pasarse fotos al usb y de ahí al ordenador sin programas intermedios o de forma más rápida.</t>
  </si>
  <si>
    <t>3 Me ha salido en mal estado, por el precio, no lo devolvor.</t>
  </si>
  <si>
    <t>Cumple, pero las almohadillas duraron poco Se oyen bien y hasta la fecha llevan unos dos años sin dar ningún problema. La pega que tienen son las almohadillas, fabricadas en una imitación de piel. Se agrietaron y cuartearon a los pocos meses (sin salir al exterior ni que les diera el sol), y la capa exterior de la almohadilla, que es de una especie de plástico que imita la piel, se empezó a desprender en pequeños cuadraditos que se quedaban en el pelo, los hombros o el sofá. Un poco engorroso.</t>
  </si>
  <si>
    <t>Igual que las otras. No funciona en mi tablet. Funciona bien y demás, pero nada destacable respecto a las demás, incluida la velocidad de lectura. No sé de dónde sacan lo de los 80MB/s. Y eso sí, no he sido capaz de rularla en mi tablet BQ Aquaris M10 no sé por qué, ya que el resto de micro SDXC que tengo , tanto las de 64GB como las de 32GB, también clase 10 UHS 1 pero de otras marcas, funcionan perfectamente en ésta tablet (y he probado a formatearla en distintos sistemas de ficheros, con distintos tamaños de cluster y más cosas, pero nada, no hubo manera). Ojo si la queréis para esa tablet.  Por lo demás, la estoy usando en mi móvil y funciona bastante bien, como las demás de su tipo.</t>
  </si>
  <si>
    <t>¡No nos atienden para devolverla! Buenos días,  La verdad es que no era lo que esperaba, no absorbe tanto como parece y casi prefiero una Dyson. También creo que le hace falta más utensilios así que he decidido darle la oportunidad a la marca de sorprenderme comprándome el siguiente modelo que tiene más utensilios aunque el motor y la potencia es el mismo. Estoy intentándolo devolver pero NADIE viene a mi casa a por ello, si quieres llamar para devolverlo te sale por una pasta y es que no tengo ni si quiera un triste mensaje de cuándo van a pasar. Osea super mal con amazon.</t>
  </si>
  <si>
    <t>Buen producto para el precio Buen producto para el precio. Es cierto que tiene un logo grande que no se ve en la foto, pero ni molesta ni es escandaloso. Lo volvería a comprar.</t>
  </si>
  <si>
    <t>Barato y cumple su función. Por el precio que tiene cumple de sobra su función. Es una pinza de plástico bastante endeble pero soporta bien el peso, la he utilizado para coger micros y otros elementos para sesiones de fotos y ningún problema. Pero vamos, insisto en que es muy sencilla y que no tiene excesiva fuerza en determinados ángulos.</t>
  </si>
  <si>
    <t>A. Martín Una máquina básica pero pienso que útil si la usas para hacer mahonesa o cremas, para eso la quiero y por el precio que más pedirle</t>
  </si>
  <si>
    <t>Buen producto Necesitaba un protector para poder grabar unas tomas en el exterior, con mucho viento y la verdad es que no he podido hacer mejor elección, son perfectos para grabar en exteriores.  Yo los use con el micrófono Rode Smartlav+ y la verdad es que mejoro mucho el sonido, ya que grabe varias tomas con el cortavientos y sin el, no viene con bolsita ni nada , por lo que tendréis que guardarlos bien para no perderlo.  La verdad es que calidad precio están muy bien, puedes irte a por otros de gamas altas, pero este funciona ala perfección.</t>
  </si>
  <si>
    <t>Bien No entiendo la doble cuchilla</t>
  </si>
  <si>
    <t>Eternas Son un modelo espectacular que me van a durar de por vida con un buen uso, tuve que pedir un numero más pero ahora me quedan perfectas y son comodisimas.</t>
  </si>
  <si>
    <t>Kristian. C. Cumple su funcion. Sencillo y facil de usar. Para uso domestico ocasional, fiestas de karaoke reuniones, etc, perfecto. Buena distancia, sin interferencias de por medio 50m se supone que los aguanta y no hace mucha interferencia.</t>
  </si>
  <si>
    <t>Ligeros y muy buen sonido. Me han sorprendido, no esperaba esta calidad de sonido por este precio, suenan realmente bien y unos graves muy equilibrados. la cancelación de ruido activa se nota un montón y además son súper ligeros y las almohadillas muy cómodas llevándolas bastante rato.</t>
  </si>
  <si>
    <t>Sistema anticolicos conseguido Sistema anticolicos muy bueno</t>
  </si>
  <si>
    <t>Buen producto Muy buena compra, perfecta para mantener los pies calientes en el invierno y muy comodas. Cumple perfectamente con las espectativas. lo recomiendo</t>
  </si>
  <si>
    <t>Muy bonito. Buen precio-calidad Buen precio y buen reloj. Fue un regalo para mi marido al q le encantan los relojes. La marca Casio es para mí de las mejores relación precio-calidad. Muy contenta con la compra.</t>
  </si>
  <si>
    <t>Perfecto para conexión Me ha venido perfecto para el uso para el q lo compre,un poco largo quizás,pero siempre viene bien algún metro extra</t>
  </si>
  <si>
    <t>Bien Todo bien</t>
  </si>
  <si>
    <t>Compra 10 Son las mas bonitas y comodisimas a un precio de derribo. Llegaron rápidamente y bien embaladas. Compra perfecta. Muy recomendable. Rechaza imitaciones,te quemaran los pies.</t>
  </si>
  <si>
    <t>Un tres piezas completo Era para un regalo. El producto es tal y como se presenta en la foto. Muy buen precio para ser un tres piezas</t>
  </si>
  <si>
    <t>Adaptable al tamaño de oído Geniales, vienen en una bolsa de imitación cuero para guardarlos. El cable lleva una cubierta plástica para evitar que se enreden y parece que los hace más resistentes o al menos es la sensación que da. También traen distintos tamaños para el auricular lo cual se agradece si tienes las orejas enanas como yo y el micro capta el sonido bastante limpio en las llamadas, esta mañana hablé con mi sobrina y no había ruidos como con los que tenía antes. Se oyen muy bien para el precio que tienen, yo escucho mucho música clásica por la calle y no me puedo quejar de la calidad del sonido aunque es verdad que se oye el cable al andar pero eso les pasa a todos.</t>
  </si>
  <si>
    <t>Solución fácil a nuestras arrugas Me ha gustado del producto que solo se necesitan unas pocas gotas para su aplicación. Con el dosificador gota a gota es muy fácil de aplicar. El resultado no es inmediato pero día tras día va haciendo efecto.</t>
  </si>
  <si>
    <t>Precio de oferta Buena calidad , talla perfecta , mi noviabquedo encantada con su regalo y el precio mas barato que en otros lados !</t>
  </si>
  <si>
    <t>​Tot perfecte. ​Tot perfecte. Gràcies</t>
  </si>
  <si>
    <t>Lo que me esperaba Pulsera sencilla, pero muy guapa.Envio rapido como siempre con amazon</t>
  </si>
  <si>
    <t>UNA VIDA ENTERA JUNTOS. &lt;div id="video-block-R2MDZR9SUYH8T0" class="a-section a-spacing-small a-spacing-top-mini video-block"&gt;&lt;/div&gt;&lt;input type="hidden" name="" value="https://images-eu.ssl-images-amazon.com/images/I/B13kf+gPTTS.mp4" class="video-url"&gt;&lt;input type="hidden" name="" value="https://images-eu.ssl-images-amazon.com/images/I/912dRdoiALS.png" class="video-slate-img-url"&gt;&amp;nbsp;J.Rosée “Nunca Distante”, Gargantilla para Mujer Tres Colores Plata de Ley 925  Con esta gargantilla de enredados le estaremos diciendo a nuestra pareja que siempre estaremos juntos, toda la vida con ella, una gargantilla para mujer de la marca J.Rosée, vendida en la página web de Amazon España por la empresa J.Rosée Buena Joyería Estudio y gestionada por Amazon, por lo que te la pueden envolver para regalo.  La joya nos llega presentada en un estuche regalo de la misma marca en color azul y con textura de tela, sus medidas son 9.2 x 7.5 x 3.5 cms., en la parte superior va el nombre de la marca, J.Rosée, en su interior la gargantilla viene cogida en un pequeño expositor de terciopelo azul, junto a ella viene un paño pulido, una tarjeta de felicitación, una bolsa o saquito de terciopelo para guardar la joya, y una cinta azul con el nombre de la marca.  El colgante es un enredo de tres colores, oro, plata y bronce, que simbolizan nunca distantes y siempre juntos, inseparables, sus medidas son 1.1 x 1.15 cms., va engarzado en una gargantilla de plata de 45 cms., teniendo un añadido de 5 cms. para poder ajustarla, todo el conjunto es de Plata de Ley 925, material anti alergia.  Se puede llevar puesto todo el día, siendo perfecto para celebraciones y eventos elegantes y discretos al mismo tiempo, llamando la atención, pero sin exagerar, y es perfecto para demostrar el amor y que siempre estaremos juntos.  Sin lugar a dudas, si lo aconsejo, con esta joya demostraremos nuestro amor y que estaremos juntos toda la vida, muy elegante y de calidad, teniendo un precio fenomenal.  Moito67_Ray</t>
  </si>
  <si>
    <t>Anonimo El reloj es precioso. No decepciona. Todo perfecto tanto la caja como el reloj. El fondo Negro es mucho más bonito que el blanco. Recomiendo su compra.</t>
  </si>
  <si>
    <t>Cascos inalambricos para tv... El paquete ha sido bien entregado y a tiempo. En general perfecto!! Estos cascos se pueden conectar al tv, como a la consola, se escuchan bastante bien. Son plegables cómodos de usar, aunque si tienes las orejas pequeñas mejor.</t>
  </si>
  <si>
    <t>Excelente Para mí es excelente en mi cocina, rapidez le doy mucho uso</t>
  </si>
  <si>
    <t>Cuidadin Al principio bien, me la puse intensivamente en el cuello y fue contraproducente. No abusar, ponerlo muy suave</t>
  </si>
  <si>
    <t>Algo grande Pedí un numero mas que el mio y me quedan algo grandes.</t>
  </si>
  <si>
    <t>Útil y práctico Bueno</t>
  </si>
  <si>
    <t>No reune las condiciones esperadas A simple vista parece un producto interesante, pero una vez que lo usas te das cuenta que no funciona como se espera, poco a poco va perdiendo potencia y solo sirve para batir/licuar productos muy blandos. Es mejor gastarse un poco más y comprar una de mejor calidad para que dure más.</t>
  </si>
  <si>
    <t>NOS HA DURADO 1 SEMANA Ha sido meterlo mi hijo en la piscina(1 metro de profundidad) y entrarle agua. Desaparecieron parte de los números de la pantalla. Lo pusimos a secar y nada. Decidí abrirlo a ver si llegando hasta la pantalla se podía arreglar pero imposible luego volver a colocarla. Entre esto y el envío un auténtico desastre.</t>
  </si>
  <si>
    <t>Buena calidad precio Muy buena calidad precio, sin ruidos de fondo, Recomendable para todos aquellos que tocamos a nivel casero o entre amigos.</t>
  </si>
  <si>
    <t>Olor suave Para el comedor dónde tengo el perro no me sirve porque puede más el olor a perro que el vaporfresh🤣😭 pero en el resto de la casa si.</t>
  </si>
  <si>
    <t>Adrián Es un reloj bastante bueno , es guapo y parece de buena calidad teniendo .en cuenta su precio, pero no lo recomiendo yo soy muy cuidadoso pero a pesar de ello no se en que momento el cristal se ha roto en una parte sin ningún golpe y la verdad decepcionado en teoría lo venden como que tiene un cristal fuerte y no es verdad .</t>
  </si>
  <si>
    <t>Es el disco duro solicitado presentación espartana Buen precio del disco duro, no me ha dado ningún tipo de problema en su instalación. Su presentación totalmente espartana un sobre  y protegido en una bolsa de burbujas. Sin ningún tipo de instrucciones, ni tornillos de nada de nada en mi caso no era necesario pero tener en cuenta  que si necesitáis algún tipo de instrucción deberéis acudir a google.</t>
  </si>
  <si>
    <t>Sonido del agua como pequeña cascada. Me parece práctico,  el aceite se añade donde mismo el agua, el sonido del agua dentro del depósito es relajante. El vapor moja, pero no sé por qué, ya que no siempre lo hace. Me hubiera gustado que el impulso del vapor fuera mayor. En general bien,tonos de luces suaves, son relajantes.</t>
  </si>
  <si>
    <t>Elegante, funcional y precio bajísimo Necesito este producto con mucha frecuencia ya que realizo numerosas exposiciones con PowerPoint y esto facilita mucho el trabajo. Compré este producto debido a su MUY BAJO PRECIO. Y estoy realmente sorprendida. El diseño del mando es muy elegante, práctico y permite llevarlo en la mano cómodamente. Es muy preciso y cumple su función a la perfección de forma muy simple, lo que hace que me guste más. Además lleva un puntero láser en rojo para poder señalar. Sin duda, merece muchísimo la pena invertir en este producto tan barato, simple y útil.</t>
  </si>
  <si>
    <t>Buena zapatilla Buena zapatilla buen agarran bien las suelas</t>
  </si>
  <si>
    <t>Buenos No se que tal serán para sonido, les he usado para alimentar tiras led a distancia y cumplen su función a la perfección</t>
  </si>
  <si>
    <t>Muy buena calidad y resistente a golpes de niños Este producto ya lo conocia por que se lo regalaron a uno de mis hijos y ahora el otro tambien lo queria.Tiene muy buen audio si lo sincronizas con el bluetooth del movil puedes pasar canciones para que el niño las cante.Ademas estoy sorprendida con el alto volumen que da comparado con otros microfonos</t>
  </si>
  <si>
    <t>Recomendado Una pasada el producto junto a la aplicación Amplitube y mesa pack deja de meter jack para guitRra y ponerte cascos con efectos</t>
  </si>
  <si>
    <t>BUENA COMPRA Perfecto, justo lo que necesitaba</t>
  </si>
  <si>
    <t>Buen precio para un buen producto Muy buen producto lo volveré a comprar buen precio para lo que se ofrece</t>
  </si>
  <si>
    <t>Hervidor de agua electrico Aicook Llegó el día que me dijeron, calienta el agua en menos de 5 minutos, super contenta con la compra</t>
  </si>
  <si>
    <t>comodos y de calidad Buena calidad, ajustados y comodos. Hay q pedir el mismo número que calzas habitualmente, en mi caso un 44, y me quedan perfectos.</t>
  </si>
  <si>
    <t>Raquel El envío me llegó perfecto y el micro tiene un resultado buenísimo para el precio que tiene. He estado cantando con él haciendo bolos con un grupo y siempre me ha ido genial. Relación calidad precio inmejorable.</t>
  </si>
  <si>
    <t>Sonido, calidad y elegancia Sin duda una compra inmejorable. Puedes utilizarlos en todo tipo de ámbitos. Son muy cómodos para el gimnasio ya que no se caen a pesar de hacer ejercicio físico y el sonido es impecable. Y aún encima la estética es elegante y manejable</t>
  </si>
  <si>
    <t>Fragancia duradera Desde hace un tiempo he estado buscando un aceite esencial con aroma cítrico, que se mantuviese mucho tiempo en el ambiente sin ser excesivamente fuerte y este aceite ha sido todo un acierto. Ademas de por la fragancia me gusta utilizarlo para ahuyentar a los mosquitos. Viene con gotero, facilitando su uso sin desperdiciar el producto como me ha pasado con otros de peor calidad.  Lo compré principalmente para usarlo en el humificador y tambien para dar masajes.</t>
  </si>
  <si>
    <t>Comodas Son cómodas, plantilla foam</t>
  </si>
  <si>
    <t>BUENA COMPRA MÁS QUE SATISFECHO. Bastantes atractivos en diseño y en tecnología. Cumple las espectativas en relación calidad/precio. Otros auriculares más caros suenan igual que estos. Estoy pensando en regalarle unos a mí señora.</t>
  </si>
  <si>
    <t>Talla perfecta Perfectas para ir en moto y cómodas....</t>
  </si>
  <si>
    <t>Vans SK8 Hi Ideales, tal cual La foto, monisimas y comodisimas, envío muy rápido, volvería a comprarlas sin dudarlo, muy contenta con la compra</t>
  </si>
  <si>
    <t>Tamaño reducido y buen material Metálico, con anilla para llevar en las llaves, se ve que es rígido y duro, y con un tamaño Justino, aunque no es de los pequeños, se lleva en las llaves muy bien.</t>
  </si>
  <si>
    <t>Excelente calidad/precio. No le encuentro ningún pero,es una compra absolutamente recomendable. Las conseguí a un precio inmejorable.</t>
  </si>
  <si>
    <t>Potente y segura Està muy bien tiene.buena.potencia y me fusta por el seguro que lleva sobre todo con un niño en casa va muy bien</t>
  </si>
  <si>
    <t>No he podido ajustármelos, se caen La presentación, el sonido y la caja con batería para cargarlos parecen excelentes. El sonido es un poco plano (me da la sensación de que le faltan graves, pero es natural para unos auriculares tan pequeños). El acabado es estupendo. Es un poco engorroso sacarlos de la caja porque va magnetizada y no los "suelta" fácilmente. El manejo de los botones es intuitivo y fácil, quizá demasiado sensible, pero va muy bien. No he probado a manejar Siri con ellos pero seguro que es sencillo, al igual que emparejarlos y enlazarlos al bluetooth del teléfono. Pero, hay un gran pero, y de ahí mi calificación: se me caen. No he logrado que se mantuvieran en la oreja cuando me movía: quieto y sentado se mantienen, pero no logro introducirlos bien (es cosa de mi pabellón auricular, supongo) pero ni hablar de andar con ellos puestos. Estoy pensando en devolverlos, no sé si me los admitirán porque he probado varias de las gomas que traían para ajustarlos.</t>
  </si>
  <si>
    <t>Hace más ruido del esperado Funciona genial, pero eso de que no hace apenas ruído no es así.  Tiene un pequeño ventilador en la base que hace un zumbido constante, y a mi, personalmente, me molesta bastante si lo tengo en la misma habitación cuando me voy a dormir.</t>
  </si>
  <si>
    <t>copa menstrual es algo complicada de poner y quitar, pero todo es práctica. Es muy cómoda no la notas que la llevas puesta. Yo pedí esta con bolita pero no se si hubiese sido mejor pedirla con palito o este muy hubiera rozado, pero igualmente es un poco indiferente, ya que no tiras del extremo por el vacío que hace la copa, simplemente es para detectar donde esta situada la copa. La normal no es ni muy blanda ni muy dura.</t>
  </si>
  <si>
    <t>No se puede sacar la mi band 3 de la pulsera Es imposible sacar la mi band 3 de la pulsera, y es de tremenda importancia para cargarla.</t>
  </si>
  <si>
    <t>Lo devolvimos Mal mal no dan aroma</t>
  </si>
  <si>
    <t>Pizarra resistente y de calidad Fácil de colgar, llego sin problemas y muy recomendable si buscas una pizarra de este tipo.</t>
  </si>
  <si>
    <t>Bueno, caro y escaso. El pincel lo mejor! Tan caro y escaso como siempre, pero de momento cumple con su cometido. La gran ventaja es el aplicador con pincel, mucho más limpio y curioso que el convencional.</t>
  </si>
  <si>
    <t>Bien Bueno, cumple las expectativas para lo que yo lo quiero, calidad precio por cantidad bien, calidad el tiempo lo dirá, a mi me vale.</t>
  </si>
  <si>
    <t>Son como en la foto Me llegaron en el tiempo estimado. Son exactamente iguales que en la foto. Normalmente uso un 40 o 41, después de probarme unas parecidas en unos grandes almacenes decidí pedir la talla 40 y aún así me quedan un poco grandes pero son realmente cómodas. No recomiendo para uso en verano ya que suda algo el pie.</t>
  </si>
  <si>
    <t>Calidad Samsung no falla en estos componentes. Mucha calidad, y simple de instalar.</t>
  </si>
  <si>
    <t>Cintas etiquetadora Dymo Perfectas!!! Llegaron muy rápido y son de buen material. Se adaptan perfectamente a mi etiquetadora. 100% recomendables! Volveré a comprar. Sin duda.</t>
  </si>
  <si>
    <t>Buenas zapatillas Soy de pie ancho, y estas son mis primeras New Balance. Pedí medio número mas del habitual, y me van perfectas. Cómodas y muy bonitas. Muy contento con el producto.</t>
  </si>
  <si>
    <t>Muy buenos Muy buenos auriculares todo bien y cómo se describen. Estoy muy contenta son cómodos y se pliegan muy bien para meterlos en su bolsa.</t>
  </si>
  <si>
    <t>Auriculares para correr Los auriculares me han fascinando, son muy anatómicos, además se escucha bastante fuerte y no se distorsiona, trae un estuche que permite guardarlos y llevarlos contigo ya que tiene un gancho! Se adaptan a cualquier tipo de oreja porque trae distintos tamaños en la goma que se adapta al auricular.. sin duda me han parecido una muy buena inversión! Los recomiendo</t>
  </si>
  <si>
    <t>Calidad Todo perfecto ,producto recomendable muy bien acabado y de calidad</t>
  </si>
  <si>
    <t>Muy cómodos Me han gustado mucho estos calcetines, los compré para poder or descalz por casa y cumple con lo que dicen. Comentar que yo calzo un 39/40 y tengo muy estrecho el pie y me van un poco justos</t>
  </si>
  <si>
    <t>Llegó avtiempo Buena relación calidad/precio</t>
  </si>
  <si>
    <t>Elegante Gracias a los 2400W de potencia ciertamente el agua lo tenemos a punto en no mucho más de un minuto, con el calderín lleno. El cepillado en acero inoxidable, en este caso hace que sea muy elegante y se le localice perfectamente en la cocina. También en los otros tres colores queda chulísimo en la cocina, sobre todo el rojo, me encanta. Fácil de limpiar con el filtro totalmente extraíble. En cuanto al nivel de ruido, comparándolo con otros de similares características, podría decir que es más silencioso. Relación calidad-precio excepcional en este modelo de Russel Hobbs</t>
  </si>
  <si>
    <t>Estupendos Son como esperaba de buena calidad y con forro polar por dentro. Muy calentitos y cómodos buen diseño. Me gusta mucho Joma porque se corresponde la calidad y el precio está a la altura de marcas más internacionales</t>
  </si>
  <si>
    <t>Muy elegante Un precioso collar de 3 cadenas que, aunque se note que es de chapa, queda muy bien puesto. Lo recomiendo (sobre todo por su precio) PD ¡¡si alguien sabe cómo evitar que se enreden las cadenas que me lo diga!!</t>
  </si>
  <si>
    <t>Buena calidad precio El producto viene embalado correctamente. Incluye recambios de auriculares, cable de carga y funda. También instrucciones.  Después de haberlos utilizado varios días principalmente para correr, puedo decir que por fin he encontrado unos auriculares que no me caigan del oído al estar en movimiento. Son muy cómodos ya que el cable que los une es muy fino y no molesta.</t>
  </si>
  <si>
    <t>Calidad/precio perfecto Cristales de tamaño bastante grande. Los utilizo para vapeo</t>
  </si>
  <si>
    <t>Facilitar el ejercicio de esa zona Parece muy útil y fácil de usar</t>
  </si>
  <si>
    <t>producto estupendo, sin problemas de ningún tipo Producto estupendo, y económico. Cumple mis expectativas, y volveré a comprarlo cuando se me acaben. No he tenido problema alguno para ceterlas en la grapadora, y coser documentos. Recomiendo a todos.</t>
  </si>
  <si>
    <t>Auriculares Bluetooth, Bagotte Auriculares deportivos Estéreo con Micrófo Auriculares que por el precio que tienen no vas a encontrar nada mejor ya tengo un tiempo con ellos y van de lujo cargan muy rápido la batería le dura una barbaridad muy buen sonido y lo mejor el micro operativo al 100x100 no como otros que dicen que tienen manos libres y el micro es una patata la verdad que estoy muy contento con esta compra.</t>
  </si>
  <si>
    <t>Una buenas botas todo terreno y sobre todo efectivas ante lluvia y frío. Poco hay que aportar sobre las conocidas botas Panama Jack, puede considerarse una marca con precios caros en general, pero tratándose de este modelo la verdad es que por lo que cuesta te garantizas una sensación de calor en los pies y de tenerlos secos gracias a la protección de membrana Goretex que traen en su interior, las he probado en nieve y con lluvia y sobre charcos que cubrían un poco mas de la suela y en efecto los pies siguen secos y calientes.  Una vez las limpias, te las pones a tu manera y resultan un calzado moderno y vistoso para llevar de calle, copas y otros, combinan con estilos informales y con looks más clásicos, ya  prefieras vaqueros por dentro o por fuera es una bota de color rojizo muy resistente al tiempo y al trote y opta por un diseño un tanto clásico y fiel a la marca por la efectividad y la protección ante los elementos.  La medida, puedo decir que uso un 43 en casi todo tipo de calzado, y se han ajustado a mi medida tal cual, no vienen grandes ni pequeñas. Como dato negativo, no traen el bote de la grasa que en tiendas físicas suelen regalarte.</t>
  </si>
  <si>
    <t>Reloj piscinero. Compré este reloj para machacarlo en la piscina y que no hubiera que tener mucho cuidado,  Y la verdad es que está muy bien muchas funciones, pila para 10 años y estoy encantado con él.</t>
  </si>
  <si>
    <t>Perfectas Comodisimas</t>
  </si>
  <si>
    <t>CONEXIÓN BLUETOOH Y DEPENDENCIA CAJA. Estoy leyendo todos los comentarios y nadie hace mención al tema del problema existente con la conexión. Debería haber una función para elegir comodamente si usar los auriculares en modo estereo ( ambos)  o usar independientemente cada uni. Es una ardua tarea poder conectar ambos a la vez, a veces se conecta el izquierdo, otras el derecho pero raras veces se conecta a la primera los dos, tienes que hilar muy fino para sacar a la vez los dos de la caja. Otro problema es, que no existe función de apagado, y si te los quitas tienes que meterlos en la caja, es decir, ir con ella a todos lados. No se puede usar e irte sin la caja, porque si luego al cabo de X tiempo quieres volver usarlo, no da señales de ninguna forma y no deja conectarse nuevamente con el móvil, es decir, no establece la conexión hasta que vuelve a la caja y lo sacas nuevamente.  Por ello he tenido que proceder a la devolución sintiéndolo mucho pues realmente se escuchan muy bien y no se caen, pero tener que llevarme X tiempo para conseguir conectarlo y depender de la cajita, como que no.</t>
  </si>
  <si>
    <t>Rapido La verdad que es muy rápido, pero para lo que cuesta en vez de poner una pegatina, podrían haber puesto alguna goma disipadora o incluir algún shield</t>
  </si>
  <si>
    <t>Ana El tamaño del reloj es muy pequeño. Yo diría que es tamaño de señora o de niño. En la foto parece mucho más grande.</t>
  </si>
  <si>
    <t>Decepcion No hace un año que la tengo desde diciembre 2017 hoy día 26 noviembre 2018 de ha roto. Muy mala compra.No es la primera vez que me ocurre con compra en amazon de batidora la otra vez se rompió x mal material pensé que al haber sido marca desconocida x eso ocurrió.Me decido gastar más y comprar una "buena" marca no ocurriría esta vez el falloes calientamiento olor a quemado. No lo recomiendo.</t>
  </si>
  <si>
    <t>Mis preferidas Mis preferidas para el verano!</t>
  </si>
  <si>
    <t>No salpica ,es ligera y tiene todo lo que necesito hasta para las claras Me encantó,de momento funciona genial ,la picadora era lo qu3 más miedo le tenía</t>
  </si>
  <si>
    <t>Buena regulación de temperatura La calidad y acabado es la habitual en la marca Daga y en esta almohadilla esta mejorada la regulación de temperatura que permite mas pasos intermedios que otros modelos mas antiguos que tengo. Como mejora la estética de la funda de algodón que incorpora.</t>
  </si>
  <si>
    <t>Que funciona bien y que sea duradero Fácil de usar ,buen resultado</t>
  </si>
  <si>
    <t>La mejor relación calidad/precio del mercado La mejor relación calidad/precio del mercado</t>
  </si>
  <si>
    <t>Buena compra Compra muy recomendable. Viene muy bien envasado y el diseño está muy chulo. Justo lo que buscaba. Funcionan perfectamente y puedes regular el volumen también lleva una pinza para colgar.</t>
  </si>
  <si>
    <t>Reloj elegante Reloj elegante, tenía ganas de tener un reloj negro, esfera y correa y este me ha gustado mucho. El material de la correa es metálico y se ve muy duradero. Buena calidad-precio</t>
  </si>
  <si>
    <t>Perfect Perfecto. Mejor de lo que pensaba Muy comodas</t>
  </si>
  <si>
    <t>Buen precio El viejo confiable y siempre a buen precio</t>
  </si>
  <si>
    <t>Me gusta Me gusta, se ve de calidad, es bonita, elegante, práctica para tarjetas, el color negro es para mi el más bonito, compré salmón y era horroroso, el negro es perfecto,  contento con la compra</t>
  </si>
  <si>
    <t>Es Casio original. Es la versión original. Viene con certificado de garantía, la etiqueta de Casio colgando de la correa y viene con una funda tipo estuche de gafas. El A158WA lleva el mismo módulo (593) que el Casio F-91W, lo cual ya es una garantía de buen funcionamiento y calidad. Este reloj vendría a ser un F-91W pero con correa de metal y caja metalizada (que no de metal). Por lo que cuesta no se puede pedir más, se ve que es de calidad, con buenos acabados y se siente muy cómodo en la muñeca (es muy fácil de ajustar).</t>
  </si>
  <si>
    <t>Casio Un Casio no vamos a descubrir nada</t>
  </si>
  <si>
    <t>Buenísima Perfecto</t>
  </si>
  <si>
    <t>Perfecto botas muy comodas,ta y como sale en la fotografia, las recomiendo,si gastas X direnos en buenos calzados ,¿por que no utilizar en el trabajo estas botas si nos pasamos muchas horas currando?</t>
  </si>
  <si>
    <t>Mi bebé son los unicos que quiere Son los únicos que mi hijo ha aceptado</t>
  </si>
  <si>
    <t>Moderna La mochila esta muy guay....es grande....entran muchos libros del colegio.....a mi hijo le a encantado....las cremalleras parecen fuertes y van muy bien....y los cordones rojos que tiene en las puntas facilita elnabrir y cerrar. Estoy pensando en comprar otra de otro modelo para intercambiar.</t>
  </si>
  <si>
    <t>Me ha gustado mucho. Genial. Es precioso. Lo he comprado para un regalo y le va a encantar. Es de cuero y huele a cuero. Lo recomiendo, se ve de buena calidad.</t>
  </si>
  <si>
    <t>10 por casio Casio.... sobran las palabras, bueno y clásico. Me encanta</t>
  </si>
  <si>
    <t>Muy buenas zapatillas Muy cómodas</t>
  </si>
  <si>
    <t>Genial para todos los biberones y sacaleches Lo usamos todos los días un par de veces y es el primero que no se estropea con el uso. Llega a todos los rincones y me parece más higiénico que los limpiadores con esponja. En principio parece cómodo para limpiar tetinas pero yo me apaño mejor con una escobilla pequeña. Lo recomiendo para todos los papás!</t>
  </si>
  <si>
    <t>Bueno Funciona perfectamente, al principio cuesta aprender a manejarlo pero luego puedes obtener resultados profesionales. Funciona con ableton live</t>
  </si>
  <si>
    <t>Perfectas Lo volveré a comprar, me encantan</t>
  </si>
  <si>
    <t>Muy suabe Es tal y como la describen muy suabe y agradable al tacto en mi caso. cumple su cometido ,dolor de espalda</t>
  </si>
  <si>
    <t>Tiene contraindicaciones muy importantes a tener en cuenta El envío bien como siempre. En cuanto al producto, no puedo opinar sobre su eficacia, pues lo compré para un familiar que tiene artritis reumatoide y precisamente está contraindicado para personas con esta enfermedad. También advierte del uso en personas mayores de 55 años que no pueden aplicarlo directamente sobre la piel, sino que tienen que colocar algún tejido entre el producto y la piel, por ej. una camiseta.</t>
  </si>
  <si>
    <t>Poco resistente Aunque estéticamente es bonita y útil, se ve muy edeble y trae pocas carpetas clasificadoras (solo 5, lo avisa el vendedor) Al tener tantas aperturas, entra mucha suciedad</t>
  </si>
  <si>
    <t>No merece la pena Bueno, para mí entender la pantalla es pequeña, los pasos los mide cómo le da la gana, ya que no distingue si estás en bici o andando. Y la frecuencia cardíaca no sabría decir, al no poder contrastar con otr El software es normal.</t>
  </si>
  <si>
    <t>que no es lo que venden es bastante cutre, y no es plata,es chatarra.</t>
  </si>
  <si>
    <t>Horrible Incomodidad se clava en todos los sitios. Lo devolvi</t>
  </si>
  <si>
    <t>Decente Buen producto para el precio que tiene. Lo encuentro poco práctico a la hora de fijar los componentes. Te acostumbras a ello.</t>
  </si>
  <si>
    <t>Funciona correctamente y es bonito Hasta ahora funciona correctamente. Me gustan las luces que tiene y su aspecto en general.  Contenta con la compra. No sabía si comprar este o el pequeño y ahora pienso que hice bien ya que el otro debe quedarse muy justo.</t>
  </si>
  <si>
    <t>Perfecto para el trabajo me viene muy bien para el trabajo, es comodo y sobre todo calidad precio perfecta! :)</t>
  </si>
  <si>
    <t>Bonito, aunque algo pequeño para hombre. Muy contento con la calidad del artículo, aunque el tamaño es algo más pequeño de lo que esperaba, y queda quizá un poco pequeño en la muñeca de un hombre, pero eso es cuestión de gustos.</t>
  </si>
  <si>
    <t>Bien Tamaño un poco justo, calidad aceptable.  Quizas deberian ser mas explicitos con los tamaños porque pese a que uso normalmente  un 44 me va muy justo.</t>
  </si>
  <si>
    <t>El color Zapatos muy bonitos y de gran calidad, tal y como se espera de Merrel yo siempre pido una talla de más y me queda perfecto.</t>
  </si>
  <si>
    <t>Muy bueno No puede ser más bonito y elegante. Si estás buscando un reloj para vestir, este es ideal. Llegó perfectamente y en buenas condiciones.</t>
  </si>
  <si>
    <t>Calidad Regalo para mi madre. Está muy contenta. Hace los purés muy bien. No hemos hecho aún mucha cosa. Pero se ve material de calidad. Y las ventosas la sujetan genial</t>
  </si>
  <si>
    <t>Muy bonito Queda muy bien</t>
  </si>
  <si>
    <t>Los mejores zuecos para trabajar Trabajo en el sector sanitario y son los mejores zuecos que he tenido, que es decir mucho porque he tenido muchos. Ya es el tercer par que compro y estoy completamente satisfecho. La única desventaja es que con el tiempo se desgasta la suela  y pueden resbalar en algunos suelos mojados.</t>
  </si>
  <si>
    <t>No quedan trozos  al momento de licuar los alimentos Tamaño ideal para todo la familia , no quedan grumos al momento de hacer batidos ,ideal para hacer papillas para los pequeños de la casa</t>
  </si>
  <si>
    <t>Expectativas cubiertas Fue un reglao</t>
  </si>
  <si>
    <t>Ótimo Muito prático</t>
  </si>
  <si>
    <t>Buen invento Genial para los que no tenemos un amplificador a mano, me gustaría que tuviera salida a PC pero por el precio es más que suficiente.</t>
  </si>
  <si>
    <t>Me los recomendó el pediatra para los cólicos. Por ahora los mejores que he probado, la bálvula evita que le entre aire.</t>
  </si>
  <si>
    <t>Buena ampliación para PS4 Lo he comprado para ampliar el disco de la PS4 y no he tenido ningún problema. Parece que los juegos cargan un poco más rápido pero tampoco hay mucha diferencia</t>
  </si>
  <si>
    <t>Mis preferidos Quien no conoce la Marca Crocs, són excelentes zuecos, muy cómodos, hace años que los utilizo y repito cuando los necesito. Muy buen precio en promoción. Los recomiendo.</t>
  </si>
  <si>
    <t>Perfecto Buen reloj para un niño, con alarma, cronómetro, cuenta atrás, etc</t>
  </si>
  <si>
    <t>Silencioso Es silencioso, lo suficiente para no molestar en la casa a nadie que esté durmiendo. Yo lo compre porque me levanto muy temprano y me gusta hacer zumo todas las mañanas, así que es perfecto porque no molesta, los que duermen no lo oyen, ni estando al lado de la cocina. Es fácil de limpiar, solo tres piezas y fáciles de poner.</t>
  </si>
  <si>
    <t>Grapas de calidad . Si estas cansado de tirar grapas o que queden a medio-grapar comprate estas ,van de lujo con la grapadora Esselte Leitz 55020095 que es un pepino y hasta la fecha no he tirado ni una y todas las grapas van de lujo y pocas cosas se le pueden resistir ya que grapa grandes grosores de papel .</t>
  </si>
  <si>
    <t>Compra perfecta Perfecto en talla. Son Vans, así que si las conoces ya sabes su calidad. Son muy buenas.</t>
  </si>
  <si>
    <t>Buena batidora Braun, como siempre la marca de las batidoras de toda la vida. Muy completa con el vaso picador, el bote, las varillas y el pie de cuchillas.</t>
  </si>
  <si>
    <t>Perfectos Rápido envío, 3 pares de pendientes de bola de distintos tamaños. Plata 925.</t>
  </si>
  <si>
    <t>Perfecta y cómoda Pequeña, ligera y muy cómodo el enganche para llevarlo en el llavero.</t>
  </si>
  <si>
    <t>Las Manecillas no son luminiscentes El reloj llegó en el plazo previsto, y en buen estado y embalaje, el reloj tiene un tamaño de 34mm el circulo de plástico transparente, unos 40mm en total de diámetro. En definitiva, un reloj sencillo, buen tamaño y espero que duradero...ya lo veremos, ideal como reloj de batalla. Para mi el gran inconveniente es que las manecillas no son luminiscentes, vaya que por la noche no ves la hora.</t>
  </si>
  <si>
    <t>Cumple con lo que dice ser. Sujeta muy bien a Mi Band 3, no es difícil montar y desmontar y la correa tipo reloj permite ponértela y quitártela fácilmente. Pero por alguna razón apenas deja transmitir la vibración a la muñeca impidiendo conocer cuándo tienes una notificación, lo que limita la mayor utilidad que yo he buscado con Mi Band. Podría ser por fabricarse en metal.</t>
  </si>
  <si>
    <t>Decepción No recomiendo nada. La mayoría despegadas y las fotos no se pueden poner bien. Con lo bonito que es por fuera, ese fallo es muy grande.</t>
  </si>
  <si>
    <t>Mala calidad Mala calidad. No pude devolverla</t>
  </si>
  <si>
    <t>Auriculares Vienen como originales pero nada que ver con el original el micro la persona que te escucha te oye como si estuvieras en una calle con mucho ruido y tráfico</t>
  </si>
  <si>
    <t>Muy bien Es un cepillo con cerdas duras y está muy bien, aunque para lo que yo quería no me sirve de mucho, que es en la rendija de la mampara de baño, las cerdas se quedan cortas. Pero está muy bien</t>
  </si>
  <si>
    <t>Muy buen zapato Llevo solo un dia con estas botas,pero estan muy bien. Las pedi un numero mas pequeño,uso 42 y pedi 41,siguiendo los comentarios y he acertado, aunque aun asi son un poco grandes...no se si tenia que haber pedido el 40,pero le puse unas plantillas y estan mucho mejor. El envio solo en un dia,asi q perfecto!!! Espero que aguanten mucho..:)</t>
  </si>
  <si>
    <t>Batidora de vaso Estaba encantada con este producto pero se me ha roto la batería y no puedo sustituirla, me voy a tener que comprar el aparato entero. Si que es vetada que la he usado mucho pero hace menos de un año que la compre, no sé si ha sido mala suerte o mala calidad.... aún así creo que le daré otra oportunidad y retire ya que estaba muy contenta y me parece súper cómoda de utilizar.</t>
  </si>
  <si>
    <t>Magnífico reloj El reloj me ha gustado más de lo que esperaba cuando realicé el pedido. Pensé que era completamente negro pero tiene una parte azul alrededor de la esfera que le queda muy bien. El tamaño es perfecto, ni muy grande ni pequeño.Lo que no he probado todavía es lo de las mareas, pero el resto funciona fenomenal incluida la carga con el sol. Lo recomiendo</t>
  </si>
  <si>
    <t>Es funcional No me acopla bien</t>
  </si>
  <si>
    <t>Cumple su propósito Después de haber probado varios auriculares similares, estos han sido los que mas se han acercado a lo que buscaba, principalmente por la ergonomía y elemento de sujección a la oreja que es algo fundamental desde mi punto de vista para hacer deporte. Los recomiendo. El único punto negativo es que la batería se descarga completamente aunque el indicador muestre que está por la mitad (dura unas 6-7 horas) y que distancia con el móvil tiene que ser cercana pues en 2 metros ya pierde la conexión.</t>
  </si>
  <si>
    <t>Diferentes formas originales Son muy bonitos, complemento perfecto para hacer de mis llaveros únicos.</t>
  </si>
  <si>
    <t>Muy bonito Es muy bonito. Aunque hay que tener un poquito de cuidado con las esquinas porque se rompen</t>
  </si>
  <si>
    <t>Zapatillas Nike Me quedan bien es justamente la talla que calzo y las zapatillas vinieron en perfecto estado, sol que el teni derecho me lastima en la parte superior del pie.....</t>
  </si>
  <si>
    <t>Precioso Es precioso, se lo he regalado a mi madre por su cumpleaños y está encantada.</t>
  </si>
  <si>
    <t>Vale cada euro gastado...sin peros. Valen cada euro que me he gastado en ellos, buenos no, lo siguiente...Aunque para correr no me valen mucho porque al trotar y respirar todo el rato con la boca abierta se me cierra el pabellón auditivo y apenas oigo la música, estoy mal hecha qué vamos a hacer...por otro lado utilizarlos fuera de este caso ha sido una experiencia de lujo porque suenan muy bien, no sabría decir, los graves son profundos y los agudos muy claros, eso sí, estoy utilizando un software en mi Smartphone para escuchar música que flipas. Por cierto, el emparejamiento lo hice a la primera, sin complicaciones de nada. Otro punto es que aislan muy bien del ruido exterior, y en el metro o en el bullicio de la calle no se escucha nada de nada de fondo, no se corta la transmisión, no se escuchan chasquidos ni ostias raras, sólo un sonido limpio.  Otra flipada es la autonomía, una salvajada de horas tanto en los cascos como en la cajita de guardado donde por cierto podemos ver la carga restante aproximada de forma porcentual, esto en principio fue lo que me hizo decantarme por los cascos pero luego te das cuenta que también te lo marca en el mismo smartphone. Ah! Que puedas utilizar la caja como una power bank pues está bien pero tampoco es algo que vaya a utilizar pero si alguna vez te quedas tirada pues bueno... No sé qué más decir que no se pueda leer, lo que aguanta el sudor y todo eso es cierto y que son cómodos también porque no pesan nada. En fin... Encantada con la compra, chin-pom!!!</t>
  </si>
  <si>
    <t>Bonito, contundente y preciso, me encanta!! El reloj es precioso, una maravilla... y funciona de fabula. Llevo unos días con el en la muñeca sin quitarmelo ni para dormir, y es que va al milímetro, genial. En mi muñeca de 19cm queda de escandalo, y muy vistoso...recomendado para personas que tengan una muñeca grande.</t>
  </si>
  <si>
    <t>Muy confortable Ideal</t>
  </si>
  <si>
    <t>Muy recomendado!!! Excelentes! Yo lo uso con un iPad 3 y el Garatge band va fantástico! Es súper recomendable, relación precio calidad inmejorable! Con el iPad no hay late vía, y en un pc con win10 tiene un retardo casi insignificante! Además x tamaño permite tocar bastante bien ya que 32 teclas es mejor que 25 y es muy compacto para llevar a cualquier parte! Muy contento y lo recomiendo con los ojos cerrados! Saludos</t>
  </si>
  <si>
    <t>Ok Fantástico</t>
  </si>
  <si>
    <t>pulgar arriba! El calor alivia contracturas musculares y dolor de cervical. Se calienta muy rápido y se apaga automaticamente si se te olvida enchufada. Al ser flexible, se adapta bien a las varias partes del cuerpo. Aún no la lavé y entonces no sé decir si de verdad se puede poner en la lavadora como dicen.</t>
  </si>
  <si>
    <t>Estupendo Genial, tiene un diseño muy bonito, no es ruidoso y viene divido en tres partes la central es para que el agua no se derrame también trae para poner temporizador. Lo recomiendo 100%</t>
  </si>
  <si>
    <t>Excelente Muy buena calidad y comodidad</t>
  </si>
  <si>
    <t>diseño el color y no el peso</t>
  </si>
  <si>
    <t>Me ha encantado Muy chulo y d calidad. Era para un regalo y a la persona le ha encantado Asique muy contenta. Y el pedido me llego muy rápido y con su pertinente bolsita de Pandora.</t>
  </si>
  <si>
    <t>Recomendable 100% Para el día a día en el trabajo, lo recomiendo, no pesa y es comodo</t>
  </si>
  <si>
    <t>Muy conductiva y duradera Como siempre noctua nos ofrece lo mejor y esta no es una excepción, pasta térmica muy conductora, consistente y duradera.</t>
  </si>
  <si>
    <t>Pequeños y compactos Me ha sorprendido lo pequeños que son, tanto el auricular como la caja para transportarlos son realmente compactos, muy fácil de llevar a cualquier sitio. En cuanto a la conectividad, es compatible con Android e iPhone y muy rápido y fácil de conectar a la primera. Para hacer deporte puede ser menos cómodo de lo esperado por su tamaño, al menos en mi caso.</t>
  </si>
  <si>
    <t>Calidad precio muy bueno Escribo esto después de haber comprado el auricular hace bastante tiempo. La bateria dura como el primer día, la calidad de sonido sigue siendo muy buena, se carga en muy poco tiempo. Su conectividad tanto como para iOS y Android muy bien. Mi mujer que es quien lo utiliza dice que esta encantada y que es muy simple de utilizar. Lo volveria a comprar.</t>
  </si>
  <si>
    <t>No ajusta bien al micro Blue Yeti Lo uso con un micrófono Blue Yeti y la fijación no es estable a pesar de que la base es bastante robusta. Se suelta con mirarlo y se desajusta con demasiada facilidad.</t>
  </si>
  <si>
    <t>Marcas de haber sido usado Este articulo tiene manchas y todos los sintomas de haber sido usado antes cuando yo lo habia comprado como nuevo.</t>
  </si>
  <si>
    <t>Decepcionante Compre el producto porque ya lo había usado esta marca anteriormente pero a nivel lumbar, lo peor que ahora he notado es que tarda mucho en calentarse y si a esto se le suma el hecho que se despega en ambos bordes o sea una decepción total, el envío fue muy rápido insisto el feedback es para el producto no es con el vendedor.</t>
  </si>
  <si>
    <t>Muy grande Es demasiado grande</t>
  </si>
  <si>
    <t>No me sirvió Desde el primer momento, aproximadamente cada 10 - 15 minutos el sistema deja de responder durante más de 10 segundos. Además, al reiniciar aparecen cada vez nuevos errores de disco que impiden arrancar el sistema hasta que son corregidos con un disco de arranque externo. He vuelto a poner el disco antiguo y funciona perfectamente Procedo a su devolución</t>
  </si>
  <si>
    <t>Grabación de muy mala calidas, como con auriculares de movil. Es de muy baja calidad. Hay micrófonos que cuestan lo mismo (aunque sólo te viene el micro) que valen mucho más la pena. No lo he devuelto por el brazo, el filtro y la sujeción, pero el micro es pésimo. Acabo de comprarme otro porque con este más vale que grabes con el mismo movil.</t>
  </si>
  <si>
    <t>Precioso Perfecto</t>
  </si>
  <si>
    <t>Ningún problema He comprado el pack de 10 botellitas de 8GB. Han llegado rápido y muy bien embalados. Como no me fiaba mucho, he probado los diez en el ordenador: no cuesta introducirlos, los reconoce todos, y en todos he podido meter alguna imagen y abrirla sin problema. La capacidad en todos es correcta: de 8GB y un poquito más incluso. Son para usar más adelante y entregar trabajos a clientes, por lo que si alguno falla revisaré mi comentario! De momento sí los recomendaría.</t>
  </si>
  <si>
    <t>Buenos pantalones y con buen precio Uso éstos pantalones para jugar al pádel, me gustan y son de buena calidad. El único pero es que tiene los bolsillos excesivamente grandes, cualquier cosa que eches en ellos, al segundo paso que des ya sobresale completamente por debajo del pantalón.</t>
  </si>
  <si>
    <t>Muy buen olor El aroma es muy bueno</t>
  </si>
  <si>
    <t>Agradable Sostengo el mango y me siento bien cuando lo presiono.</t>
  </si>
  <si>
    <t>Muy contento con esta compra #--# Nuestro interés al comprar el producto #--# Quería comprarme una bandolera para guardar todos los documentos y mi iPad que siempre llevo al trabajo, y tras buscar por Amazon me decidí por esta bandolera gracias a su diseño (ya que me gusta bastante) y por su precio.  #--# Puntos buenos del producto #--# - El 90% del material de la bandolera es de tela (bastante fuerte). - Tiene bastante espacio, aunque no se puede apreciar en las fotos (cabe un iPad Air). - Varios compartimentos con cremallera y algúnos bolsillos. - Correa regulable.  #--# Puntos malos o no tan buenos del producto #--# - Las cremalleras podrían ser de mayor calidad.  #--# Conclusión #--# - Una bandolera bonita, barata y de una buena calidad. Muy satisfecho con esta compra.</t>
  </si>
  <si>
    <t>Todo bien Estam muy bien</t>
  </si>
  <si>
    <t>Todo perfecto El producto recibido es tal cual se describe y aparece en la imagen. Una muy buena compra y lo recomiendo sin duda.</t>
  </si>
  <si>
    <t>Correcto Suavidad de corte  y resultado esperado.</t>
  </si>
  <si>
    <t>Compra recomendable Lo dejamos puesto cuando salimos de casa puesto que se apaga solo si se queda sin agua y abrir la puerta y que huela bien tu casa.... es relajante, agradable y no tiene precio! Es una buena inversión. También la función de aromaterapia y esperamos a probar en invierno como funciona con un aceite de eucalipto o similar para evitar resfriados. La relación entre las posibilidades que tiene y su precio es excelente. Es bonito aunque el material no sea madera. Llegó perfectamente embalado.</t>
  </si>
  <si>
    <t>Tarjeta buena Es una tarjeta de memoria rápida con un precio adecuado a las prestaciones que ofrece. Estamos contentos con ella. De momento no ha fallado.</t>
  </si>
  <si>
    <t>Delgada estrecha y con buenos materiales. Buenas le regale esta bateria a mi hermana porque decia que no queria nada grande para poder llevarlo en los bolsillos si hiciera falta. El envio y el embalaje buenos. Pros: --La bateria me parece  buena por la calidad de los materiales es metalica y le da un aspecto premium pudiendo elegir entre varios colores.   --Tiene unas dimensiones muy buenas siendo estrecha y fina ideal para cargar una vez entera cualquier telefono movil y realizar otra media carga.   -- La puedes llevar en un bolsillo o en un bolso ocupando muy poco espacio ya que es super fina. Constras: El cable para poder cargarlo es muy corto teniendo que tener la bateria pegada el telefono movil no pudiendo manejar este con comidiad. https://www.amazon.es/dp/B00ZWVSO7S/ref=cm_cr_ryp_prd_ttl_sol_10</t>
  </si>
  <si>
    <t>Calidad de sonido y buena recepción. He comprado hace unos días este micrófono, y muy contento con la compra, tiene buena calidad de fabricación, es muy cómodo, con un muy buen sonido y una recepción sin interferencias bastante larga, todavía no puedo opinar sobre la duración de las pilas, tanto del micro, como la duración de la batería del receptor, pero teniendo una buena autonomía, es un micrófono recomendable, incluso para actuaciones pequeñas de dúos o tríos, tiene una buena presencia y cuerpo en la voz, sin ninguna distorsión, procuraré hacer una nueva reseña en cuanto tenga tiempo de comprobar la referida autonomía. Hoy por fin pude utilizar el micrófono, en un ensayo, y puedo decir, que ha funcionado perfectamente, con buena calidad de sonido y sin ninguna interferencia, ha sido utilizado con otros dos sistemas inalambricos y un sistema de monitores in-ear, han sido tres horas de duración del ensayo y todavía sigue con carga de bateria, tanto en el micro como en el receptor, espero ver todo lo que aguanta, en una utilización próxima mas larga y ya lo comentaré para los que les interese, saludos. Quiero hacerles un comentario al equipo de Amazon, por que me ha sorprendido enormemente, resulta que navegando por internet, descubro una página llamada EUSCOMSHOP.com en la cual, se anuncia a la venta este mismo micrófono, y curiosamente en las opiniones que hacen de él, me encuentro la mía que efectué en su día sobre él, copiada exactamente, como fotografiada, no se como se pueden coger datos de clientes de otras tiendas y hacerles pasar como si fueran suyos, lo cierto es que no creo que sea muy legal ese tipo de publicidad, que vulnera un poco la privacidad de clientes de otras empresas, simplemente ahí dejo esta observación para el equipo de Amazon, por si es de su interés. Saludos</t>
  </si>
  <si>
    <t>Acorde a descripción Buena calidad</t>
  </si>
  <si>
    <t>Muy cómodos y ligeros Muy cómodos, se ajustan perfectamente y son ligeros. Vienen con caja para guardarlos y diferentes tamaños para el auricular. Se oyen perfectamente incluso en distancia</t>
  </si>
  <si>
    <t>Estupendo Un producto estupendo, después de pensar mucho me decidí a comprarlo y estoy encantada con su funcionamiento. Su relación calidad / precio es estupenda y lo recomiendo a todo el mundo.</t>
  </si>
  <si>
    <t>Excelente La riñonera tiene 2 bolsillos, en el grande cabe perfectamente la cartera y el movil. En el pequeño las llaves y mas cosas pequeñas. Es muy cómoda ya que puedes llevar la botella. Se puede poner a la medida de tu cintura. La tela es de buena calidad. Ideal para caminar o correr.</t>
  </si>
  <si>
    <t>Ok Perfectos</t>
  </si>
  <si>
    <t>Buenas y bonitas Mi mujer está encantada con sus nuevas zapatillas. Las utiliza para salir a dar un paseo y son muy cómodas, se limpian bien y son muy bonitas.</t>
  </si>
  <si>
    <t>Buen rendimiento a precio comedido Este disco ofrece una buena velocidad de transferencia, con una gran memoria caché interna. Y el precio es bastante ajustado. Muy satisfecho con su compra.</t>
  </si>
  <si>
    <t>Buena calidad Bien de precio</t>
  </si>
  <si>
    <t>Auriculares para todas las orejas Los compré para un regalo y ha quedado encantada el tamaño, sonido y autonomía.  El sonido muy nítido y con bajos potentes, impresiona lo que puede aislar del ruido Le gustó También la posibilidad del cambio de gomas que entran en el oído ya que al tener el orificio pequeño siempre se quejaba de que le hacían daño. Y con las gomas pequeñas le van perfectos. Los lleva al gym a diario y no se aflojan con el sudor. Le dura la batería unas 4-5 horas la caja donde se guardan va cargando los auriculares. Otro punto en el que me convencieron es que me daban 60 días de devolución de dinero, esto ya da una garantía de que son buenos aparatos.  El envío de Amazon muy rápido.</t>
  </si>
  <si>
    <t>Malos Malos! Al rato de ponerme los,se me cayó uno y los perdi</t>
  </si>
  <si>
    <t>Transparentan Las uso como leggings con jerseys y camisolas por encima y botas. Para hacer ejercicio en el gimnasio transparentan mucho</t>
  </si>
  <si>
    <t>No vienen los mismos que en la foto Lo he recibido y me sorpresa es que no vienen los mismos que figuran en las fotos... algunos sí, otros no... me he llevado un poco de decepción porque justo los que más me gustaban no vienen.</t>
  </si>
  <si>
    <t>Precio barato No esta mal si sabes lo que compra</t>
  </si>
  <si>
    <t>SE ROMPE PRONTO... Manos libres bluetooth con buen sonido, pero de mala calidad para un uso prolongado. A los 4 meses dejó de funcionar el botón para subir el volumen y ahora se ha partido por la parte giratoria que lo adapta al oído.</t>
  </si>
  <si>
    <t>Buena calidad-precio Para el precio que tiene cumple su función. Tritura bastante bien, incluso fruta congelada y semillas. Además que no hace tanto ruido como en un principio puede pensarse. Lo único que peor veo es que la cubierta de plástico que tiene la base es poco resistente. Por lo demás una buena compra.</t>
  </si>
  <si>
    <t>Lo volvería a comprar por calidad precio Calidad precio bien ,pero un poco complicado para acertar con la configuración correcta. Mucha información pero ambigua</t>
  </si>
  <si>
    <t>Mari Son unos pendientes muy bonitos, son iguales que las fotos pero en realidad son más pequeños de lo que me esperaba.</t>
  </si>
  <si>
    <t>Están bien- Cumplen expectativas Cumplen el objetivo para el que están creadas</t>
  </si>
  <si>
    <t>Jic Buen zapato. Talla algo grande y el color difiere un poco con el de las fotos. El envío express se paga y tarda lo mismo que el envío normal, por lo demás todo bien.</t>
  </si>
  <si>
    <t>Batidora portátil recargable Me encata esta batidora portátil que puedo hacer batidos en donde quiera, lo uso todos los días sin falta para el trabajo, a la hora de comer tengo la costumbre de acompañar mi comida con un zumo o batido, solo añado la fruta con agua fría o con leche fría y presionar el botón de encender, luego esperar a que se pare automáticamente y listo (como 1 minuto). Tritura muy bien los trozos de frutas. De momento me va bien con esto y la verdad es que me encanta.</t>
  </si>
  <si>
    <t>Ilusionada con el hervidor A veces esta en oferta flash. Yo lo pedí y lo cancelé porque minutos después se puso en oferta flash y te ahorras 4-5€ (merece la pena esperar). Mi suegra tiene uno (no de esta marca) y me picó el gusanillo para comprarme uno para nosotros. Nos estamos pasando a las infusiones  nocturnas y si quieres calentar dos tazas (como en nuestro caso que somos 2) poner el microondas con cada taza es un lío (si metes dos tazas en el microondas a la vez no se calienta ninguna) el hervidor es estéticamente muy bonito pero además el recubrimiento que tiene hace que aunque el agua este hirviendo dentro por fuera no quema asíque es seguro para niños o despistes. Me fijé en la potencia 2200W porque quería que fuese rápido y es muy rápido y se apaga solo cuando alcanza la ebullición. Para 2 es un poco grande (es para 1.7L y de mínimo tiene que hacer 0.5L) es más para 4-5 personas. Igualmente y aunque seamos dos como solemos tener visitas es perfecto! (Dejo una foto al lado de una cafetera americana para que veáis un poco las medidas del hervidor porque es más grande de lo que parece) por cierto que lo vi en otros hervidores... Este no tiene la resistencia al aire ni nada. Y se sirve bien sin derramar.</t>
  </si>
  <si>
    <t>Buen producto Cumple su función y tiene una calidad precio muy adecuados. Lo recomiendo al 100 por cien.  Producto muy completo 2x1.</t>
  </si>
  <si>
    <t>MARAVILLOSO El dios de los biberones! Queríamos meterle biberón y quitarle el pecho poco a poco y probamos mil tipos, no había manera, hasta que probamos este, de un día para otro dejó el pecho. Lavable, desmontable, duradero. Perfecto.</t>
  </si>
  <si>
    <t>Experiencia más que satisfactoria. Después de 4 años de uso, tengo que decir que éste reloj Casio Solar, ha cumplido de sobra todas mis expectativas. Pesa muy poco, es preciso, no necesita pilas al ser Solar. Estoy muy satisfecho con la compra.</t>
  </si>
  <si>
    <t>excelente No se puede decir mucho sobre una marca mas que conocida, el envio bueno, el material y los tenis perfectos. Son originales 100%</t>
  </si>
  <si>
    <t>Lo recomiendo. Compre el producto y me quedaba grande. En seguida se pusieron en contacto conmigo para decambiarlos y me los mandaron a la dirección que les di (ya que estaba de vacaciones y no me encontraba en mi domicilio habitual). Los zapatos me quedan perfectos y ando muy cómoda con ellos.</t>
  </si>
  <si>
    <t>Gran regalo Rápido y perfecto.</t>
  </si>
  <si>
    <t>Comodidad Diría que es la compra más acertada de los electodomésticos. Es muy cómoda en el uso. Se lava bien. Nunca había tomado tantos batidos. Y era porque tengo una batidora de vaso. El vaso pesa mucho y no es cómoda para lavar.</t>
  </si>
  <si>
    <t>Cómodo y ligero ligero, cómodo, talla perfecta. Tengo el pie estrecho y me queda un poquito ancho, pero poco. Con calcetín me apaño</t>
  </si>
  <si>
    <t>ESTUPENDO Una maravilla,  suoer cómodas, las volveria a comprar sin ninguna duda. Hice caso a los comentarios  del tallaje y acerté utilzo un 39 cogí un 38 y perfectamente. 😉</t>
  </si>
  <si>
    <t>Perfecta Artículo de uso diario, me va muy bien, soy alto 190cm y me va perfecta, además ya llevo un tiempo con ella y resiste muy bien el uso diario. Producto de buena calidad, muy recomendable</t>
  </si>
  <si>
    <t>Vatalkeras y casual Súper comoda</t>
  </si>
  <si>
    <t>Excelente relación calidad precio Por 30 eurillos quien tiene su sistema operativo en un disco convencional? Acabamos de montar un PC con este disco y tiene la medida mínima para alojar el arranque del sistema (en mi caso arranque dual Linux-Windows) y permitir un arranque en escasos segundos.  Al precio actual no se tiene ni que dudar.. tampoco he apreciado ninguna diferencia de funcionamiento con otros discos que también tengo y que son más caros.</t>
  </si>
  <si>
    <t>Bien!!! Realmente conectado al NAS que tengo, no se oye a penas (por la madrugada) durante el dia ni “Mu”.  Claro está que si le buscas los trespiés al gato,.... al escribir en él. Como en cualquiera.</t>
  </si>
  <si>
    <t>Muy bueno Se adapta muy bien a muñecas de hombre</t>
  </si>
  <si>
    <t>Muy cuquis Son bonitos, algo pequeños pero cumplen su función. Los compre para regalárselos a mis alumnos de 6 añitos a final de curso y motivar les a leer</t>
  </si>
  <si>
    <t>Funcional Reloj perfecto como reloj de batalla o reloj de trabajo. Buenas funciones por su precio y bonito diseño. A mi personalmente me vienen muy bien las horas mundiales, ya que viajo mucho por trabajo y no tengo que andar haciendo cálculos. Es genial que funcione con energía solar, te despreocupas por la pila. Lo que menos me ha gustado es la correa, parece de baja calidad. En resumen, gran relación calidad/precio</t>
  </si>
  <si>
    <t>Lo que pides de un pantalon deportivo Todo</t>
  </si>
  <si>
    <t>Los 150 MB/s confunden Tuve que devolverlas pues las compré pensando que tenían 150 MB/s de escritura que es valor que suele ser el que más nos importa y al hacerle una prueba con el Blackmagic Disk Speed Test no llegaron ni a la mitad. Leyendo las especificaciones se puede ver que los famosos 150 MB/s se refieren a la transferencia de lectura.</t>
  </si>
  <si>
    <t>Limpiacristales Estéticamente es muy bonita la puedes dejar colgada dentro de la ducha. A pesar de ello la goma no me parece que se adhiera demasiado bien precio calidad es correcta</t>
  </si>
  <si>
    <t>No es tan bueno Se ha borrado las letras a los 2 días</t>
  </si>
  <si>
    <t>un timo No me gusta, y no me devuelven su importe</t>
  </si>
  <si>
    <t>Bolso mochila de piel. Me ha sorprendido gratamente la calidad de la piel, huele a cuero, es cómodo y elegante. El precio está muy bien, para mi es más cómodo el tipo mochila que el bolso, su tamaño es ideal.</t>
  </si>
  <si>
    <t>Hombres Casual Manga Corta Camiseta Soltero Botón Abertura Llano v Cuello Camisas Algodón Queda muy bien puesta y es muy cómoda. la talla se ajusta perfectamente.</t>
  </si>
  <si>
    <t>Perfecto. Cómodo y  práctico.</t>
  </si>
  <si>
    <t>Comodo El zapato es cómodo y la talla se corresponde. Después de unos días de uso el tejido parece como si se desfilacha un poco.</t>
  </si>
  <si>
    <t>Esta bien pero para mas mayores Esta genial pero para niños a partir de 5 años q no engañe la publicidad es más complicado y si cometes un fallo debes volver a empezar lo q hace q los niños pierdan la paciencia porq hay piezas realmente complicadas</t>
  </si>
  <si>
    <t>Comodidad Muy comodos, se adaptan perfectamente al oído y además el paquete trae unas almohadillas para que elijas la que más se adapte a ti y sirve para cualquier modelo de móvil</t>
  </si>
  <si>
    <t>Me and myself llegaron bien embalados y a tiempo,materiales de calidad,no son imitaciones,el problema que tuve es el siguiente&amp;gt;son incompatibles con algunos moviles y mp3,luego empezaron a funcionar por ejemplo perfectamente con el portatil y suenan bien.</t>
  </si>
  <si>
    <t>Bueno utilidad Estoy absolutamente contento con la compra de este calentador de agua! lo utilizo todos los días. Hervir agua es fácil y rápido incluso cuando la lleno hasta su capacidad máxima, y ​​nunca tengo que preocuparme de que se, seque cuando estoy hirviendo un poco de agua. Muy fácil de usar y limpiar, y tiene el tamaño perfecto.</t>
  </si>
  <si>
    <t>Se adaptan perfectamente a tamaño pequeño y grande Buen acabado</t>
  </si>
  <si>
    <t>Vitor Son lo que esperaba,no lo siguiente,muy buena calidad, quedan de p.t.madre.compralos no te arrepentirás  seguro Los colores son muy bonitos Solo faltan unos calzoncillos a juego con los calcetines a poder ser Skip</t>
  </si>
  <si>
    <t>Precioso reloj tipo submarino de Invicta Es un reloj fenomenal, es el tercero que compro, concretamente este es el más exacto, lo recomiendo, me llegó rápidamente</t>
  </si>
  <si>
    <t>Sonido muy bueno He cambiado a este modelo y es magnífico. Mensajes por voz en español del estado (llamada entrante, apagado, encendido, etc). La batería dura bastante y se adapta muy bien al oído.</t>
  </si>
  <si>
    <t>No cambies de PC, cambia de discos En mi caso, tenía un PC Dell de hace 5-6 años que en su día compre con un procesador I7 pero que me iba muy lento (tardaba muchísimo en arrancar y bastante lento en general). He sustituido los dos discos duros por 2 SSD de tamaños iguales a los que tenía (un crucial de 2TB como principal y éste de 530 MB como secundario para copias de seguridad,...) y  el rendimiento no tiene absolutamente nada que ver: se inicia en pocos segundos, el navegador funciona inmediatamente después de iniciar el PC,... Además, ahora es mucho mas silencioso (lo cual se agradece también).</t>
  </si>
  <si>
    <t>Muy bonita pieza Una pieza preciosa que gana más en persona</t>
  </si>
  <si>
    <t>Funcionan correctamente según especificaciones Relacion calidad precio buena</t>
  </si>
  <si>
    <t>Funcionamiento impecable y calidad de zumos fantástica El producto lo uso todos los días al menos 3 veces por lo que puedo decir que la limpieza es muy fácil igual que el montaje y desmontaje. Me gusta muchísimo la calidad del zumo y la facilidad de uso y limpieza. Me gustaría que fuera más silenciosa pero no por ser ruidosa sino porque los ruidos no me gustan en general. En general me encanta el producto</t>
  </si>
  <si>
    <t>Excelente Llevo usando los auriculares desde hace muchos meses y están perfectamente! Mucho mejor que los originales de Samsung que me duraron casi nada. Se escucha muy bien los graves y agudos. Estoy super contenta de haber elegido este modelo. 100% recomendable.</t>
  </si>
  <si>
    <t>Etiquetas para envios Son justo las etiquetas que necesitaba. No hay mucho más que comentar. Se pegan bien y tienes software para el diseño en su página web.</t>
  </si>
  <si>
    <t>funciona funciona sin problemas, tiene una gran capacidad de almacenaje sin problemas a la hora de usarlo. buena calidad sin dudas</t>
  </si>
  <si>
    <t>El progreso! Nunca hubiera imaginado que un articulo que se usaba hace tantos años funcionara tan bien. Por el precio que tiene te aseguras un superconfort al entrar en la cama. Ojala la hubiera comprado antes!</t>
  </si>
  <si>
    <t>Perfecto Justo lo que buscaba y lo que marca en la descripción. De buena calidad y buen material. Lo volvería a comprar sin duda</t>
  </si>
  <si>
    <t>Bonitos y comodos Súper bonitos y comodísimos, me encantan</t>
  </si>
  <si>
    <t>Muy chulo Bolso bandolera de buena calidad y diseño. No encontraba nada así en mi ciudad. Tiene una relación calidad precio inmejorable</t>
  </si>
  <si>
    <t>Excelente producto Llevo más de 1 año con ella, exteriormente esta como nueva, sigue funcionando igual que el primer día y eso que la usamos casi a diario. De potencia va sobrado para hacer purés, salsas, etc. Muy contento con la compra realizada.</t>
  </si>
  <si>
    <t>Pequeños Son mas pequeños de lo que parecen, pegan bastante pero no me valen para lo que los compré, creo que deberían un euro a lado de la foto del catalogo para que te hagas una idea del tamaño.</t>
  </si>
  <si>
    <t>Aceptable Da algo de gusto pero nada de otro mundo....</t>
  </si>
  <si>
    <t>Demasiado grande para lo q esperaba Pensaba que era mas tipo bolso y es una mochila para odenador y otros documentos. Muy fina para mi gusto</t>
  </si>
  <si>
    <t>Mala experiencia Niñera el color que aparecía en las que yo elegí.</t>
  </si>
  <si>
    <t>no calidad Almacenamiento de respaldo de datos inestable y no duradero,menos de tres meses, mala calidad</t>
  </si>
  <si>
    <t>Para un día perfecto Anillo bonito para un par de días, enseguida pierde el brillo, deja el dedo negro y se caen las piedras</t>
  </si>
  <si>
    <t>Humidificador El producto tiene buenas dimensiones, funciona bien, tiene el mando a distancia que para mi es un plus muy bueno, una gama amplia de colores, el único pero que le puedo poner es que le falta algo de potencia de humo, perfecto para ofina y relajación, ahora para cuando estas enfermo se queda algo corto, depende del uso que le des.</t>
  </si>
  <si>
    <t>🥀Archivador elegante para archivar lo más importante !!!🥀 🔥***Descripción***🔥   -Carpetas Acordeón 12 Compartimentos con solapa, y cuerda negra.  -Ideal para no preocuparme en mis archivos o documentos y no estén desordenados. Para no encontrarlos por casa por cualquier lugar y cuando quiera encontrar el que necesito localizarlo en el primer momento !  -Perfecto para su utilización y administración  -Con los 12 bolsillos, podremos etiquetar sin problema y resumirlo los documentos necesarios y hacer que nuestro trabajo con el archivador sea eficiente y efectivo  -La carpeta es  amplia y práctica para tamaño carta,  y adecuada como máximo para tamaño A4  -Multifuncional, hecha de plástico ,de calidad regular, elegante y es impermeable.  -Diseño práctico y moderno, sólido para que nos mantenga  los archivo más seguro y sin peligro !!  -Perfecto para niños y mayores. Para los estudios, la oficina, o para casa....  ♥️***Opinion***♥️  Ideal para guardar mis documentos, archivos de mis estudios por cada evaluación, para no perderlos y no volverme loca buscandolo cuando lo necesite. !!!😍 Con 12 solapas para poderlos clasificar según su uso. Ligero, fácil de transportar gracias a su solapa Diseño original, moderno y elegante.  💢***Pros / Contras ***💢  El plástico del archivador no es muy bueno, tanto exterior e interior,si lo cuidas te puede durar por mucho tiempo! Y si no lo cuidas , no te llegará ni al año !!!  Aviso;!!!!  Antes de comprar fijarse que hay dos tipos de archivadores que el vendedor vende  - Archivador de 12 con solapa ( Qué es el mío ) -Archivador de 24 sin solapa  Diferentes precios !!!  Tú decides el que más se adapte a tus necesidades !!!  Por calidad precio, ya que por su precio la calidad podría estar algo mejor, o que fuera más asequible !!! Y por la mala descripción del vendedor de ofertar en la misma página dos archivadores completamente diferentes y de precios no idénticos, produce error a los compradores a la hora de adquirirlo y se pueden producir quejas que son lógicas !!!  Por ello yo voto con 4 estrellas ⭐⭐⭐⭐  ✍️***Historia Archivador***✍️  Esta forma de guardar documentos surgió alrededor de 1860.   Consiste de una carpeta en forma de acordeón, con varias divisiones, lo cual por lo general están clasificados en orden alfabético.  El uso actual de este sistema, es para el archivo personal.  Los profesionales que más lo utilizan son los cobradoress o funcionarios que deben llevar recibos, facturas o documentos con fines de cobro o distribución  Desde que la historia comenzó a escribirse, existe el proceso de archivar. Muchas piedras, pergaminos y manuscritos de gran valor histórico se han conservado a través de los años y actualmente se encuentran debidamente protegidos en museos. Muchos pergaminos por ejemplo, se han encontrado por casualidad dentro de vasijas de barros y éstas, enterradas bajo tierra.  Hoy continúa esa costumbre sellando cartas, fotografías, revistas, periódicos, y otros documentos juntos a una piedra angular o fundamental que se coloca en un nuevo edificio a construirse.  A estos métodos primitivos de archivar siguieron otros, que consistían simplemente en guardar los papeles. Tenían desventajas, pues no ofrecían protección ni orden alguno.  ✍️***El Archivador desde la Edad Media hasta 1900***✍️  Gancho o Espigón:  Comenzó a usarse alrededor del Siglo XV. Consiste de un clavo o pincho con base de metal, para que descanse sobre la mesa o escritorio; o una placa con gancho que se cuelga de la pared. Los papeles se colocan en el gancho a medida que se reciben.  Algunos problemas que tiene este sistema:  -No se resguardan los papeles contra el polvo. -Los documentos pueden desprenderse y/o perderse. -No es posible mantener el orden alguno. -Se hace difícil referirse a los documentos así archivados. Para conseguir un documento, hay que sacar del gancho todos los anteriores. -Puesto que los papeles se perforan al colocarlos en el gancho, esta puede quedar sobre un nombre, número, etc. -A pesar de todos estos inconvenientes, el método del gancho o espigón se utiliza aún hoy.  Los papeles se retiran al final del día para ser archivados definitivamente.  En difinitiva.... Tú debes decidir que Archivador se adapta más a tus necesidades !!!  Yo optó por este modelo para este año escolar !!!</t>
  </si>
  <si>
    <t>No parecen falsificadas. Todos conocemos estas botas de adidas, en America, al igual que los Levis, llevan años usándolas, yo las he tenido anteriormente en otros colores y al contriode lo que dicen otras opiniones, diría que son las auténticas.</t>
  </si>
  <si>
    <t>Está bien Está bien, no coge demasiado aire y no ha tenido cólicos con él. La única pega es que es un poco fastidioso de limpiar por el mecanismo que tiene.</t>
  </si>
  <si>
    <t>Mejor, imposible Me ha encantado! El bolso ideal, mejor incluso que en las fotos y el servicio fantástico! Volveré a comprar Colombian Style 100%!</t>
  </si>
  <si>
    <t>Bonitos Se los compré a mi madre porque necesitábamos cambiar unos que dejarón de funcionar en estereo. Pese a no ser aislantes (son más bien los típicos para usar con un mp3 y el móvil -no tienen micro-) son bastante cómodos y el color es el mismo que en la foto, algo más pastel incluso cuando lo ves en tus manos.</t>
  </si>
  <si>
    <t>Senzillo y fácil Bueno y con mucha durabilidad tanto de pilas como del objeto en si, no falla. Importante la luz que hace ya que es tenue y no daña a los ojos en la oscuridad.</t>
  </si>
  <si>
    <t>muy bonita de plata de ley Bonita pulsera de plata con dos corazones entrelazados. Muy cómoda de llevar y se adapta perfectamente a mi muñeca. Estoy contenta</t>
  </si>
  <si>
    <t>Muy buena calidad Muy buena calidad de todo. Y la “cerradura” de la correa es genial y fácil de abrir si quiere quitar el reloj.</t>
  </si>
  <si>
    <t>perfecto Para llevar el bolso ordenado es perfecto, estoy encantada, cada cosa por fín va en su sitio y no esparramada por el bolso. y lo mejor es que cambias de bolso en un segundo</t>
  </si>
  <si>
    <t>Gran artículo Es un modelo que por el precio que tiene, por diseño, por batería y por calidad de sonido merece la pena. Buena calidad de los materiales y espero dure</t>
  </si>
  <si>
    <t>Satisfecha Excelente marca</t>
  </si>
  <si>
    <t>El diseño Todo correcto, de momento bien</t>
  </si>
  <si>
    <t>perfecto Bueno producto calidad precio</t>
  </si>
  <si>
    <t>Genial Lo uso para conectar un micrófono y una guitarra acústica y sin problema.</t>
  </si>
  <si>
    <t>Calidad Estoy muy contento con la calidad del producto. Lo uso a diario. Funciona perfectamente.</t>
  </si>
  <si>
    <t>Muy comodo Muy comodo a la hora de llevar y organizar tarjetas sd</t>
  </si>
  <si>
    <t>Vyena compra Es buena</t>
  </si>
  <si>
    <t>Un buen funcionamiento Funcionamiento correctamente, vale la pena.</t>
  </si>
  <si>
    <t>Perfectas Es la 2° vez que las compro y me encantan, muy buen acabado y súper cómodas</t>
  </si>
  <si>
    <t>Elegante Es muy bonito</t>
  </si>
  <si>
    <t>Superstar originales Me llegaron hoy las superstar y d momento muy bien,son las originales muy bien d precio, espero q duren, el número tenéis q pedir el q useis normamente</t>
  </si>
  <si>
    <t>Suela resbaladiza y "cuero" de calidad baja. Algo incómodas, bastante pesadas. La suela agarra muy poco en suelos mojados o con restos de aceite. La ventilación es muy mala. Cuando se limpia por fuera con agua, aparecen manchas oscuras en el "cuero" que más que cuero parece cartón muy resistente...</t>
  </si>
  <si>
    <t>Plástico. Sinceramente, las piedras volcánicas sí que parecen serlo. Las otras, parecen más plástico que otra cosa. En cualquier caso, resulta bonita,o al menos a mi me lo parece.</t>
  </si>
  <si>
    <t>Por lo demás bien Reloj bonito pero bastante tochon...molesta un poco en la muñeca...</t>
  </si>
  <si>
    <t>Corea esta mal Esta reloje la Corea esta muy mal lo tengo mio esta nueva pero la Corea se rompe solo quiero Corea esta reloje</t>
  </si>
  <si>
    <t>Buscaría otro auricular ya que tienen fallos. Lo pille desde noviembre 2017 para regalo de navidad y hasta marzo 2018 dejaron de funcionar en uno de sus auriculares y pille 2 y ambos tienen el mismo problema, existe algún tipo de garantía ya que confíe en Sony pero no me esperaba que se dañaran así de rápido bueno duro más que otras personas pero es una mala experiencia ver que la calidad de una marca falla.</t>
  </si>
  <si>
    <t>buena compra es tal cual lo describe aunque la cadena es un poco frágil</t>
  </si>
  <si>
    <t>Buen sustituto del brazo Tengo un micrófono Neewer NW-700, y hasta ahora lo tenia con el brazo, pero me quedaba incómodo a la hora de hablar, ya que no se estiraba lo suficiente y tenia que girar la cabeza para ver mi pantalla. Con éste soporte, cambiándole la pieza de arriba por la araña de micrófono que ya tenía, me queda mucho más cómodo y menos engorroso que el brazo entero.</t>
  </si>
  <si>
    <t>buena opción Po rlo que cuesta no se le puede pedir más, además cuenta con los pin de inserción rápida, lo que facilita la vida a la hora de ponerla y sacarla</t>
  </si>
  <si>
    <t>chulo Es más pequeño de lo que pensé, pero es realmente bonito y queda muy fino puesto. Calidad precio para mí muy buena.</t>
  </si>
  <si>
    <t>bien me queda como esperaba, la calidad no es mala pero la verdad el color en diferente de como se ve en la foto. es una sudadera muy sencilla para ponérsela  de diario con unos vaqueros o unas mallas</t>
  </si>
  <si>
    <t>Suprema Lo convierte todo en líquido  es una pasada, cero grumos y puede con todo</t>
  </si>
  <si>
    <t>Genial! Un regalo estupendo para mi madre, buena calidad y buen precio, por lo visto son muy cómodos y la verdad es que son maravillosas. No pesan nada y el aire transpasa con facilidad, adecauados para estos días de verano. Llegaron antes de lo esperado.</t>
  </si>
  <si>
    <t>Me gustan estas NB Sencillamente perfectas. Me encantan su estilo y su comodidad</t>
  </si>
  <si>
    <t>Deportivas preciosas Compré estas zapatillas deportivas y la verdad que es que tienen un diseño muy acertado.  Además son cómodas y llegaron impecables.</t>
  </si>
  <si>
    <t>Ideal para espacios reducidos. Buen tamaño y muy delgada. Fácil de colgar ya que lleva unas piezas movibles para colgar con un gancho o alcayata. Borrador imantado con punto de agarre para los 2 rotuladores que lleva.</t>
  </si>
  <si>
    <t>Perfectas! Comprado en oferta por 41 €. Llega con su caja original de VANS y bien embaladas. Suelo tener un 37'5 pero últimamente tiraba más a un 38, mucha gente en comentarios ponía que dan mucha talla las zapatillas de esta marca, a mí me van perfectas.  Ojo que son el modelo WARD no el OLD SKOOL, que para el ojo inexperto como el mío son muuuuuuuy similares y hacen el mismo apaño.  Tened cuidado a la hora de comprar porque a veces sacan ofertas pero con otros proveedores, esta vez yo la cogí con la misma marca pero en algunos comentarios he visto a gente quejándose de que eran falsas, las mías han llegado perfectas y originales al 100%.</t>
  </si>
  <si>
    <t>Perfecto Me gusta el hecho de que puedas dejarlo totalmente a oscuras, ya que muchos despertadores con la luz que hacen, al girarte mientras duermes te dan en toda la cara.</t>
  </si>
  <si>
    <t>Buen producto El producto bien, solo que pesa bastante.</t>
  </si>
  <si>
    <t>BUENA COMPRA Perfecto, es ideal para amplificar la voz en ambientes cargados.</t>
  </si>
  <si>
    <t>easy blance Lo llevo usando mucho tiempo y te ahorras el tener que cambiar el agua tan amenudo.</t>
  </si>
  <si>
    <t>Camila Me encanto y a mi bebé también, esta muy bien diseñado y me encanta que se pueda preparar el biberón sin la tapita de dentro, lo tapas bien y mezclas todo sin que se salga la leche👏👏👏👏</t>
  </si>
  <si>
    <t>Cumple con las expectativas Precio muy competitivo y misma calidad que otros productos mas caros. Se adapta perfectamente a teléfono. Totalmente recomendable. Volveré a adquirir sin duda.</t>
  </si>
  <si>
    <t>Muy buen micro para el precio que tiene La verdad es que me ha sorprendido la calidad del aparato. Con un teléfono móvil, o un pc, funciona correctamente. Calidad muy buena y buena ganancia. No es un micro para usar en un estudio, aunque da el pego. Lo peor es la solapa de enganche del compartimento de pila, que se ancla al cinturón. Por lo demás, suficiente cable y buena calidad de sonido.</t>
  </si>
  <si>
    <t>Buena compra Cumple su función a las mil maravillas</t>
  </si>
  <si>
    <t>Genial 10 de 10 perfecto</t>
  </si>
  <si>
    <t>Llega pronto y bien Son perfectas. Llegaron en su tiempo.</t>
  </si>
  <si>
    <t>Me gusto mucho Es tal y como se describe  .</t>
  </si>
  <si>
    <t>Perfecto Según lo esperado.</t>
  </si>
  <si>
    <t>Encantado Encantado con el olor  , es todo lo que esperaba he comprado otro para tener de repuesto muy contento con la compra</t>
  </si>
  <si>
    <t>Buscaria otra. La tapa es de mala calidad y no abre bien... difícil de cargar con agua y de limpiar... tarda bastante en calentar.</t>
  </si>
  <si>
    <t>referencia Es un reloj despertador, no un reloj de caballero de cuarzo con correa de piel marrón. La descripción puede generar dudas.</t>
  </si>
  <si>
    <t>SUFICIENTE El colgante esta chulo y funciona, pero le faltaba un brillantito arriba en el corazon, por lo demas esta bien, calidad-precio. Le doy 3 estrellas, uno por el brillante que le falta y dos por el envio, que tardo mas de lo esperado..</t>
  </si>
  <si>
    <t>Ha sido un regalo que no ha gustado, porque la aleación que tiene se pone negra enseguida, y huele mal. Ha sido un regalo que no ha gustado, porque la aleación que tiene se pone negra enseguida, y huele mal.</t>
  </si>
  <si>
    <t>Vaso no se bloquea El vaso queda totalmente suelto. Te piensas que falta alguna pieza o lo estás montando mal. Pero no. Es así. El vaso no queda bloqueado por lo que da la sensación que se va a caer en cualquier momento. Sensación de inseguridad. No lo recomiendo por esta razón.</t>
  </si>
  <si>
    <t>Calidad/Precio perfecto Muy práctico y fácil de usar. Más difícil es la limpieza aunque eso es el talón de Aquiles de la mayoría de hervidores de agua si tienes chorizos por dedos. No es la más rápida del mercado pero hablamos de segundos de diferencia así que es algo un poco trivial. El diseño es bonito a la vista.</t>
  </si>
  <si>
    <t>Buen producto Excelente calidad precio. Un buen producto que responde a su perfil previo. Sencilla y muy efectiva. Ofrece lo que promete y da lo que se espera</t>
  </si>
  <si>
    <t>Que hace el apaño Me gustaría que tuviera 4 ruedas porque dos no es que se desplaze muy bien</t>
  </si>
  <si>
    <t>Bastante sorprendente No puedo decir que es el mejor micro de condensador con el que he grabado pero, para hacer lo básico en casa cumple con su función de manera sorprendente y a un precio más que módico. El soporte no parece muy sólido o resistente pero cumple su función. Recomiendo muchísimo la compra del phantom junto con el micro para evitar decepciones, el sonido mejora muchísimo</t>
  </si>
  <si>
    <t>Comodidad La suela absorbe bien los impactos contra el suelo,calzado cómodo para llevarlo muchas horas puesto, no se resienten los pies</t>
  </si>
  <si>
    <t>Genial Perfecto</t>
  </si>
  <si>
    <t>Perfecto Es muy resistente</t>
  </si>
  <si>
    <t>Buen producto Quería unas Converse Rojas pero no quería comprarlas en la tienda ya que son bastante más caras, me decidí comprarlas aquí al vendedor de Amazon son totalmente originales, la misma talla que me probé en la tienda son las que pedí y me encajaron perfectamente.</t>
  </si>
  <si>
    <t>Va muy bien va muy bien me calma bastante el dolor de las manos</t>
  </si>
  <si>
    <t>Muy bonitas La talla que elegí es la misma que uso por lo que están correctas las tallas, son iguales que en la foto y viene con dos pares de cordones los de tela y los de raso  me vino todo en perfecto estado</t>
  </si>
  <si>
    <t>Precioso!!! Es precioso más bonito que en la foto,tardó en llegar pero también fue culpa del repartidor de correos . Queda muy lindo para el verano y luce mucho ,me encanta los collares grandes básicamente adoro los complementos. Buena compra por bonito y buen precio. Muy recomendable.</t>
  </si>
  <si>
    <t>Super comodos Las uso para trabajar, me recomendaron esta marca y la verdad las uso para trabajar, son super cómodas, ligeras y de suela blanda, lo cual se agradece. Volveré a comprarme otro modelo de esta marca.</t>
  </si>
  <si>
    <t>totalmente metalico Compre uno de plástico sabiendo que duran poco y si duro lo que tardo caerse al suelo este es metálico veremos lo que dura</t>
  </si>
  <si>
    <t>Buena marca Buena calidad</t>
  </si>
  <si>
    <t>Cliente Amazon Me encanta, gratamente sorprendida, muy confortable, me ayuda mucho al dolor de cuello y espalda, lo recomiendo, cumple las tres B</t>
  </si>
  <si>
    <t>Son muy cómodos. Son muy cómodos, no hacen daño ni molestan, se oyen de maravilla y la batería dura muchísimo. Los he usado haciendo deporte y se quedan bien fijados, aguantan el sudor sin problemas. La calidad del audio es muy buena y el material se ve resistente. La caja/cargador esta muy bien con el indicador del porcentaje de batería restante.</t>
  </si>
  <si>
    <t>Excelente relacion calidad precio La talla como esperaba y el tejido del pantalón de bastante calidad. Tacto muy agradable y pantalones muy agradables de llevar. Volvere a comprar en otra ocasión ya que estoy muy contenta con la compra</t>
  </si>
  <si>
    <t>Cumple su función. Es muy buen pen y cumple con todo. Para ponerle una pega, aunque no es una pega en realidad, es el tamaño. Como es pequeño tengo miedo de perderlo, pero sigo diciendo que en realidad como mas pequeño mejor, es solo una pega personal. Además, es bastante bonito...</t>
  </si>
  <si>
    <t>Muy Sueve Este conjunto de color gris es muy bonito. Muy sueve,a me la talla L un poco suelto,pero bien .</t>
  </si>
  <si>
    <t>Muy bien!! Perfecto</t>
  </si>
  <si>
    <t>Recoge la barriguita, NO se transparentan Recogen toda la barriguita haciendo tipín y levantan el trasero,  y ¿a quién no le gusta verse mejor? La costura en triángulo en la entrepierna los hace muy cómodos. Son muy elásticos y no se transparentan en ABSOLUTO!  Aún no los he usado mucho porque donde vivo aún hace calor casi de verano... pero prometen ser la prenda del gym de este año</t>
  </si>
  <si>
    <t>Fácil de usar y activar. El Micrófono suena muy bien. Fácil de usar i de conectar en el Bluetooth del mobil (iphone) . Instrucciones básicas en inglés peró no hacen falta usarlas. Buena calidad Usas  el YouTube para ultilizar la música y hacer karaoke . Genial 👌🏻</t>
  </si>
  <si>
    <t>Muy bien Funciona muy bien, y para los que aun usamos la PS2 esta genial</t>
  </si>
  <si>
    <t>Biberón cómodo Es el único biberón que le gusta a mi hijo</t>
  </si>
  <si>
    <t>Estrechas Las zapatillas están muy bien sin fieles a la imagen y son originales. Son cómodas y calentitas. La razón de poner dos estrellas es porq son demasiado estrechas tanto de ancho cómo se empeine si tienes el pie ancho compra una o dos tallas más.</t>
  </si>
  <si>
    <t>modelo justo de talla Las deportivas son comodas,pero si utilizas un 38 pillate un 39,ademas son bastante duras,eso si son nike 100%</t>
  </si>
  <si>
    <t>Mala tarjeta Tarjeta defectuosa y me he tenido que comprar una nueva de otra marca, ya me había dado problemas desde la compra pero últimamente era insoportable. Ya no hay opción de devolución para reparación en amazon. Me tendré que buscar la vida con la garantía.</t>
  </si>
  <si>
    <t>No tiene cremallera tal y como muestran las fotos en la descripción No tiene cremallera por lo que he tenido que devolverlo, ya que, sería un suplicio quitárselo después de su uso</t>
  </si>
  <si>
    <t>Genial! Suena muy bien sin que tengas que acercarte excesivamente como ocurre con otros. El aspecto del micro es bueno y parece de calidad. La única pega es la esponja, que es un poco malilla, pero yo le puse una brida negra y parece de profesional jejeje</t>
  </si>
  <si>
    <t>Buena aspiradora con tan solo una peguilla La aspiradora me gusta bastante, es muy manejable, y aspira muy bien, eso que casi nunca uso el turbo. No hace excesivo ruido. La bateria me dura para aspirar toda la casa 2 veces, no esta mal. Yno tarda mucho en cargarse. Por poner una pega es el contenedor que es pequeño, ya lo lei antes de comprarla, pero si que es un poco rollo tener que vaciarle después casi de cada uso, y a veces sale mal, se queda entre las paredes y el filtro la porqueria y sino sale hay que desmontarle para que salga todo. Pero en general estoy contenta con el producto.</t>
  </si>
  <si>
    <t>todo correcto todo correcto</t>
  </si>
  <si>
    <t>buena tarjeta Tarjeta de memoria 32gb que funciona perfectamente, la fluidez de intercambio de  datos es apreciable, todo ello a un precio bastante ajustado. Buena relación calidad precio.</t>
  </si>
  <si>
    <t>Son buenas Es buen producto</t>
  </si>
  <si>
    <t>Excelente Tarjeta Para meter mapas Rneg Peugeot 2018/2 perfecta!!!</t>
  </si>
  <si>
    <t>Tal y como describen. Tardó poco en llegar y la calidad es muy buena, cumple su función</t>
  </si>
  <si>
    <t>Ambiente agradable Me ha encantado este humidificador, el ruido es inapreciable, su diseño me ha gustado mucho, lo puedo poner en cualquier sitio de forma elegante, la programación de tiempo funciona y el mando es comodísimo de usar y muy sencillo de entender.</t>
  </si>
  <si>
    <t>Buena calidad Excelente calidad para el precio, no se puede pedir más.</t>
  </si>
  <si>
    <t>Mallas Chulisimo y súper cómodo tal como en la foto</t>
  </si>
  <si>
    <t>Buena compra Son unas chanclas comodas, y espero duraderas.</t>
  </si>
  <si>
    <t>MUY BUENO A pesar de la diferencia de precio con maracas como Braun, Bosch... esta batidora de mano no solo iguala a estas... las supera.  Rápida, cómoda por el largo de su brazo, funcional. Es la demostración palpable de que "no es oro todo lo que reluce" y, aunque otras maracas "reluzcan" más....  esta las supera sin duda.  La recomiendo a todo aquel que necesite una batidora de mano que satisfaga sus miras</t>
  </si>
  <si>
    <t>Super Va muy birn, cómodo y materiales de calidad</t>
  </si>
  <si>
    <t>100% recomendable Gran producto. Recomendado 100%. Me ayudo a tubelizar en una llanta que no era tubeless y yo tubelice previamente. Os animo a pedirlo.</t>
  </si>
  <si>
    <t>Elegancia y gracias diseño Gran joya en elegancia y diseño. Un acierto en cada compra, siempre muy satisfactorio. Muy recomendable y de muy buen gusto.</t>
  </si>
  <si>
    <t>Un buen regalo He comprado este set de aceites esenciales para regalárselo a mi madre, ya que viene embalado en una caja bonita y útil. Vienen nueve aceites esenciales muy variados, mi madre los usa en un difusor y la verdad es que la duran bastante tiempo porque con tres o cuatro gotitas es suficiente. Su preferido es el de canela, por el olor que deja en el hogar. Es una buena opción  de regalo, muy recomendable.</t>
  </si>
  <si>
    <t>Recomendables Tallan de mas, uso un 38 pero como algunos zapatos me va mejor el 39 me pedí el 39 por si acaso, y me iba excesivamente grande. Lo cambie al 38 sin problemas, y aunque creo que me van todavía un pelin grandes voy muy cómoda con ellas</t>
  </si>
  <si>
    <t>Vans originales Vans clásicas color negro y cordones blancos a precio imbatible. Caja original sin ningún defecto. Excelente relación calidad-precio. La talla perfecta.</t>
  </si>
  <si>
    <t>Son de muy buena calidad!No tengo ninguna queja! Son super fáciles de limpiar por el simple hecho de que se desmontan y los dibujos, se mantienen en perfecto estado después de muchos lavados!!!</t>
  </si>
  <si>
    <t>Muy amplia Muy amplia y calienta muy rápido</t>
  </si>
  <si>
    <t>Buena calidad precio Tal cual viene descrito. Muy satisfecha con la compra</t>
  </si>
  <si>
    <t>Todo terreno Un pelón grande pero genial, mi hija lleva ya un año con el y está como el primer día perfecto para el trote diario playa piscina gym</t>
  </si>
  <si>
    <t>Bonito Bmtodo bien</t>
  </si>
  <si>
    <t>Imitación . No son marca Huawei . Lo primero es decir que no son Huawei, es una imitación. Aunque tienen tacto de plástico más débil que el original ....la diferencia por ahora no es mucha y cumplen su función. Los uso para escuchar música corriendo en la calle y bien los controles y sonido . Solo me llamaron una vez y con aire fuerte no me escuchaban bien por lo que respecto a ese uso aún no puedo opinar .</t>
  </si>
  <si>
    <t>Bonito diseño y elegantes Son elegantes y con un diseño muy bonito que se pueden usar para todo tipo de ocasiones. Son cómodas aunque he de decir que al principio de usarlas y llevarlas puestas unas horas. Me apretaban un poco por los laterales de las puntas. Pero luego ya bien y ahora me resultan muy cómodas.</t>
  </si>
  <si>
    <t>La garantía de la casa es muy pobre Lo que no me convenció es que al registrar el producto me dieran tan poca garantía de la casa, los de Amazon muy amables hablaron conmigo y me dijeron que aunque pusiera eso tenía mi garantía de 2 años  un 10 para la gente de Amazon que te saca de dudas enseguida</t>
  </si>
  <si>
    <t>Un timo Necesitaba un corcho y este me parecía adecuado de tamaño. Cuando llegó estaba desencolado por lo que, además de que no encajar bien en el marco (por lo que "bailaba" y no podía pinchar nada), pude ver la lámina de corcho...qué decepción! Es una plancha de cartón corrugado (como por ejemplo el mismo en el que venía embalado) recubierto de dos finas láminas de corcho a ambos lados. He tenido que pegar ambos lados al marco con pegamento para poderlo usar y al pinchar una chincheta se puede oír que lo que estás pinchando es el cartón de debajo. No lo volvería a comprar, no lo recomiendo.</t>
  </si>
  <si>
    <t>Javier Fernández Decepcionado. Me esperaba otra cosa de mejor calidad.Una cosa es la foto y otra la realidad.Mala suerte. Otra vez será.</t>
  </si>
  <si>
    <t>NI UN MES HA DURADO No me ha durado ni un mísero mes de uso, uso para nada intenso solo como copia de seguridad de cosas y poco mas. HORRIBLE  experiencia. No recomiendo a nadie comprar este ni ningún disco externo, comprad un SSD (INTERNO) de 2.5 y un adaptador a usb. Por alguna razón la calidad de fabricación de los discos externos es horrible.</t>
  </si>
  <si>
    <t>buen estuche y aferta substancial Ahora mis peques solo quieren eastpak, cosas de la moda. Asi que encontrar una oferta siempre es de agradecer. Objetivamente el estuche es bonito y muy completo y práctico el interior</t>
  </si>
  <si>
    <t>COMODIDAD Me gusta el producto en general. Las utilizo para trabajar son muy comodas y utiles para el tabajo qe desarrollo.</t>
  </si>
  <si>
    <t>Relación calidad precio decente. Después de darle mucha tralla al G230 se terminó de caer a pedazos así que decidí pillar su sucesor, este G430. Es prácticamente el mismo con ligeras modificaciones técnicas que, según especificaciones, son algo mejores. Obtienes lo que pagas, buena calidad de sonido para juego, construcción robusta (insisto, el predecesor sufrió mucho uso y aguantó como un campeón). La única pega que le he encontrado al nuevo es que tal vez sea un poco más incómodo en la parte alta, por lo que pienso rescatar la almohadilla del viejo. También arrastra las peculiaridades de control de volumen del antecesor, pero ya estaba acostumbrado a ellas. En conjunto, buena relación calidad precio.</t>
  </si>
  <si>
    <t>Sonido decente para el precio. No tienen un sonido super limpio, pero los cogí porque eran económicos y necesitaba unos auriculares con jack para viajar, y desde luego son mejores que los que iban a regalar en el tren. Tienen un sonido aceptable para el precio, y son cómodos en la oreja.</t>
  </si>
  <si>
    <t>Mano de Santo este SSD Perfecto. Sin duda lo mejor que le podía ocurrir a mi viejo asus para que recuperara su velocidad. 4gb de ram y este SSD le han dado una nueva vida a mi portátil. Lo recomiendo imperiosamente antes de cambiar de portátil.</t>
  </si>
  <si>
    <t>Excelente!!! Compré esta bandeja principalmente por el precio y pensé que sería de calidad media, pero no es así, funciona perfectamente. Esta sincronizada con el programa del TPV y la impresora. Los compartimientos son comodos y puedes cambiar el tamaño de los espacios para las monedas. Excelente!!! La recomiendo 100%.</t>
  </si>
  <si>
    <t>buen producto buen producto</t>
  </si>
  <si>
    <t>Muy buena Buena y de calidad, ideal para grabaciones con las cámara sony que compre junto con ella también en amazon, perfecto todo</t>
  </si>
  <si>
    <t>Buen sonido y cómodos De los mejores auriculares pequeños que he tenido, sonido con grabes marcados y agradables y comodidad en el oído.</t>
  </si>
  <si>
    <t>Perfecto Es muy ligera y permite llevarla colgada tanto del lado derecho como del izquierdo. Es lo que quería.</t>
  </si>
  <si>
    <t>Nunca decepcionan... Estupendas, como siempre. Las 574 son el modelo que más me gusta...para gustos colores...que también hay muchos... La talla en mi caso es la de siempre y van perfectas.</t>
  </si>
  <si>
    <t>Resistente Buen sonido, buena conexión y un cable recubierto que parece de plancha. Estoy muy contento con él</t>
  </si>
  <si>
    <t>Vuelco radical a mi notebook Tenía un notebook de mi hijo que iba a pedales, a penas se podía utilizar de lo lento que iba, he instalado este disco y ahora funciona más que bien. Hast ahora todo más que correcto. El transporte me lo entregó un día más tarde, pero eso es otra historia</t>
  </si>
  <si>
    <t>Cómodas y bonitas Me gusta la comodidad que tienen  para ser zapatillas de trail, además quedan muy bien puestas, no son aparatosas, la talla perfecta, muy contento con esta compra, las recomiendo.</t>
  </si>
  <si>
    <t>perfecto el pantalón del chándal es super cómodo para ponértelo entre semana, precio calidad muy bien</t>
  </si>
  <si>
    <t>Muy recomendable. Cómodos, lindos, suaves Geniales. Súper cómodos, como usar zapatilla. Están forrados dentro y son suaves y calientes. Me sorprendió para bien. Estoy feliz!! Lo súper recomiendo</t>
  </si>
  <si>
    <t>Cómodas Justo lo que buscaba</t>
  </si>
  <si>
    <t>Bueno, bonito y barato Cumple a la perfección con su función aunque si tuviera que ponerle un pero diría que cuando el agua hierve no para de forma automática sino que tienes que estar atenta/o y hacerlo de forma manual. Por lo demás, está muy bien, es rápida, no hace un ruido excesivo y tiene un diseño muy elegante.</t>
  </si>
  <si>
    <t>Ligeras como si flotaras Me gusta, es muy cómodo como si no llevaras nada y fresco para el verano. Yo lo devolví con pena pero tengo que llevar plantillas y no me sirve porque la horma es estrecha.</t>
  </si>
  <si>
    <t>comodidad y no dan calor me gusta el tejido y el tamaño. el tejido es traspirable y el tamaño de altura de tobillo es adecuado.</t>
  </si>
  <si>
    <t>Su diseño. Me ha gustado. Es muy completo.</t>
  </si>
  <si>
    <t>Mi marido encantado Un pantalon muy comodo y de muy buena calidad, mi marido esta muy contento con la compra realizada  de hecho a pedido uno de cada color. Lo recomieno 100%</t>
  </si>
  <si>
    <t>Buena elección Buena cantidad por precio Como en la fotos Bolsitas ordenadas Perfecto</t>
  </si>
  <si>
    <t>REGULAR Me gusta mucho pero la segunda vez q la fui a usar, se las velocidades no funcionan, 1,2,3,4 se a quedado pillada,para el lado d esas potencias Y no funciona</t>
  </si>
  <si>
    <t>BIEN PERO PEQUEÑO Reloj bonito y cómodo. Es simple y util, quiza el poner la fecha sea un poco dificil, tiene 2 posiciones, y en la primera si giras de un sentido o de otro cambias el dia o la fecha. ME PARECE BASTANTE PEQUEÑA LA ESFERA.</t>
  </si>
  <si>
    <t>Tela fino 100% poliester El diseño es bonito pero habría pagado más tenerlo de algodón</t>
  </si>
  <si>
    <t>decepcionada compré estas fundas porque en los comentarios había buenas críticas. En mi caso, todas las fundas han llegado arrugadas, con varias dobleces que no se quitan. El tamaño es perfecto (más grande que 1 folio), son gorditas y transparentes, entran sin problema y sin doblarse más de 60 hojas, pero al estar "arrugadas", aunque metas hojas, sigue igual. Algo decepcionada, porque por el precio que tienen, esperaba que estuvieran perfectas, y no es así.</t>
  </si>
  <si>
    <t>Horrible Vino roto completamente no sirve para nada</t>
  </si>
  <si>
    <t>Jose vicente Roig romera ayer me di cuenta q la suela se esta desaciendo como si fuese pasta. No se q es lo que les pasa a las suelas pero las he utilizado 5 o 6 veces, por fuera estan bien pero las suelas estan para tirar , desconozco lo q ha ocurrido , pero no vuelvo a comprar unas zapatillas de  aqui .</t>
  </si>
  <si>
    <t>FILA DISRUPTOR Llegaron super rápido, son muy bonitas, lo único es que me quedaron un poco apretadas la talla bmvino reducida.</t>
  </si>
  <si>
    <t>Igual que en la foto Material bueno, espero que le dure a mi hija, la única pega, que es demasiado ancho, hay que tener una mochila grande porque en una normal no entraría</t>
  </si>
  <si>
    <t>Buen disco duro Buen disco duro y fácilmente conectable a la PS4 para aumentar la capacidad de descarga. Desde que lo conectas, identifica el disco duro para descargar cualquier cosa nueva. Importante saber que si lo que descargas es actualizaciones de juegos ya descargados en el disco duro de la PS4 intentara usar el disco interno y no este, por lo que si no tienes sitio lo mejor es borrar el juego y volver a instalarlo en el disco nuevo. Sin duda muy recomendable.</t>
  </si>
  <si>
    <t>perfectas muy recomendables Zapatillas recomendables, pero ojo con la talla para esta marca yo he pedido un número más del que uso normalmente y me han quedado perfectas.</t>
  </si>
  <si>
    <t>Precio y calidad acorde Sudadera con bolsillo para meter al gato o lo que quieras meter si tu gato no se deja, no está mal, tampoco es una maravilla pero por lo que cuesta está bastante bien</t>
  </si>
  <si>
    <t>Lo que buscaba. La app del mobil es muy completa e intuitiva,conectado a goggle home hace su función.</t>
  </si>
  <si>
    <t>Resistentes y funcionales Muy buena calidad, no son endebles como otras. Impecables y sin arrugas dentro de su caja de cartón. Las recomiendo.</t>
  </si>
  <si>
    <t>Perfecta !! Buscaba una sudadera que fuese cómoda y que no pesase. Esta no es ni fina ni gruesa, tiene un tacto algo suave. Me gustó el diseño o serigrafiado, con el efecto 3D. La verdad que a cierta distancia se ve bonita. Tiene los colores bastante reales y vivos. Ha llegado antes de lo esperado y en buenas condiciones.</t>
  </si>
  <si>
    <t>La calidad y precio Relación calidad precio excelente</t>
  </si>
  <si>
    <t>Under Armour Que decir de la mejor marca de ropa deportiva. De gran calidad, le queda perfecto.</t>
  </si>
  <si>
    <t>Diseño atemporal. Es lo que se espera, un buen reloj atemporal.</t>
  </si>
  <si>
    <t>Igual que en la foto Me encanta la sudadera , colores y forma igual que en La foto. Las mangas no son muy largas ... más bien quedan justas.</t>
  </si>
  <si>
    <t>Mi hija encantada La sudadera llegó en 16 días. De tamaño normal. La tela fina pero para este tiempo viene genial...a mi hija le ha encantado</t>
  </si>
  <si>
    <t>Bonito Todo genial</t>
  </si>
  <si>
    <t>Muy relajante Es una pasada, cómodo y muy relajante. Sin duda si tenemos que regalar será nuestra primera  opción</t>
  </si>
  <si>
    <t>Las compraría mil veces mas Una verdadera gozada de zapatillas,supercomodas,suela flexible,trabajo en la construcción y son las mejores zapatillas de seguridad con las que he trabajado!!!</t>
  </si>
  <si>
    <t>Bonito diseño. Para aquellos que les gustan los relojes grandes e informales, tiene un diseño estupendo,sin duda es original.</t>
  </si>
  <si>
    <t>Bien ... en principio Producto economico de 64Gb. Viene formateado con el sistema de archivos exFat (al menos el mio). Trae una licencia pro para el programa SanDisk RescuePRO® Deluxe (el numero de serie esta en el interior del blister pegado en un lateral). Con el tiempo ... se sabra si ha sido una buena compra.</t>
  </si>
  <si>
    <t>Muy útil y cómodo. Muy útil para las prestaciones y no tener que andar con el ratón o levantándose a indicar. Se conectó a la primera con Windows 10. Cómodo en la mano. Lo estrené nada más llegar.</t>
  </si>
  <si>
    <t>Todo ok Todo ok</t>
  </si>
  <si>
    <t>Buen audio y buena calidad Tiene muy buena calidad de sonido,la bateria me aguanta entre dos horas y media y tres horas teniendo el volumen casi a tope. Tardan muy poco en cargar y son muy comodos de llevar. Se colocan bastante bien y no se caen aun que salgas a correr pero no lo recomendaria yo mucho para ello.</t>
  </si>
  <si>
    <t>Genial Está realmente bien! Lo recomiendo a quien quiera comprar un masajeador eléctrico para tener en casa siempre q quieras! Guay</t>
  </si>
  <si>
    <t>Buen diseño y sujeción La talla es perfecta y, además de tener buen diseño, da una sujeción muy buena. Lo he comprado para ejercicios de bajo impacto, pero puede usarse perfectamente para correr.</t>
  </si>
  <si>
    <t>Genial Para juegos Una Maravilla ,pero necesitan si o si un amplificador.</t>
  </si>
  <si>
    <t>Estan bien Las zapatillas son chulisimas, quedan muy bien. La talla es normal, el problema es q los niños juegan mucho en arena y asfalto y se ha borrado el rojo de los laterales, pero por lo demás genial por el precio q tiene</t>
  </si>
  <si>
    <t>Están muy bien Estaban muy bien correspondía a la imagen e información del producto , el sonido también bien pero los devolví porque me resultaban demasiado grandes en la zona de la orejeras y a mi no me gusto pero es un problema personal no del artículo en si</t>
  </si>
  <si>
    <t>Pésimo El supuesto aceite de lavanda huele extraño tirando a horrible. No parecen aceites esenciales, sino más bien aromas</t>
  </si>
  <si>
    <t>Inma Pérez Mata Hola. Estaba esperando con mucha ilusión que me llegase para regalar a mi marido para el día de los enamorados,  y solo abrir la caja de cartón de Amazon veo la caja de lotus totalmente destrozada, el reloj si viene bien. He pedido devolución por producto defectuoso y enseguida  me lo van a reemplazar. Quien ha embalado el reloj lo ha visto perfectamente, porque nos hace perder el tiempo al transportista y al cliente. Ahora tengo q ir una imprenta para imprimir la etiqueta de devolución y esperar qe avisen para devolverlo</t>
  </si>
  <si>
    <t>Satisfecho con la compra Relacion Calidad precios muy buena. El primer alioli ha salido muy bueno, Solo me ha faltado el accesorio para subir claras.</t>
  </si>
  <si>
    <t>Totalmente originales. Es exactamente igual que en las fotos. Envío muy rápido.</t>
  </si>
  <si>
    <t>Buena Robusta, muy sencilla cuando desmontas el vaso y muy fácil de limpiar. Tiene potencia más que suficiente y pica hielo o carne de pollo sin problemas. No es exagerada en cuanto a tamaño ni más ruidosa de lo habitual en esta clase de aparatos. Veremos su durabilidad con el uso y el paso del tiempo...</t>
  </si>
  <si>
    <t>Nada especial Zumos</t>
  </si>
  <si>
    <t>Buenas y bonitas pero tallan justas Las zapatillas son de calidad y bonitas . Llagaron antes de lo previsto pero tallan algo pequeño . Yo uso una talla 44 y me quedan justas he tenido que descanbiarlas por una talla más 45 .recomiendo que cojais una talla más de vuestro numero que calceis habitualmente</t>
  </si>
  <si>
    <t>Collar Muy buen regalo y un bonito detalle.</t>
  </si>
  <si>
    <t>Perfecto Es una maravilla. Cada día estoy más contenta de haberlo comprado, el agua se calienta enseguida, tiene luz y es de cristal, tal y como indica la descripción.</t>
  </si>
  <si>
    <t>Diseño muy guapo El despertador me ha llamado la atención por su confección curva y con números enormes. Pero una vez probado, lo que mas destacaría del mismo, es la proyección que hace de la hora en cualquier pared o techo, que coloca un haz de luz (no molesta en absoluto) con la hora hacia donde lo enfoques.  También tiene un usb para poder cargar el móvil, es un detalle, que puede parecer una tontería, pero es muy útil.</t>
  </si>
  <si>
    <t>Muy bien Muy bien. Todo correcto. Buena calidad. Muy recomendable. Plazo de entrega y embalaje muy cuidados. Volvería a comprar este producto sin ninguna duda. Espero que sea útil  mi opinión.</t>
  </si>
  <si>
    <t>Excelente He tenido otros antes de apple pero con este estoy bastante mas contento. Claridad de pantalla, poca complicación para añadir o eliminar gatgets, claridad y volumen de sonido y micrófono perfectos, robustez, recepción de todo tipo de mensajes y correos. Lo recomiendo. Calidad - Precio excelente.</t>
  </si>
  <si>
    <t>Buena calidad Los imanes estan muy bien.  Tienen una muy buena imantación, gran fuerza para el tamaño que tienen.  Vienen bien envasados</t>
  </si>
  <si>
    <t>Muy buena relación calidad precio. Me han encantado estas llaves usb. Ligeras, sólidas, con bastante capacidad y baratas. Me gustaría encontrarlas con el estándar 3.0, porque estas son USB 2.</t>
  </si>
  <si>
    <t>Funciona correctamente Para el precio que tiene cumple con mis expectativas. Son memorias USB lentas, pero a ese precio, no esperaba otra cosa. Lo valoro bien porque hasta ahora funcionan correctamente, no como otros USB similares que no funcionaban para nada.</t>
  </si>
  <si>
    <t>Muy bonitos Fue un regalo de cumpleaños, y me han gustado mucho. Son de tamaño perfecto, de diseño actual y muy elegantes también. Exactamente lo que quería y combinan a la perfección con mi colgante de árbol de la vida del mismo vendedor. Precio-calidad insuperable!</t>
  </si>
  <si>
    <t>Buen producto Buen producto</t>
  </si>
  <si>
    <t>Perfectas Han resultado ser realmente cómodas y lo más importante, es que no se desgastan fácilmente con el uso diario.  Buscaba unas zapatillas que fuesen resistentes, ya que tengo tendencia a desgastar la suela muy rápido, pero estas han sido perfectas.  Las recomiendo.</t>
  </si>
  <si>
    <t>justa para mi por su tamaño Tengo que decir q un hervidor con su tamaño justo. Por precio y calidad valio la pena. 1L es suficiente y se limpia muy bien.</t>
  </si>
  <si>
    <t>Un conjunto maravilloso Me encanta. ¡Pecioso!</t>
  </si>
  <si>
    <t>Walkman-pen Justo lo que necesitaba</t>
  </si>
  <si>
    <t>su calidad Perfecta. Mucho mejor de lo que esperaba</t>
  </si>
  <si>
    <t>Micrófono Micrófono profesional y fácil de montar</t>
  </si>
  <si>
    <t>Funcionabilidad Para el instituto</t>
  </si>
  <si>
    <t>Excelente calidad Son plásticos gruesos, muy claros, se ve perfectamente lo que pongas dentro. No se arrugan y se mantienen firmes. Encantados con la compra. Muy recomendado.</t>
  </si>
  <si>
    <t>No es muy práctica para batidos Como le metas varios ingredientes de frutas y llenes mucho el vaso de líquido, se para y no funciona, para mis batidos de frutas no me vale, la veo más bien para batir un colacao o con muy poca fruta, la he devuelto no me gusta</t>
  </si>
  <si>
    <t>Deberían mejorar la presentación Me gusta muchísimo pero venía tal cuál, sin caja y ningún tipo de protección... además la parte trasera esta bastante manchada de algo negro que no se va. No vienen accesorios, pero dentro de lo que cabe queda bonita!</t>
  </si>
  <si>
    <t>Caras Está bien pero lo veo un poco cara.</t>
  </si>
  <si>
    <t>No comprar La venden como GTX y no lo es. La talla es muy pequeña y tiene mala  calidad. No recomiendo para nada si compra. Para mi un timo.</t>
  </si>
  <si>
    <t>Sujetador defectuoso. Queda fatal las copas están dadas de si.</t>
  </si>
  <si>
    <t>Muy cómodas, muy buena relación calidad/precio Muy bonitas. He repetido compra, las tenía en azul marino y como me han sido comodisimas he preferido no innovar. Muy recomendable para personas que tengan un pie muy ancho, como es mi caso. El color es muy bonito</t>
  </si>
  <si>
    <t>Práctica y manejable Es práctica y manejable, la utilizo para aspirar el sofá de los pelos de mascota, pero pensé que tendría más potencia de absorción.</t>
  </si>
  <si>
    <t>es tal cual se describe correa cómoda, producto sencillo pero fiable, se trata de un producto de una marca que no necesita recomendación de ningún tipo</t>
  </si>
  <si>
    <t>buenos auriculares Son muy comodos y funcionan bien...tienen peros como la radio, al no tener antena no vale la del movil y a veces al tener que tener bluetoohh  te llaman y no se escucha hasta que no lo quitas, ahora ya no se si esto sera de los auriculares o del movil. Aun asi buena compra, los recomendaria sin ningun problema.</t>
  </si>
  <si>
    <t>Precioso colgante Es muy Fina y muy bonita.</t>
  </si>
  <si>
    <t>Calidad Rode. Magnífico. Es un paso hacia adelante. Muy recomendable.</t>
  </si>
  <si>
    <t>Buen calzado para caminar Me ha sorprendido la calidad de las zapatillas. Sobre todo destaco la comodidad, son cómodas ! La base es muy acolchada. El material Es bueno. Son duras. Tallaje perfecto . Recomendadas</t>
  </si>
  <si>
    <t>Repetiria Buen disco</t>
  </si>
  <si>
    <t>Muy bonitos y calidad A mi madre Le han encantado, una cajita cerrada para poder llevarlos en el bolso sin perderlos y siempre cargados, la calidad de sonido estupendos</t>
  </si>
  <si>
    <t>Comodas y a la moda Comodídimasny quedan geniales para diario</t>
  </si>
  <si>
    <t>juannoesnegro Para el precio que tienen están geniales, cómodos ligeros y buena calidad de sonido, no dan mucho volumen comparado con otros pero por el precio no le pido más, el cable es de buena calidad, y el jack es en forma de codo, lo cual es más complicado que se rompa al desconectarlo al no dar opción a tirar del cable para desenchufar (cosa muy normal en los niños) los volvería a comprar.  Ajustan muy bien tanto para un adulto Cómo para un niño.</t>
  </si>
  <si>
    <t>Un placer El trasto es supersilencioso y sencillisimo. No hace falta apretar para aprovechar al máximo la naranja y filtra bastante bien la pulpa. Para limpiarlo es como cualquier otro, 3 piezas fáciles de quitar y fregar. Sin problemas. La única pega quizás sea la poca estabilidad. Una base más ancha y con más superficie antideslizante lo haría el exprimidor (casi) perfecto.</t>
  </si>
  <si>
    <t>Recomendado 100% Lo compré para un regalo y ha quedado encantado.  Dice que es lo más útil y cómodo que ha tenido en cuestión de mochilas o bolsos.</t>
  </si>
  <si>
    <t>Seriedad Calidad</t>
  </si>
  <si>
    <t>Estuche compacto con mucha capacidad La verdad no puedo decir mucho, porque lo utiliza mi hija, esta muy contenta y dice que le caben muchas cosas.</t>
  </si>
  <si>
    <t>Perfecto Queda bien</t>
  </si>
  <si>
    <t>Perfecta Preciosa, la llevo a diario y con lo finita q es aguanta enganchones, colinias y lo q le eches</t>
  </si>
  <si>
    <t>Muy buenos cascos. Me gustan porque tienen un equilibrio entre los sonidos graves y los agudos. Normalmente los utilizo para escuchar la radio a través del teléfono y el sonido depende mucho de la emisora y de la canción. He llegado a escuchar alguna que sonaba como cuando la oía en la discoteca. Me gusta el sistema de plegado que tienen que los hace mucha más manejables. También es interesante los tres cables que aporta para conectar los cascos al reproductor permitiendo elegir el más adecuado según la situación. Quizás resulten un poco calurosos aunque sin llegar a ser molestos. El plástico que llevan resulta muy agradable al tacto  y espero que no se vea afectado por el paso del tiempo. Se oyen los sonidos externos aunque no mucho, lo que es una desventaja o ventaja, según se mire y que se puede eliminar en parte aumentando el volumen (dentro de lo saludable).  Recomendado para aquellos que estén hartos de los auriculares de botón y oir  la música al mismo nivel que la conversación del vecino o el ruido de la calle.</t>
  </si>
  <si>
    <t>Excelente En relación calidad/precio insuperable, bonito, robusto y preciso, con muchas funciones, de momento estoy muy satisfecho, no esperaba menos deun reloj CASIO</t>
  </si>
  <si>
    <t>muy cucos pequeñitos pero muy resultones</t>
  </si>
  <si>
    <t>Relacion calidad/precio muy buena Reloj actividad muy útil en el día a día para hacer ejercicio: caminar, correr, bicicleta... Te avisa de las notificaciones recibidas en el movil, es muy práctico. Tiene un diseño muy bonito y es muy cómodo.</t>
  </si>
  <si>
    <t>Pesan poquísimo,muy ligeras Me encanta lo ligera que son,super ponibles con mucha como comodidad al no llevar cordones y queda el pie muy sujeto</t>
  </si>
  <si>
    <t>Estupendo Lo tengo hace ya un mes y funciona de maravilla. Lo uso mas que nada para tenerlo enchufado a la televisión, por lo que se pasa conectado mucho tiempo, y ningún problema. La velocidad de datos es muy alta en usb 3.0. Muy recomendado.</t>
  </si>
  <si>
    <t>No cumplió mis expectativas Tenía muchas expectativas que no se han cumplido. Parece que le falta fuerza. La he usado para hacer batidos de fruta y no la tritura bien, se deja trozos casi enteros. Toca desenchufarla y agitarla con una cuchara y volver a empezar. Una pérdida de tiempo tremenda. Y es muy runidosa.</t>
  </si>
  <si>
    <t>Pequeños Engaña La foto..Son muy pequeños..</t>
  </si>
  <si>
    <t>Negros en dos dias En dos dias se me han Puesto negros</t>
  </si>
  <si>
    <t>Mal Le he puesto canciones para el uso de mi coche y no funciona la probé en un altavoz de torre tampoco funciona le he vaciado y le actualice y la cargado otra vez y no va</t>
  </si>
  <si>
    <t>Calidad Todo correcto</t>
  </si>
  <si>
    <t>Bastante bien por el precio. Esta muy bien, trae dos vasos de vidrio más pequeños extras con 2 tipos de cuchillas diferentes para moler cosas más puntuales y pequeñas. La base aunque se ve de acero inoxidable es de plastico y eso es algo que se debería mejorar. La potencia no es la más fuerte la verdad pero cumple su función. Tiene ventosas debajo para que no se mueva.</t>
  </si>
  <si>
    <t>Perfecto Muy bonito. Tal como se ve en la foto</t>
  </si>
  <si>
    <t>No se puede perdir más por el precio Los bolígrafos son de malisima calidad, igual que las pegatinas</t>
  </si>
  <si>
    <t>Tiras mas bien cortas. Para unos cables XLR de 5 metros son cortas, de tres metros estan justas.</t>
  </si>
  <si>
    <t>Muy contento con la compra Muy contento con la compra. Compré el reloj directamente a Amazon y cuando llegó a mi casa vi que no incluía en su envío la antena auxiliar que algunos vendedores ofrecen. Me puse en contacto con Amazon para pedirles que me la enviaran y me dijeron que ellos no la incluían. Sin embargo me hicieron un descuento para que yo pudiera comprarla por mi cuenta. Un diez por Amazon que me resolvió el problema. Vivo en Madrid y al final he podido comprobar que el reloj por sí mismo es capaz de sincronizarse automáticamente por las noches todos los días sin utilizar la antena auxiliar. No hay que hacer nada, simplemente orientarlo bien según se indica en las instrucciones del reloj (con las seis apuntando en dirección noreste). Perfecto. Muy recomendable y muy bien de precio.</t>
  </si>
  <si>
    <t>Todo perfecto Todos los elementos son de calidad. El que una de las clavijas sea en "L" hace que sea muy versátil a la hora de conectar. Otra cosa importante es el recubrimiento del cable que al ser como de tejido hace que no se enrede. La calidad del sonido es buena. Tiene la medida justa para que no se te quede corto pero tampoco sobre y se enrede. Una compra excelente.</t>
  </si>
  <si>
    <t>Encantado Me he quedado sorprendido por la calidad del producto, funciona en Windows y macos. Es súper ligero, funciona con un usb bluetooth que está incluido en el “bolígrafo”. Las teclas son súper intuitivas no se necesita leer las instrucciones. Comk se ve en las fotos trae una pequeña bolsa/ funda para evitar arañazos. Muy contento con la compra.</t>
  </si>
  <si>
    <t>Cascos infantiles Son ligeros y tienen buen sonido.</t>
  </si>
  <si>
    <t>Buena solución para guardar archivos y datos (fotos, vídeos, programas, documentos, etc) Buen disco duro externo versión 2018, simplemente conectar y funcionar, ya que el própio PC instala el driver necesario. La velocidad de lectura es excelente y tampoco está mal la de escritura. Solo falta comprobar durabilidad y ausencia de errores o sectores defectuosos a lo largo del tiempo, para ello es suficiente con expulsar siempre la unidad desde el sistema operativo antes de desconectar. En mi opinión creo que es buena compra.</t>
  </si>
  <si>
    <t>Muy buen precio en comparación con una farmacia. Gran ahorro respecto al precio que se puede encontrar en una farmacia y más aún teniendo en cuenta el tamaño de 250ml</t>
  </si>
  <si>
    <t>Todo genial muchas gracias. Todo genial muchas gracias. La tela es muy cómoda y el color el esperado. Excelentes para el día al día para pasear o trabajar.</t>
  </si>
  <si>
    <t>Calidad exelente En cantadisima mi esposo le facina y es mejor de lo que me Imaginaba  lo recomiendo es grande y perfecto</t>
  </si>
  <si>
    <t>super guay compramos sin duda precio calidad lo mejor que hay en el mercado buenos gayumbos a precio bárbaro compra compra dio</t>
  </si>
  <si>
    <t>Botas timberland No me ha decepcionado en nada, es justamente lo que quería, buen material, hay que darles grasa de caballo para mantenerlas, pero tanto los acabados como el material es optimo</t>
  </si>
  <si>
    <t>Bolso bandolera resistente para usar a diario Creo que este bolso bandolera es ideal para uso diario y darle batalla. El material de tela y las costuras tienen buena apariencia y se ven resistentes. El compartimento principal es bastante espacioso e incluye dentro un bolsillo pequeño con cremallera y otro par de bolsillos abiertos sin cremallera. Aparte del compartimento principal tenemos bolsillos con cremallera por la parte frontal y la parte de atrás (por si quieres tener algún objeto más pegado al cuerpo y menos accesible para otros. La correa es ajustable en longitud y lo suficiente ancha para llevar el bolso con comodidad. Si buscáis sustituir vuestra vieja bolsa por una nueva, ésta puede ser una buena compra a mi parecer.</t>
  </si>
  <si>
    <t>comodidad y diaeño muy cómoda</t>
  </si>
  <si>
    <t>Perfectos Perfectos, cómodosimos y preciosos.</t>
  </si>
  <si>
    <t>Perfecto La tarjeta me llego justo al dia siguiente de haberla pedido, bien envuelta, hay que formatearla antes de usarse para que el movil ( en mi caso) la detecte, por lo demas todo perfecto.</t>
  </si>
  <si>
    <t>Buena compra Es barato y muy bonitos, vienen con en la foto</t>
  </si>
  <si>
    <t>Muy buen volumen Suelo usar los manos libres para ir en bici con el GMaps dándome instrucciones, siempre tengo el problema de que con el ruido ambiente de los coches no escucho bien, y no soporto los cascos sobre mi cabeza. Estos han resultado escucharse bastante altos, y que vengan con protectores de silicona de repuesto es muy bueno, porque suelo perderlos.</t>
  </si>
  <si>
    <t>Era lo que estaba buscando El relación al producto, e de decir, que estoy muy satisfecho, por la compra realizada, y por el producto, ya que era el calcetín que estaba buscando, la talla es perfecta para un unas zapatillas talla 41, se ajustan muy bien al pie y no son excesivamente  altos , ni bajos quedan por encima de la zapatilla, que era lo importante, el tacto es bueno, al igual que el embalaje, vienen en variedad de colores, como se indican,son unos calcetines muy recomendables</t>
  </si>
  <si>
    <t>CALIDAD PRECIO INMEJORABLE TODO OK GENIAL CAMISETA Y A UN PRECIO MUY ASEQUIBLE, REPETIRÉ SIN DUDA!👌🏼</t>
  </si>
  <si>
    <t>Genial Funciona perfectamente. Cubre mucha zona y ya tengas molestias en cervicales o en lumbares t viene bien.</t>
  </si>
  <si>
    <t>Píldoras de tamaño especial para caballos Pues eso, demasiado grandes para tragar comodamente. A mi me cuesta la verdad, y he dejado de tomarlas por lo mismo.</t>
  </si>
  <si>
    <t>BUENO El producto cumple con las características indicadas, calidad con tacto agradable. Lo menos positivo es que me gustaría que calentase un poco más. Incluso en la potencia 6, se queda escaso de calor.</t>
  </si>
  <si>
    <t>Damian La boquilla e gustó mucho a mi bebé aunque con el lavado constante la válvula de escape se rompió y ahora derrama el líquido. Nos duró como un mes</t>
  </si>
  <si>
    <t>Gran decepción Hola me he llevado una gran decepción con este disco primero tengo al menos 3 disco de esta marca y es el único que no abre mi televisor, lo cambie pensando que venía defectuoso y al venir el nuevo esta igual y al ponerme en contacto con WD no me dan ninguna solución valida incluso me insinúan que lo cambie por otro modelo de vergüenza.</t>
  </si>
  <si>
    <t>No lo recomiendo en absoluto, dinero tirado! Ha ido a la basura despues de haberlo lavado mas de 5 veces y de tenerlo en remojo con agua y jabon 2 dias enteros, Tiene un olor a quimico que se queda en el agua y no se va con nada, no lo recomiendo en absoluto, dinero tirado!</t>
  </si>
  <si>
    <t>menuda mierda he comprado microfono 100% inútil, eso si 60e a la basura, no lo reconoce ningún ordenador ni portatil ni de mesa, y el móvil solo lo reconoce para hacer grabación de voz, a la que intentas hacer vídeo no lo pilla, no he podido usarlo con nada.</t>
  </si>
  <si>
    <t>Comodidad ante todo Muy cómodas, tienen la pisada super blanda. Y el color berenjena, muy acertado. Combinan a la perfección con cualquier estilo que te pongas.</t>
  </si>
  <si>
    <t>perfectos para verano Calcetines perfectos para el verano. Finos y suaves con transpiracion para el sudor  Un saludo Fernando</t>
  </si>
  <si>
    <t>Buen agarre pero muy justo de talla El agarre es perfecto. La única pega es que para un 43 de pie, la talla del producto queda muy justa. Creo que a un pie 43 le correspondería un 44 o 45.</t>
  </si>
  <si>
    <t>Recomendables, buena relación calidad precio Son muy cómodos, el tejido parece de calidad. Estoy deseando usarlos</t>
  </si>
  <si>
    <t>Son perfectos para su cabeza Son muy comodos y suaves y por supuesto le encanta el color. me gusta que pueda tener un limitador y el cable al estar reforzado aguantarà mas que los normales. En definitiva una buena compra.</t>
  </si>
  <si>
    <t>Fácil de usar y limpiar Fácil de usar y limpiar. A veces no me termina de triturar bien algunas cosas pero creo que por el tamaño, siempre es un dátil lo que me deja sin triturar.  Me gusta mucho</t>
  </si>
  <si>
    <t>Buena compra Sin problemas. Buen disco, pequeño y ligero.</t>
  </si>
  <si>
    <t>Buena compra Es muy bonito y elegante. Tal como se ve en ña foto. La cadena es finita también. Además viene en un estuche. Regalo perfecto</t>
  </si>
  <si>
    <t>Fijacion fuerte y facil colocacion La he usado para pegar papel entelado para forrar pastas de libro y va genial. El espesor es minimo pero pega muy bien.</t>
  </si>
  <si>
    <t>Perfecto para bebés Es un biberón de plástico con un bonito diseño y ergonómico con capacidad para 260 ml. Boquilla muy flexible, ideal para el peque. Se lava en lavavajillas y de un material duradero. En definitiva, un buen biberón, estéticamente chulo, de calidad, bien fabricado sin fallos, tetina blandita, apto para lavavajillas y ergonómico con un fácil y seguro agarre.  Yo lo recomiendo porque a parte de ser un buen producto, tiene un precio excepcional.</t>
  </si>
  <si>
    <t>GENIALES! Auténticas!! Muy cómodas y divertidas! Fueron un regalo para mi marido y está encantado con ellas! Seguro que repetiremos con otras.</t>
  </si>
  <si>
    <t>Preciosa máquina!!! Precioso reloj con esa esfera blanca llena de detalles. Un poco complejo programar el calendario perpetuo. Pero una excelente máquina, para llevar en cualquier ocasión.</t>
  </si>
  <si>
    <t>Muy bonito y funcional Igual tarda un poquitín más que otros que he tenido, pero no cabe la menor duda que es muy robusto y duradero. Además de seguro.</t>
  </si>
  <si>
    <t>Cinta Doble Cara Extra Fuerte Muy buena adherencia.</t>
  </si>
  <si>
    <t>Buen producto para su precio Buscaba unos auriculares con micro para sustituir los originales rotos del móvil (un HTC), y funcionan estupendamente. También probados con portátil. Muy buena calidad de audio y con quien hablo no se queja sobre cómo me oyen (con otros modelos sí he tenido problemas al respecto). Vienen en una bolsa de cuero con varias piezas de recambio. Por 9,90€, es un muy buen artículo.</t>
  </si>
  <si>
    <t>De calidad es bueno Queda muy bien</t>
  </si>
  <si>
    <t>Precio Este microfono es una pasada por su diseño sus luces y sonido y lo mejor de todo es la duracion de la bateria.</t>
  </si>
  <si>
    <t>Buenas-bonitas y baratas No esperaba esta sorpresa por el fantástico precio que tienen,cumplen todos los requisitos que especifica el vendedor y no le puedo nada mas que felicitarle por estas pulseras mas bonitas que en las fotos y el buen hacer con que están hechas,se merecen todo mi respeto y solo decir que no se puede quedar mejor,haciendo este regalo tanto a niñas y no tan niñas para quedar bien,sin duda repetiré.</t>
  </si>
  <si>
    <t>Confortable. Ya habíamos comprado otras veces este calzado y sigue teniendo muy buena calidad.</t>
  </si>
  <si>
    <t>Buena calidad de sonido Antes utilizaba un auricular bluetooth convencional para móvil, de esos cortitos, y la mayoría de mis interlocutores me decían que me escuchaban mal. Con este producto nadie pregunta nada. Escucho y me escuchan, es cómodo y no puedo quejarme de la batería. De momento, 5 estrellas.</t>
  </si>
  <si>
    <t>Plantilla extraíble y un color precioso. El color es mucho más bonito que el que aparece en el escaparate de compra.  Me encanta que tenga plantilla extraíble, eso me permite cambiarlas por las mías. Tenía ganas de estrenarlo estas vacaciones ahora que han bajado algo las temperaturas. El precio fue una gran oferta.  Siempre suelo llevar el 6 o 6.5 de esta marca. Me quedan un poquito anchos, pero con los calcetines de cara al otoño me van a ajustar genial.</t>
  </si>
  <si>
    <t>Calidad y comodidad Cascos con una calidad increíble tanto en el sonido como en los materiales con los que están hechos. El cable se ve muy flexible y resistente. Me gusta mucho el imán que tiene en los auriculares, ya que evita que se enreden al guardarlos.</t>
  </si>
  <si>
    <t>Tallaje pequeño El tallaje es pequeño y no corresponde con el tallaje real. He tenido que regalarlas...</t>
  </si>
  <si>
    <t>VILEDA FREGONA LOS PRIMEROS QUE ME ENVIARON ESTABAN BIEN PERO EN EL ÚLTIMO ENVÍO LOS HILOS DE LA FREGONA SE CAYERON AL SACARLA DE LA BOLSA . SE QUEDÓ MAS FINA Y NO LIMPIABA IGUAL. sERÍA DEFECTO DEL FABRICANTE IMAGINO. ENVÍO FOTO  DE LA VIEJA Y LA NUEVA</t>
  </si>
  <si>
    <t>Distorsiona si grabas voz cantando Quería usarlo tanto para grabar locuciones normales como para grabar voz cantando y tocando la guitarra. Sólo sirve para grabar locución algo mejor que con el propio micro de una DSLR, pero con una calidad menor de lo que esperaba. No sirve para los registros tonales de una voz cantada porque a la que incrementas el tono distorsiona muchísimo.</t>
  </si>
  <si>
    <t>Nada de otro mundo No me gustó el producto deja la piel muy grasa con tanto aceite y no lo puedes dejar mucho tiempo muy abrasivo para la piel</t>
  </si>
  <si>
    <t>Las hay mejores por ese precio No pega como cabría esperar. He comprado cintas mejores</t>
  </si>
  <si>
    <t>Lo esperado. Bien, este producto no tiene más misterio, es justo lo esperado, llego en fecha y perfectamente embalado, funciona bien, sin problemas.</t>
  </si>
  <si>
    <t>Aceptable Autonomía muy larga. Bastante cómodo y se escucha bien. El micrófono falla porque tu interlocutor no te escucha claro al 100%</t>
  </si>
  <si>
    <t>Necesario Necesario si grabas a través de Tascam o inalambrios a tu Smartfone</t>
  </si>
  <si>
    <t>Cálidas, cómodas y no resbalan Usé el producto como botas de descanso después de esquiar y para caminar con ellas en el apre-ski. Han cumplido su papel estupendamente, cálidas, cómodas y no resbalan. Si tengo que poner una pega, que se rayan, pero la verdad, no me importaba mucho. Para lo que las quería fueron muy bien.</t>
  </si>
  <si>
    <t>Kettle para viajar Muy bien para viajar! Así me preparo infusiones o café cuando quiera. Ocupa muy poco y calienta enseguida el agua.</t>
  </si>
  <si>
    <t>Producto original Ya lo conocia anteriormente, huele muy bien. Lo puedes utilizar en brumizadores, humidificadores de radiadores etc</t>
  </si>
  <si>
    <t>Muy contento y satisfecho Me han llegado antes de lo previsto y vienen perfectas, el numero el correcto 41 1/3 es el numero que uso en adidas, ni mas grandes ni mas pequeñas, muy contento con la adquisión, espero que no se ropan con facilidad y duren</t>
  </si>
  <si>
    <t>Dr Martens 1460 Unas botas espectaculares. Dr. Martens con su estilo que las caracteriza, presenta en el Modelo 1460 de color negro unas botas con personalidad. Rígidas pero muy cómodas, cumplen las expectativas depositadas en ellas. El número de calzado es exactamente el mismo que uno hace en cualquier otro zapato. Una gran compra. No te arrepentirás!! En Amazon las encontré muy baratas!</t>
  </si>
  <si>
    <t>Funciona perfectamente Después de un par de dias de uso intensivo puedo afirmar que el masaje proporcionado es sorprendentemente efectivo. Los nodos presionan con fuerza. Es cómodo y se puede aplicar a las distintas partes de la espalda. La pega es que no viene con una batería para poder utilizarlo sin cables.</t>
  </si>
  <si>
    <t>Comprada para hacer purés a un bebé Buenos días, es sencilla, pero robusta y silenciosa. Corta fenomenal y en pocos segundos nos hace los pures de fruta y verdura del bebé. El vaso no se puede frotar con la parte rugosa de una esponja, pues lo ralla.  Uns aludo</t>
  </si>
  <si>
    <t>PASADA Estas botas, todo un clásico, no  se pueden describir con palabras. Son muy cómodas y los materiales que las componen son de una calidad extraordinaria. El precio fue mas que razonable.</t>
  </si>
  <si>
    <t>Original y acepta los Gb que marca La utilizo en la GoPro Hero 7 black. La acepta y realmente es de la capacidad que marca. No da fallos.</t>
  </si>
  <si>
    <t>Cómodos y bonitos Los zapatos son muy cómodos para bailar, no aprietan y la suela no resvala.</t>
  </si>
  <si>
    <t>Me encantan! Estupendas! Blanditas (que era lo que queria) y abrigadas. Ya era fan con unos crocks clasicos pero con estas zapatillas mucho más</t>
  </si>
  <si>
    <t>Fenomenal Lo compre para limpiar las botellas para cuando voy al campo y me las limpio fenomenal y sin esfuerzo. tambien limpie un decantaqdor de vino y fenomenal</t>
  </si>
  <si>
    <t>Comodisimas.Un pelin grandes Pese a que tallan un pelin mas grande de lo esperado,son unas deportivas para cualquier look comodas y bonitas.</t>
  </si>
  <si>
    <t>fiabilidad y autonomia Con diferencia, el mejor mini auricular que he tenido, atendiendo a su  relación calidad precio, mayor autonomía que el resto y la posibilidad de poder atender las llamadas,  llegando a regalar el mismo en varias ocasiones para que disfrutaran del mismo. Por otra parte, agradecer la pronta respuesta de la empresa responsable de su venta, ya que aunque este producto no tiene la garantía que suelen tener los productos vendidos por Amazon, no ha habido ningún problema en hacer uno de la garantía que ofrece la empresa siendo que me han sustituido el mismo sin ningún tipo de gastos por mi parte.</t>
  </si>
  <si>
    <t>Carmen Fue un regalo de cumpleaños para un niño de 11 años,el crío muy contento un reloj muy completo y nada difícil de poner en marcha.En general muy bien</t>
  </si>
  <si>
    <t>Super fashion Son hermosas. Quedan muy bien y en comparación a las tradicionales, el precio está súper bien. No quedan nada apretadas</t>
  </si>
  <si>
    <t>Buena relacion calidad precio. Tiene una gran capacidad , es un producto duradero y resistente.Siempre he usado esta marca y si he cambiado de tarjeta a sido por necesidades personales de espacio, pero nunca por un mal fallo del producto. Seguiré comprándolas.</t>
  </si>
  <si>
    <t>Cumple perfectamente Estaba buscando una impresora para un pequeño negocio en la que los volúmenes de impresión son pequeños. Fundamentalmente me importaba el escáner, pero no para un uso profesional de fotografía, sino para digitalizar facturas y documentos. Para esta función cumple perfectamente. Se conecta a la red WiFi, se instala el software en el ordenador y todo funciona casi solo. No puedo opinar sobre el servicio InstantInk porque no lo he solicitado.</t>
  </si>
  <si>
    <t>Recomendable Lo esperado</t>
  </si>
  <si>
    <t>Genial Perfecto, muy cómoda para profesional y paciente, cumple totalmente mis expectativas.  Es un tanto pesada pero comoda de transportar, todo perfecto</t>
  </si>
  <si>
    <t>Para fotos y videos ok no funciona para música El producto bien acabado, te descargas la app y funciona perfectamente pero cuando vas a hacer una copia de seguridad de la música que queda parado, no funciona no graba ni un registro.. por el resto correcto  lo recomiendo para videos, contactos y fotos... pero para música no</t>
  </si>
  <si>
    <t>PERFECTAS SI SON DE TU TALLA. Las pulseras están muy bien y son muy chulas, pero si las quieres acortar al no ser de tu talla, la cosa se pone cruda, pues son de un imposible de ajustar. Por lo demás son de calidad y muy bonitas.</t>
  </si>
  <si>
    <t>Bueno Pequeno</t>
  </si>
  <si>
    <t>Pesa muchísimo. Es demasiado pesado y muy incómodo de manejar.  Imposible el de usar una sola persona sin ayuda, no se puede dirigir con  una sola mano.</t>
  </si>
  <si>
    <t>producto muy malo es la zapatilla mas dura que he tenido nunca es como llevar botas de trabajo he tenido muchas nike y estas dudo mucho que lo sean.</t>
  </si>
  <si>
    <t>Manta eléctrica Me ha encantado , la quería para calentarme las manos y calientan muy bien me gusta la recomiendo</t>
  </si>
  <si>
    <t>No son para usar muchas horas seguidas Por el precio están muy bien, los compré para la oficina y son tal cual las fotos. Tapan muy bien el sonido externo y se oye bastante bien. Lo que si no me han resultado muy cómodos ya que si los uso todo el día luego me queda una molestia en los oídos, supongo que por la forma que tienen. En cuanto a durabilidad solo los tengo hace unas semanas pero el cable parece muy resistente. Trae gomitas de recambio y una bolsita para guardarlo todo, lo cual me sorprendió por el precio que tienen. Lo recomendaría para un uso más eventual, no para todo el día.</t>
  </si>
  <si>
    <t>Evaluación Tallaje amplio</t>
  </si>
  <si>
    <t>Muy correctos Obviamente no son los mejores auriculares del mercado pero, para su precio, me ha sorprendido su sonido -no parecen chicharras en los oídos, como he tenido otros- y lo decentemente que te aíslan del exterior si te los colocas bien.</t>
  </si>
  <si>
    <t>Son geniales, aunque cuestan un poco de poner Son geniales, aunque cuestan un poco de poner. La zona rígida por donde entra el pie es un poco justa. Un pelín más grande sería más cómodo</t>
  </si>
  <si>
    <t>Elegante y económico Lo compré para un regalo y acerté,me gusto mucho el estilo, es más bonito en realidad  de lo que se aprecia en las fotos.</t>
  </si>
  <si>
    <t>Buena calidad, buena presencia La compre para mi Omega Genève del 1967, un reloj de vestir y le queda perfecta. El cuero es genuino y de buena calidad. Buena calidad precio. Las herramientas incluidas son muy útiles. Me decepcionó al principio que enviaran desde Inglaterra pero llegó el día previsto en un paquete 24 de correos.</t>
  </si>
  <si>
    <t>Recomendable Lo lleva mi marido y no se lo quita. Con eso digo todo</t>
  </si>
  <si>
    <t>perfecto Buena calidad</t>
  </si>
  <si>
    <t>Calidad-precio Fantástico producto! Era justo lo que esperaba! La calidad del sonido es muy buena y tapa completamente el sonido del exterior! Se ajustan muy bien a la oreja a la hora de hacer deporte!</t>
  </si>
  <si>
    <t>Cumple a la perfeccion lo que yo esperaba Nada de particular, lo cual es bueno. El producto ha cumplido perfectamente con lo que yo esperaba, es decir, que se ha ajustado a la perfección a lo que prometía. No tengo ningún "pero" que ponerle.</t>
  </si>
  <si>
    <t>PRECIOSOS Son muy bonitos y raros que no se ven en ningún sitio. Lo único que le tengo que decir al producto es que no traían la parte de atrás para sujetar el pendiente ninguno de los dos.</t>
  </si>
  <si>
    <t>estupenda Muy bien. El problema es que es muy cara</t>
  </si>
  <si>
    <t>Memoria abundante y eficaz Necesitaba una memoria rápida y potente con este Lexar lo he consiguido. Tal vez haya de més rápidos pero garantizo un eficacia muy buena, tanto para la fotografia com para la grabación de films. Tiene una gran capacidad y no has de esstar cambiándala a menuda. Evita tener que manipular en sitios complicados, pues no ha de cambiarse a menudo. Precio, capacidad, cualidad, son muy adecuados para aficionados y, tambén, para profesioneles. Una muy buena compra.</t>
  </si>
  <si>
    <t>Cómodo Me gusta la capacidad y poder llevar todo ordenado</t>
  </si>
  <si>
    <t>Calidad NUK El precio es excelente en oferta y los biberones tienen la calidad habitual en la marca. Son los que hemos usado todo el tiempo. La tetina es la pequeña, si el niño es mayor tendrás que cambiarla, pero aún así merece la pena.</t>
  </si>
  <si>
    <t>Rocio parla Perfecto buena calidad colores bonitos suaves no aprietan estan fenomenal lo recomiendo gran variedad de colores han llegado a tiempo.</t>
  </si>
  <si>
    <t>Perfecto Muy bueno</t>
  </si>
  <si>
    <t>Pica y bate bien. El batido se puede llevar en el mismo frasco que se bate. La batidora es ideal para preparar batidos individuales y llevarlos en el mismo bote. Tiene buena potencia y pica bien las frutas para los batidos. Lleva una tapa adicional para llevarlo de viaje. Fácil de limpiar y tamaño pequeño. Nada aparatoso.</t>
  </si>
  <si>
    <t>Muy bien El hervidor está hecho de acero inoxidable, 1.2 L. Es del tamaño justo para mí y se quema muy rápidamente. ¡No ocupes un lugar en casa! Muy bien</t>
  </si>
  <si>
    <t>Mai Me encantan ,,, el olor es genial Como a fresa , cogi un numero mas y esta comodisima, nada que ver con las de mercadillo,y envio muy rapido, muy contenta muy buena calidad</t>
  </si>
  <si>
    <t>Recomendado Buen artículo</t>
  </si>
  <si>
    <t>Compra recomendada Era la primera vez que compraba un humidificador. Viendo los comentarios me animé a comprar este en concreto, y no me arrepiento. Tiene un bonito diseño que queda discreto en cualquier rincón. El acabado en madera está muy conseguido, y junto a la calidad del material es bastante realista. El anillo led de colores es un complemento que da una nota de color pero sin molestar (lo tengo situado cerca del televisor y no distrae, ya que no genera ningún halo de luz). El ruido es prácticamente nulo, a veces un leve goteo que hasta resulta relajante. Sencillo de limpiar y mantener. Recomiendo su compra.</t>
  </si>
  <si>
    <t>EXCELENTE Preciosa! Más bonita que en la fotografía La presentación es espectacular Una excelente relación calidad-precio</t>
  </si>
  <si>
    <t>No traen caja Los auriculares estandar de Apple. Buena calidad, pero se presentan en caja de carton sin la caja de plastico que los acompañaba siempre, para recoger el cable y protegerlos durante el transporte. Sin embargo, el precio es el mismo por lo que, pagando lo mismo, recibes menos. Una pequeña decepción.</t>
  </si>
  <si>
    <t>Perfecto para presentaciones profesionales, pero precio elevado En este caso estamos ante un mando para presentaciones de la marca Logitech. La función principal de este tipo de dispositivos es facilitar al usuario realizar las diferentes presentaciones y también mejorar la calidad, tiempo y precisión de las mismas  Os voy a contar mis impresiones y opiniones sobre este producto:  ►Paquete x1 Mando de presentaciones x1 Bolsa de transporte x1 Cable de carga x1 Manual de seguridad x1 Instrucciones para la extraer la batería cuando finalice su vida útil.  ►Primeros pasos: En Windows 10: Al conectar el pequeño dongle USB que trae para la conexión nos aparecerá directamente la opción de instalar el software para hacer uso del dispositivo. El software permitirá configurar todas las opciones del mando y también, un pequeño tour explicativo para aprender a usarlo en 5 minutos.  ►Que me gusta Θ Es muy fácil aprender a utilizar toda su funcionalidad, en 5 minutos ya sabrás usarlo. Θ Permite una gran variedad de configuraciones con su software, las principales son: Función de foco, función de lupa(ampliar una región concreta), función de circulo,cronómetro y configuración de acción al mantener pulsado el botón atrás o siguiente. Todo esto unido al hecho de poder funcionar como un ratón 3D, aporta una gran variedad de funcionalidad al mando. Θ El uso del software es fácil e intuitivo, además, te permite fácilmente solicitar un recambio del dongle en caso de perderlo. Θ El dispositivo incluye dos tipos de conectividad: Propietaria mediante el Dongle USB y conectividad Bluetooth del mando (se activa pulsando a la vez los botones superior e inferior del mando). Θ Cómodo de utilizar, el tamaño es adecuado y cómodo a la mano para un uso prolongado. Θ Carga rápida: El dispositivo dispone de carga rápida, promete que con un minuto da para 3 horas de uso. Yo puedo confirmar que con 5 minutos de carga me ha dado para 4h ininterrumpidas de presentación. Θ El USB Dongle es blanco y con un pequeño cordón, lo que lo hace más difícil de extraviar. Θ Rango:  Lo estoy utilizando en la universidad, puedo confirmar su buen funcionamiento a distancias de hasta 26 metros con el Dongle (no he probado más, pero es que ya me parece más que suficiente distancia) Θ Diseño bonito  ►Neutro Θ No tiene un puntero láser. Esto sería un punto negativo si no fuera porque la función de “foco” permite realizar una funcionalidad similar pero de una forma más elegante.  ►Que no me gusta Θ La ranura para la carga es un hueco(donde originalmente viene y puedes guardar el Dongle) con profundidad dentro del mando, esto acorta el cable de carga hasta unos 11cm reales, quedándose algo corto para mi gusto. Creo que este aspecto podría mejorarse hasta, como mínimo, 20cm. Θ Precio(117,44€ en el momento de este comentario)  ►Opinión final La verdad es que, para los que realizamos presentaciones semanalmente, este mando supone un avance en comodidad y funcionalidad sin añadirle apenas complejidad de aprendizaje y utilización. De agradecer es especialmente la dualidad de conectividad y  la carga rápida de la batería, que te salva de apuros. Quizás el precio sea el único elemento a tener en cuenta, pese a toda su funcionalidad y el bonito diseño, más de 100 euros me parece caro, incluso para entorno profesionales donde se busque sacarle partido a toda su funcionalidad.</t>
  </si>
  <si>
    <t>Ni fu ni fa!! El bebé succiona más despacio. Si es un ansias le bebé para comer no recomendable. Se limpia bien. Buena calidad.</t>
  </si>
  <si>
    <t>No vale Una m.. reloj</t>
  </si>
  <si>
    <t>Mala calidad. Hoy se ha partido el auricular del cuerpo...!!!  Lo he usado en contadas 3 ocasiones en un mes y ya no se puede devolver....!!!  Nada recomendable.</t>
  </si>
  <si>
    <t>NO ESTA MAL NO ESTA MAL</t>
  </si>
  <si>
    <t>Volumen demasiado bajo El reloj era para una persona mayor con dificultades visuales y le es muy útil cuando está en casa o en zonas poco ruidosas.El volumen es bastante bajo, y si se va por la calle o hay algo de ruido no se escucha bien</t>
  </si>
  <si>
    <t>Ocupa poco espacio y funciona bien. Me ha gustado porque cumple su función y ocupa poco espacio. No es gran cosa, pero es útil. Más o menos lo que esperaba.</t>
  </si>
  <si>
    <t>Cómodo pero poco duradero Un buen calzado minimalista pero tiende a romperse fácilmente en la malla del empeine</t>
  </si>
  <si>
    <t>Es grande Es grande, más grande de lo que yo buscaba. Si lo quieres para llevar la cartera y poco más no sería una buena compra. Por otra parte, acabados perfectos y dignos de la marca</t>
  </si>
  <si>
    <t>Producto adecuado Aceite que uso para cosmética. Contenta con el resultado</t>
  </si>
  <si>
    <t>Comodidad Son muy cómodas y de buena calidad.</t>
  </si>
  <si>
    <t>Reloj Casio Muy contenta, todo perfecto!</t>
  </si>
  <si>
    <t>Buena compra,buena calidad Es muy buena compra ,las compre para mi hija y está encantada con ellas . Son de buena calidad .</t>
  </si>
  <si>
    <t>Bonitas y prácticas! Me encantan! Quedan perfectas y cómodas!</t>
  </si>
  <si>
    <t>Muy bien Excelente calidad. Muy bien fabricado, buen material y terminación. Se ven duraderos. Muy contento.</t>
  </si>
  <si>
    <t>Perfecta Calzan como un guante. Son rápidas y las plantillas tb calzan bien</t>
  </si>
  <si>
    <t>Buen precio igual a la foto Excelente</t>
  </si>
  <si>
    <t>Muy bueno Es un micrófono de muy buena calidad, el sonido es muy limpio, y el brazo es muy útil para colocarlo en la posición que quieras. A parte del micrófono, viene un antipoping, una almohadilla para el micro, un brazo para sujetar el micro, una abrazadera para enganchar el brazo,  la sujeción del micrófono con el brazo, y el cable. Es bastante estable, lo recomiendo si usas mucho el micrófono.</t>
  </si>
  <si>
    <t>Todo Exelente</t>
  </si>
  <si>
    <t>Loree Tiene menos potencia de la que esperaba, pero funciona bien,facil de limpiar y comoda a la.hora de manejarla por casa!¡</t>
  </si>
  <si>
    <t>Para el precio, de cine Tamaño guay, lo único la barra es un poquito más ancha de lo que pensaba.</t>
  </si>
  <si>
    <t>Tiene muy buena calidad de sonido. Ya he comprado este producto por unos días, pero no lo esperaba, su calidad es muy buena, mi teléfono Android y el teléfono Apple de mi papá pueden conectarse, y pronto, tal vez puedan conectarse otros modelos de teléfonos móviles. Recomendado para comprar!</t>
  </si>
  <si>
    <t>Bien Es lo q es</t>
  </si>
  <si>
    <t>Perfectos Es exactamente igual que en la foto. No sé ponen feos.</t>
  </si>
  <si>
    <t>Preciosas ! Han llegado correctamente, es para mi boda y me encantan. Tienen un brillo precioso</t>
  </si>
  <si>
    <t>Muy cómodo y práctico Excelente y muy útil. Me encanta</t>
  </si>
  <si>
    <t>Perfecto, cumple su cometido. Buena calidad y muy muy comodo, lo recomiendo, es ideal para la practica de deporte. No tengo más que decir.</t>
  </si>
  <si>
    <t>Mala calidad de materiales Muy mala calidad de construcción, todo plástico y no encaja el hervidor con la base, para mi una decepción, tuve que devolverlo el mismo día que lo recibí</t>
  </si>
  <si>
    <t>Que  lleve antes Es muy bonita</t>
  </si>
  <si>
    <t>Fiasco Producto con pequeña tara (cuero estropeado de una zapatilla), ademas me quedan pequeñas.Recepcion malisima, vivo en Grado y tuve que ir a buscar el paquete a Oviedo. Me siento decepcionado y estafado.Creo que no volvere a comprar nada.</t>
  </si>
  <si>
    <t>Un desastre Me ha decepcionado bastante. Las cuchillas apenas dejan una marca en el papel y no lo cortan. El papel de aluminio siempre atrancado ya que los rollos  están sueltos dentro de la carcasa. Un desastre de aparato. No recomiendo su compra. Quiero devolver este producto, lo he desmontado porque es totalmente inutil y ademas me he quedado con los agujeros de instalacion en los azulejos quiero devolverlo y no me dan esa opcion</t>
  </si>
  <si>
    <t>Me temo que es falso He comprado uno igual antes y comparado con este, aparte de la presentación (viene metido en una bolsa de plástico y esta dentro de un sobre de cartón "aparentemente" falso, el protector adhesivo de la pantalla no la cubre entera, el reloj pesa menos y la correa no parece ni metálica. Sin ser especialista creo que es falso. AMAZÓN debería cuidar más estas cosas y no permitir que se vendan estos artículos. Por lo menos he podido devolverlo a tiempo sin coste alguno.</t>
  </si>
  <si>
    <t>Son bonitas, pero como “sudadera” es muy fina la tela La tela es un poco fina y quizás algo cortas, pero la verdad no están mal. Son bonitas. Llegó antes de lo previsto.</t>
  </si>
  <si>
    <t>Buena calidad, actuales y resistentes La bota muy chula, de muy buena calidad y terminaciones. El problema es que era para un regalo y  la chica que las iba a usar las ha tenido que devolver ya que la caña de la bota era muy ancha para su tobillo</t>
  </si>
  <si>
    <t>Producto sencillo y de calidad Está almohadilla no cura el dolor pero lo alivia perfectamente y es un buen remedio y la relación precio calidad es correcta</t>
  </si>
  <si>
    <t>Buen producto Le doy solo un 4estrellas porque aún no lo hemos utilizado es un regalo,a simple vista se ve muy bien para un niño de 9años ya os diré,solo os puedo decir que me llegó al otro día de hacer el pedido y está en buenas condiciones</t>
  </si>
  <si>
    <t>Buen artículo Reloj acorde a mis deseos, gracias!</t>
  </si>
  <si>
    <t>Buena relación calidad / precio Muy bien calidad / precio. El producto cumple las expectativas.</t>
  </si>
  <si>
    <t>Calidad elegante Viene muy completa, y el acabado es muy bueno. El accesorio para cambiar el tamaño, es estupendo, he tenido que quitarle un eslabón y ha sido muy, muy fácil.  Estoy muy contento con el resultado, a ver lo que dura, y co.o envejece.</t>
  </si>
  <si>
    <t>Muy bonito Un álbum precioso por su precio. Viene con protector en cada hoja y las fotos quedan perfectamente pegadas tan solo con pegamento de barra. Queda muy bien, y con unas letritas blancas luce muchísimo.</t>
  </si>
  <si>
    <t>preciosos Preciosos ideales para un regalo de plata y son de un tamaño ideal por el precio que tienen no se puede pedir mas doy mi enhorabuena a amazon por su trabajo en entrega y mandar siempre todo correcto</t>
  </si>
  <si>
    <t>ME GUSTA SU EFICIENCIA Tras probar algunas aspiradoras para mi casa  y decepcionarme bastante (incluida una muy cara que se caia sola y no aspiraba) , por fin en esta he encontrado lo que necesitaba, "que aspire"... cumple con su función muy bien y estoy muy contento. La recomiendo sin lugar a dudas. Llegó muy bien y sin problemas por parte de la distribución.</t>
  </si>
  <si>
    <t>Rápido y buen diseño. La verdad es que para el precio que tiene está genial. Te calienta un litro de agua y te la mantiene en temperatura.</t>
  </si>
  <si>
    <t>Las Crocs de toda la vida Se las he regalado a mi pareja y está encantado con ellas. El número se corresponde a la talla europea yo elegí 45-46 porque utiliza el 45 habitualmente y en general puedo decir que estoy contenta con ellas. Tal cual las fotos y la descripción. En menos de un mes se ha despegado la parte de atrás como les ha pasado a mas personas. Yo lo he llevado al zapatero, lo ha pegado y de momento siguen bien, porque le pegamento de casa no me funcionó, así que recomiendo llevarlas la zapatero, aunque no me parece normal que se despeguen de esa forma y menos con unos cuantos usos simplemente..</t>
  </si>
  <si>
    <t>Recomendable El colgante es muy bonito. El color es exactamente igual al de la imagen, verde claro. Se lo regalamos a mi hermana y está muy contenta. El sonido es como el de un cascabel</t>
  </si>
  <si>
    <t>Fantástico!!! Muy recomendable!!! Es un producto fantástico!!! Mi madre tenía dolores en un hombro a raíz de una caída y como había comprado una similar en Colombia... compré el bote pequeño para probar!! Y hemos vuelto a repetir... ahora con el bote grande porque es fantásticamente bueno!!!</t>
  </si>
  <si>
    <t>Un hallazgo Desde que llegó a casa, son indispensables sus masajes en las noches ante la TV antes de acostarse, y en los viajes en coche (para quien no vaya conduciendo, se entiende) gracias a su cable a la toma del mechero. Te deja nuevo cuando llegas a casa con problemas de cervicales; puedes elegir masaje con o sin calor, y es silencioso.</t>
  </si>
  <si>
    <t>Original con tarjeta de Tous Viene en su caja de Tous, y con su bolsa rosa de regalo y el sello original. Muy bonita y elegante. Por 22 euros perfecta como regalo</t>
  </si>
  <si>
    <t>Perfecta Corresponde exactamente a la descripción, incluso las medidas y el calor es suficiente para notarlo a través de la ropa (camiseta y sudadera). Al envolverte es muy agradable la sensación. La calidad es estupenda: tacto muy suave, acabado cuidado.... Es una buena compra. Ah, y la entrega rapidísima!</t>
  </si>
  <si>
    <t>Materiales resistentes Estéticamente me han encantado, se ven más caros de lo que son, el sonido igual es otro aspecto a destacar en los auriculares teniendo en cuenta el tamaño y el precio, no suena tan enlatado como otros auriculares de este tipo, lo cual ya es un avance, en resumen la relación calidad-precio para mí es fantástica.</t>
  </si>
  <si>
    <t>Buena relacion calidad precio La verdad, no te voy a mentir, son lo que son, no esperes mas, mejores que los del chino del barrio y peores que unos de 30 euros, pero estamos pagando mucho menos por ellos y ademas vienen con una bolsita de regalo y con almoadillas intercambiables y ajustables al oido.  Medios y altos normales, pero bajos fuertes, estos auriculares se los rcomendaria a personas que les guste el hip hop o regaeton</t>
  </si>
  <si>
    <t>Muy recomendables Muy bonitas y cómodas. Tallan grandes, por lo que recomiendo comprar una talla menos a la habitual.</t>
  </si>
  <si>
    <t>Muy cómodas Aunque las zapatillas no son para mí ,que eran para mi mujer ,ella está totalmente satisfecha con ellas ya que son super cómodas y están hechas con materiales de alta calidad</t>
  </si>
  <si>
    <t>Cómodas y muy prácticas. Me ha vuelto a encantar la experiencia, son muy cómodas y para todo tipo de terrenos. Que sean goretex es genial. Las recomiendo.</t>
  </si>
  <si>
    <t>Perfectos Muy bonitos</t>
  </si>
  <si>
    <t>Lo esperado El reloj funciona bien, tiene bastantes funciones y es sencillo de utilizar si estás habituado a este tipo de relojes. Para los fan de los GShock decir que es un poco más pequeño de lo que podeis esperar, yo lo había leído previamente así que no me sorprendió. Yo diría que incluso la correa es pequeña, ya que habitualmente los abrocho en el tercer - cuarto agujero y en este me tengo que ir al séptimo.</t>
  </si>
  <si>
    <t>Fácil agarre, queda leche en los huecos Fácil de sujetar para los padres, pero deja restos de leche entre el recipiente y la tetina que hacen que se tenga que volcar totalmente vertical el biberón para acabarlo</t>
  </si>
  <si>
    <t>Carga sólo a través del móvil Buen sonido, cómodos y fáciles de utilizar. Sin embargo, solo pueden cargarse a través del móvil.</t>
  </si>
  <si>
    <t>Buen producto, gastos de envio exagerados El reloj es estupendo, puedes cargar música, rutas, pagar con el. Buena compra para iniciarse en el mundillo éste, esto sin problema. Lo volvería a comprar sin dudarlo.  Ahora bien, pese a ser Amazon Prime, me han cobrado 25 eurazos de gastos de envio... Muy mal.</t>
  </si>
  <si>
    <t>Calidad y buen precio. Solomon es Solomon Muy contento</t>
  </si>
  <si>
    <t>José Luis Álvarez. Muy bien. Al principio lamente no haber comprado el de corona de rosca, pero resultó que este resiste perfectamente el agua.</t>
  </si>
  <si>
    <t>Un poco justo de calor Está bien, pero poco potente, ni siquiera en el estado tres notas excesivo calor, pero es mejor que no tener nada.</t>
  </si>
  <si>
    <t>Es Indestructible, Es Casio, Es Japones. Una pasada, fiable como ninguno, indestructible como ninguno, pasa el tiempo por el y parece nuevo, lo llevo a donde voy, no voy si no lo llevo, en timpo libre, en trabajo (fontaneria), a pescar, no me separo de el hasta que me tengo que acostar. Personalmente no creo que haya un reloj mas resistente que no sean de acero como el G-Shock. Lo recomiedo a todos lo caballeros que tengan una muñeca al menos mediana. Una belleza de reloj. Lo unica pega es que no se ve muy bien la hora digital e analogica, por lo demas inmejorable calidad del reloj. Un 9 al reloj!</t>
  </si>
  <si>
    <t>Usb 3.0 32GB pendrive Me gusta esté producto , mi fallo no me fije en el color abría elegido el plateado , mas masculino, menos mal que parece un color de cobre</t>
  </si>
  <si>
    <t>Da muchas opciones. Precio calidad 👌👍 no se le puede pedir más. El café delicioso y con crema. Perfecto para todo tipo de café, café solo, cortado, bombon, capuchino, etc. Te da la posibilidad de hacer lo que quieras, hasta un latte macchiato.</t>
  </si>
  <si>
    <t>Pandora Pulsera pandora que compré y resultó ser pequeña por sus 18 cms. Fue devuelta ese mismo día sin ningún problema y unas instrucciones muy claras. El dinero fue devuelto también a los 2, 3 días.</t>
  </si>
  <si>
    <t>Pasador de diapositivas para presentaciones Me dedico a la docencia, y este pasador de diapositivas me viene muy bien para las clases, ya que buscando la forma de hacer las clases más amenas e interactivas a través del uso del ordenador, perdería mucho tiempo teniendo que acudir constantemente a la mesa del ordenador para ir pasando las diapositivas.  Viene con un laser, elemento que puede venir bien para alguna ocasión.  Pesa muy poco, funciona con una pila y no cuesta mucho. Espero que los alumnos lo disfruten al igual que yo.</t>
  </si>
  <si>
    <t>Comodidad La comodidad. Muy buena relación calidad-precio</t>
  </si>
  <si>
    <t>Muy buen reloj Reloj de buena calidad a muy buen.precio, el altímetro es barométrico por lo tanto fluctúa mucho según las condiciones climáticas, es lo único que no me ha gustado</t>
  </si>
  <si>
    <t>comodísimas para otoño/invierno geniales para todo, trabajo, salir, incluso el campo por su suela deportiva 5/5</t>
  </si>
  <si>
    <t>cómodos y ligeros Son mis primeros auriculares bluetooth, son muy ligeros y cómodos, a los dos minutos te olvidas de que los llevas. Tienen muy buen sonido y son muy fáciles de enlazar con el móvil y el portátil. Al tener sujeción detrás de la oreja no aprietan el oído como los de botón.</t>
  </si>
  <si>
    <t>Caparelle Buena compra. Es bonito y lo uso a diario. Muy buen material. Lo recomiendo sin lugar a dudas. Para mi gusto quizá la correa debería ser un poco más estrecha. Pero el diseño del bolso es correcto y elegante.</t>
  </si>
  <si>
    <t>Contentos con ella De momento estamos contentos con la elección. Las cremas, los batidos, masa de pasteles, smoothies, picar hielo, ... Todo super rápido y super fino! La textura que deja es la que quería. El motor aguanta mucho trabajo sin dificultad, el vaso de tritan es muy ligero y fácil de limpiar.</t>
  </si>
  <si>
    <t>Genial! Me encanta!!! Justo lo que buscaba...</t>
  </si>
  <si>
    <t>muy buena botita Mejor de lo esperado, tanto en monte como en caminos. Es muy cómoda de llevar y se garra muy bien</t>
  </si>
  <si>
    <t>Perfecta La uso todos los días, calienta como debería y aunque se apague a los 180 min (a veces algo menos) se mantiene caliente toda la noche, excelente compra relacion calidad preci, lo volvería a comprar sin dudar.</t>
  </si>
  <si>
    <t>comodas comodas pero hay q llevarlas con calcetines pq rozan</t>
  </si>
  <si>
    <t>Un G Shock que no defrauda. Un G Shock que marca la diferencia con el resto de modelos comparables. El diseño es bonito y diferente al resto de cajas. Es perfectamente legible en cualquier circunstancia y la iluminación es mejor que en los de manecillas, tengo un GA 110 y este ilumina mucho mejor. Lo de las alarmas y la cuenta regresiva con vibración es genial y muy configurable. Sin duda un gran reloj y buena compra.</t>
  </si>
  <si>
    <t>Muy recomendable Estupendo producto</t>
  </si>
  <si>
    <t>La mejor compra que hicimos!! Nos encanta! Es una de las mejores compras que hemos hecho. Una ayuda estupenda para la casa, sobretodo cuando no hay tiempo. Lo deja todo muy limpio. Además poder decirle cuando y como limpiar desde el teléfono es muy cómodo. Sólo hay que ocuparse de tenerlo limpito para su uso y la casa recogida para que limpie mejor.</t>
  </si>
  <si>
    <t>Raúl Mérida Muy recomendable es muy bonita y fina mi mujer está encatada con ella la a puesto una medalla y queda genial</t>
  </si>
  <si>
    <t>Calidad a buen precio Calidad, precio y garantía es lo que nos ofrece Casio con este reloj. Me ha sorprendido muy positivamente, tanto el reloj como la correa, algo que añade valor a la máquina. Buena compra y, como de costumbre, buen servicio de Amazon en la entrega.</t>
  </si>
  <si>
    <t>Me encanta Muy satisfecha</t>
  </si>
  <si>
    <t>Usb Todo iría bien si cumpliera con lo describe, no sirve para android</t>
  </si>
  <si>
    <t>No tiene una buena calidad Se lo compré a mi nieta ...por el color le encantó y ya por todo lo demás no tanto estos auriculares de diadema son los propicios para los niños pues nada que entre en los oídos..pero la calidad no es lo que se desea en estos auriculares...</t>
  </si>
  <si>
    <t>Una decepción Una zapatilla de cada color, una rosa tal como muestra la foto y la otra rosa/beige desgastado.</t>
  </si>
  <si>
    <t>Desilusión. Lo vi en un anuncio y lo compré. No limpia cómo en el anuncio. Me siento timada. No deja de ser el típico cepillo rojo de toda la vida que usaban nuestras madres para quitar pelusillas en las chaquetas.</t>
  </si>
  <si>
    <t>mala compra A los 14 meses dejo de funcionar</t>
  </si>
  <si>
    <t>Casi perfecto El envio a tiempo indicado, la calidad del reloj indiscutible y tal cual se describe. U a belleza. Lastima que la caja que viene con el reloj ha venido con una marca o punto profundo que la verdad a los que somos amantes de los relojes, no deja un buen sabor final. No doy 5 * por ese detalle. Lo demas perfecto</t>
  </si>
  <si>
    <t>Tamaño perfecto Hola de momento me ha gustado todo,tamaño,color y tiene buena pinta. No le doy cinco estrellas porque tengo que comprobar cuanto dura cremalleras etc..</t>
  </si>
  <si>
    <t>Perfectas Las zapatillas perfectas,de piel, pero tallan un poco grande. La talla 37,5 mide 24 CMS.</t>
  </si>
  <si>
    <t>Muy bonita y buena calidad. Precio medio. &lt;div id="video-block-R34RVO1W62LHPS" class="a-section a-spacing-small a-spacing-top-mini video-block"&gt;&lt;div tabindex="0" class="airy airy-svg vmin-supported airy-skin-beacon" style="background-color: rgb(0, 0, 0); position: relative; width: 100%; height: 100%; font-size: 0px; overflow: hidden; outline: none;"&gt;&lt;div class="airy-renderer-container" style="position: relative; height: 100%; width: 100%;"&gt;&lt;video id="7" preload="auto" src="https://images-eu.ssl-images-amazon.com/images/I/D1Mzza91-3S.mp4" style="position: absolute; left: 0px; top: 0px; overflow: hidden; height: 1px; width: 1px;"&gt;&lt;/video&gt;&lt;/div&gt;&lt;div id="airy-slate-preload" style="background-color: rgb(0, 0, 0); background-image: url(&amp;quot;https://images-eu.ssl-images-amazon.com/images/I/919+CMIQm3S.png&amp;quot;);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center;"&gt;0:00&lt;/div&gt;&lt;div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value="https://images-eu.ssl-images-amazon.com/images/I/D1Mzza91-3S.mp4" class="video-url"&gt;&lt;input type="hidden" name="" value="https://images-eu.ssl-images-amazon.com/images/I/919+CMIQm3S.png" class="video-slate-img-url"&gt;&amp;nbsp;Me ha gustado el diseño y la calidad de la carcasa del motor, es como acero pulido muy bonito. Además cuando la enciendes los botones están retroiluminados por led azul, y tiene un aspecto y diseño muy moderno.  El motor tiene 1200 watios, suficientes para un uso doméstico.  En general tiene buenos detalles y buenos acabados, potencia y fucniones más que sufienciente. Se desmonta bien para limpiar y no tiene nada raro.  No me ha gustadovarias cosas.  Pues tiene detalles que son demasiado de plástico, como por ejemplo el interruptor de seguridad de la sujección del vaso de cristal, es un clip de plástico con un muelle, aparentemente frágil.  Las cuchillas son de acero, aunque no son las mejores para este tipo de batidora, hay otros tipos de cuchillas de más calidad.  Resumiento. La calidad es buena, y la potencia suficiente para un uso doméstico, no está pensada para un uso profesional o intensivo. Para eso hay otra máquinas con más potencia y calidad.  Relacion calidad-precio: Pues pienso que es cara. Basta con poner en el buscador de amazón "batidora vaso 1200". Después cada uno tiene que decidir que es lo que quiere comprar. Teniendo en cuenta la garantía y experiencia que ofrece cada marca.</t>
  </si>
  <si>
    <t>Muy buena relación calidad precio Son un poco duras y cuesta acostumbrar el tobillo al principio pero son calientes e impermeables. Muy chulas de diseño.</t>
  </si>
  <si>
    <t>Compacta y pequeña Esta Memoria usb es pequeña y tiene gran capacidad (32 gigas), ideal para llevarla de llavero. Se ve compacto y resistente. Se conecta sin problema y rápidamente Ali ordenador. Estoy muy satisfecha con la compra.</t>
  </si>
  <si>
    <t>Bien Muy resultones.Bonito regalo.Un poco pequeños.Todo bien incluida la entrega</t>
  </si>
  <si>
    <t>Un regalo precioso Me encanta el álbum, la temática de Up y sobretodo, todo lo que incluye para personalizar. Un regalo de 10 para cualquier familiar/pareja/amigo. Muy recomendado, muy buena calidad. PRECIOSO.</t>
  </si>
  <si>
    <t>Muy txulas!!! Perfectas!! El color del dorado es más bonito al natural, es más suave. La talla, como el resto de as zapatillas Adidas. Todo OK</t>
  </si>
  <si>
    <t>Útil y práctico Justo lo que estaba buscando. No es muy grande, el diseño es precioso para tener en la cocina. Exprime muy bien las naranjas y sin nada de esfuerzo,además es muy silencioso. Lleva una tapa para el polvo, además muy fácil de desmontar y de lavar.</t>
  </si>
  <si>
    <t>precio calidad bueno comodas</t>
  </si>
  <si>
    <t>Buen precio Cómodas y duraderas, muy recomendables</t>
  </si>
  <si>
    <t>Excelente producto, fiable y preciso Tienes unos acabados excelentes y es muy preciso. Es compacto y guarda en muy poco espacio el conector usb (q podria ser mucho mas pequeño).</t>
  </si>
  <si>
    <t>Tascam No puedo estar mas contento con esta grabadora. Siempre he oido hablar muy bien de ellas y he decidido comprarla, puedo grabar audio, ademas tiene entrada de linea (que es el motivo principal por el que la compre) Tiene una muy buena autonomía y ademas se puede conectar por usb y dispone de una tarjeta de sonido para grabar directamente en el Mac!! Increíble. Echo en falta el cable usb, podrían incluirlo en el paquete, por lo demás un 10.</t>
  </si>
  <si>
    <t>Mi mejor compra Es bonito, elegante, fácil de configurar con tu teléfono, estoy muy contenta con mi smartwatch</t>
  </si>
  <si>
    <t>Increíbles!! Son espectaculares! Pequeños, súper cómodos y puedes incluso dormir con ellos que no se clavan ni te harán daño! Son muy bonitos 😊</t>
  </si>
  <si>
    <t>Muy práctico y rápido. Increíblemente rápido.  No da tiempo a preparar la taza cuando el agua ya empieza a hervir , con este hervidor no da pereza prepararse un té o una infusión y se evitan los peligros de calentar el agua en el microondas.</t>
  </si>
  <si>
    <t>Excelente Llegaron antes de lo estimado. Me quedaron perfectas, son muy comodas!</t>
  </si>
  <si>
    <t>Zapatillas Uso el numero 38 y en new balance el 38.5 vi comentarios que tallaban muy justos, me coji el 39 y estupendos. Os lo recomiendo</t>
  </si>
  <si>
    <t>1 TB de almacenamiento a una relación calidad/precio excepcional SSD de 1TB ideal para ampliar o sustituir una unidad de almacenamiento mecánica. En mi caso sustituyendo a un antiguo disco duro de 1 Tb. LA única pega que puede poenrse es la tecnología QLC, que al tener más capas que las anteriores tecnologías hacen que la vida útil sea menor, no obstante, sin esa tecnología no podría ajustarse tanto el precio.</t>
  </si>
  <si>
    <t>Práctico para excursiones y salidas Muy cómodo y práctico.</t>
  </si>
  <si>
    <t>Perfecto para uso puntual y esporadico Lleva cable de unos 5 o 6 metros. Yo lo prefiero ya que el uso es muy puntual y los de bateria se me estropean rapido o el dia que lo necesito estan descargados. Con los complementos que trae puedes utilizalo en espacios muy reducidos, como interior del coche o para hacer todo la casa. Es potente y limpia bien, no se cuanto durara, si es resistente.</t>
  </si>
  <si>
    <t>demasiado grande los pantalones tienen muy buena calidad, buen acabado pero usando normalmente una talla mediana he pedido la xs por saber que erann tallas grandes, no los devuelvo porque los usare como pantalon de pijama pero habria que pedir dos tallas menos psts poder salir a la calle, una pena</t>
  </si>
  <si>
    <t>Complicado Es muy bonito.Tiene la luz muy pobre y muy complicado de cambiar la hora</t>
  </si>
  <si>
    <t>Orma estrecha El calzado es bonito como la mayoría de los productos Tommy, peeeero la orma es muy estrecha. Por lo que si tienes un pie ancho olvídate.</t>
  </si>
  <si>
    <t>Para iPhone no sirven El sistema de emparejamiento en iOs no funciona Cada auricular tiene su propio sistema de conexion y no permite tener los 2 a la vez. Tienes que elegir entre el derecho o el izquierdo</t>
  </si>
  <si>
    <t>Muy pesados Pesan demasiado</t>
  </si>
  <si>
    <t>Justo lo que buscaba! La necesitaba para hacer manualidades y cortes de elementos de diseño gráfico como diseñar marcapáginas, papelería, etc. y es lo que buscaba. Corta perfectamente lo único que si hay que tener buen ojo para colocar el papel y cortarlo justo por la linea que buscas. Buena herramienta de trabajo</t>
  </si>
  <si>
    <t>Comoda Hacer ejercicio</t>
  </si>
  <si>
    <t>Genial Todo muy bien!!!</t>
  </si>
  <si>
    <t>es lo que se describe Me parece que por la capacidad que tiene deberia costar menos, pero es lo que pasa cuando pretendes utilizar aparatos antiguos</t>
  </si>
  <si>
    <t>Justo lo necesario Parece resistente y es cómodo. Se lo he comprado a mi hija para poner el libro mientras estudia y hace deberes y es bastante cómodo y práctico</t>
  </si>
  <si>
    <t>Muy bien Buenas fundas</t>
  </si>
  <si>
    <t>Calidad precio excelente Fue para un regalo...quedó muy contento</t>
  </si>
  <si>
    <t>una compra muy acertada El producto cumplió todas mis expectativas es fuerte de buen material no muy grande pero tampoco diminuto entra perfectamente una tablet documentos llaves etc y de manera muy cómoda ese mismo bolso en el mercado me salia por el doble de dinero me gustó mucho</t>
  </si>
  <si>
    <t>Correcto A mi hija le encanto. Abriga suficiente.</t>
  </si>
  <si>
    <t>Huele muy bien, a limón recién cortado &lt;div id="video-block-R2PZXWF86GVD80" class="a-section a-spacing-small a-spacing-top-mini video-block"&gt;&lt;/div&gt;&lt;input type="hidden" name="" value="https://images-eu.ssl-images-amazon.com/images/I/A1bIZMAqpxS.mp4" class="video-url"&gt;&lt;input type="hidden" name="" value="https://images-eu.ssl-images-amazon.com/images/I/81+i8CxyYsS.png" class="video-slate-img-url"&gt;&amp;nbsp;Soy una fanática de los inciensos y de las esencias. Pero nunca había probado el aroma del lemongrass y es muy similar al de una planta tipo geranio que tengo en mi patio para ahuyentar los mosquitos que se llama citronela. Esta esencia me gusta mucho porque con un par de gotas ya huele de maravilla. Yo tengo un humidificador- difusor de aromas cerca del pc porque me gusta oler esencias que controlan mis nervios y me centran. En este caso esta esencia hace su trabajo. Es como si cortaras un limón por la mitad y lo pusieras a tu lado. Aunque es algo más fresco, como más de campo. Me gusta mucho su aroma y sin duda repetiré.</t>
  </si>
  <si>
    <t>Bueno, bonito y barato. Y un gran servicio técnico El micrófono llegó muy rápido y funciona perfectamente, nada que envidiar con aparatos más caros.  Tras unos pocos usos el micro se me desemparejó del receptor pero el servicio técnico fue impresionante. Me enviaron las instrucciones para emparejarlo de nuevo y se comprometieron a cambiarme el micrófono, sin coste alguno, si no funcionaba.</t>
  </si>
  <si>
    <t>Mil gracias Esperaba algo bueno y e recibido algo mejor . Menuda zapatillas  son la put.......... osti.......  q alegria a correr impresionante</t>
  </si>
  <si>
    <t>Me encanta ¡La uso todos los días! Ha sido la mejor compra que he hecho en Amazon, se calienta en 10 minutitos y el calor se mantiene durante varias horas. El tejido es muy agradable y es perfecto para entrar en calor, es especialmente útil para calentar manos y pies. Si eres friolero deberías comprar este producto. También la utilizo para aliviar el dolor de espalda y ya lo creo que ayuda.</t>
  </si>
  <si>
    <t>Me encantan Es un producto perfecto tal y cual como se ve en la foto lo único que la talla se queda un poco pequeña yo he pedido mi talla 37 pero muy justa hay que pedir medio talla más. Pero el producto muy bonito y bueno no tengo quejas</t>
  </si>
  <si>
    <t>Cantidad de gigas por poco dinero Unidad de almacenamiento práctica y portátil</t>
  </si>
  <si>
    <t>GRAN CALIDAD y BUEN PRECIO Es una batidora con material de calidad (acero inox, plásticos buenos), potente, de funcionamiento estupendo y sencilla de manejar; a ver si es duradera</t>
  </si>
  <si>
    <t>Fantástico Espléndida. Fácil de montar. Sólida y robusta a la par que ligera. Merece la pena invertir en un producto con esta calidad y prestaciones. Maravilloso diseño. Estamos encantados. Lo utilizamos muchísimo. Muchas gracias.</t>
  </si>
  <si>
    <t>CALIDAD DE LOS MATERIALES MUY BUENA Lo primero que te llama la atención es la calidad de los materiales, es realmente buena. Para poder usarlo tienes que poner en cada micrófono 2 pilas AA y conectar la base a la luz y a un amplificador. La calidad del audio que emite es realmente buena.</t>
  </si>
  <si>
    <t>Excelente vendedor Excelente lupa. Mucha rapidez en el envío.</t>
  </si>
  <si>
    <t>Mejor de lo que pensaba. Ya llevan unos 6 lavador y aun están igual que cuando los compré... relación calidad precio bien... recomendable. Volvería a comprarlos.</t>
  </si>
  <si>
    <t>Buena calidad Ideal para mi gracias</t>
  </si>
  <si>
    <t>Buen producto. No estoy seguro de si es nuevo o reciclado, en todo caso se encuentra en perfecto estado y funciona muy bien. Lo uso como disco para copia de seguridad, algo lento comparado con los actuales pero perfecto para esa aplicación que desarrolla en modo automático Windows 10.</t>
  </si>
  <si>
    <t>Cumple con la descripción Tiene un gramaje perfecto, no queda ni demasiado blando ni demasiado rígido. Yo lo uso para plastificar material escolar. Las marcas que indican cómo introducirlo en la plastificadora son muy útiles y desaparecen completamente una vez lo metes en la máquina de plastificar.</t>
  </si>
  <si>
    <t>Muy buenas Buena calidad sujetan los cuadros perfectamente, volvería a comprarlas sin duda, vale ora colgar cuadros y cosas de poco peso en la pared</t>
  </si>
  <si>
    <t>Bien Flojo</t>
  </si>
  <si>
    <t>Es lo que buscaba pero luz insuficiente Me gusta y me lo quedaré pero la luz que tiene no es muy buena, en lugar de iluminar por toda la esfera del reloj ésta sale de un punto y si las agujas del reloj están alejadas no se ven muy bien.</t>
  </si>
  <si>
    <t>Buen producto pero algo incomodo Buen producto en cuanto a material,calidad de sonido.La bateria me ha sorprendido notablemente ya que dura bastante. Aun pensando que es un buen producto hay un par de cosas que no me han gustado,una de ellas es que no son nada comodos,ya que la almohadilla de la cabeza es algo dura y como los tengas mucho tienpo puestos te acaba doliendo.Tambien creo que el peso del producto tampoco le favorece ya que eso tambien incomoda bastante a la cabeza.</t>
  </si>
  <si>
    <t>Pesímas Buscando en internet el precio medio es de 20-30 euros así que no se de que va este descuento de 60 euros. A parte de la muy mala calidad del material, el sonido es acceptable (mejor para ver una peli y no para escuchar música). Pero después de 3 días se bloquearon, ni se apagaban ni se encendían, no existe un manual para resolver los problemas ni en la confección ni en Internet, no obstante he leído que a mucha gente le pasó lo mismo. Las puse en la confección (aún está la luz lampeando), y mañana las voy a devolver.</t>
  </si>
  <si>
    <t>No me ha gustado Hace unas espuma que se va al Segundo .. no aguanta nada la espuma</t>
  </si>
  <si>
    <t>Un clasico...pero le falta algo... Todo un clasico, mismo funcionamiento, misma estetica que el tuve en los años 90, pero curiosamente yo conservo el "autentico" aunque lamentablemente no funciona. Que le falta al moderno? pues sencillmente el toque de la calidad de lo hecho antes, sin la "mass production" obsesion de lo hecho en china. La caja se ve mas rigida, como mejor terminada o de mejor calidad...pero bueno por el precio tampoco se puede pedir mas. El vintage costo 1800 pesetas, asi que a 9 euros sale el moderno mas barato...lo dicho un clasico adaptado a los tiempos que espero que dure, ya que ya no soy tan bestia como en los 90s....</t>
  </si>
  <si>
    <t>Demasiado grandes Son más grandes de lo que esperaba. No me gusta demasiado como quedan porque las estrellas son bastante grandes y a mi me gustan más pequeños. Por lo demás son fáciles de poner y quitar. Tiene buena imagen porque el material está bien</t>
  </si>
  <si>
    <t>Talla grande Muy chulas pero tallan enorme</t>
  </si>
  <si>
    <t>versatiles y comodas buen producto con alguna falla. lengüeta de ajuste superior de mala calidad, en la 2ª puesta se rompió por la parte que esta cosida a la zapatilla. el nº algo ajustado (43) en mi caso.</t>
  </si>
  <si>
    <t>Me siento cómoda con ellos. Los compré xq me dejé olvidado los originales de mi S8+ en mis vacaciones y realmente estos son muy parecidos. No noto la diferencia. Los recomiendo</t>
  </si>
  <si>
    <t>Precioso Lo pedí un viernes y el lunes ya me llegó, que eso ya me parece increíble. El colgante es precioso, pensé que igual brillaba demasiado o que sería pequeño pero me parece perfecto. Es para regalar en navidad y me parece perfecto y super barato</t>
  </si>
  <si>
    <t>Ligeros y comodos La música se escucha muy bien, conexión muy buena, se adaptan bien al oído y no hacen daño. Muy contento con la compra visto el precio. Mpow es una marca que me gusta mucho y con el tiempo ha resultado ser muy fiable, tengo otros cascos bluetooth de la misma marca y también estoy súper contento. Gracias</t>
  </si>
  <si>
    <t>Lo esperado. Eran para regalo, y le han encantado.</t>
  </si>
  <si>
    <t>Muy cómodos Los utilizo para practicar running y van genial. Son muy ligeros y se adaptan totalmente a la oreja. Son muy ligeros y llegas a olvidarte de que los llevas puestos. La calidad del sonido se podría mejorar un poco pero no se puede pedir mas por el precio y la buena composición de materiales que tiene.</t>
  </si>
  <si>
    <t>excelente batidora aparenta gran calidad a falta de probarla,viene con sus accesorios ,la entrega rapida .embalaje perfecto,buena batidora, estetica de gama alta, cuestion de probar</t>
  </si>
  <si>
    <t>Cómodo y bonito Yo lo compré para jugar a volley playa y me va genial. Acerté con el tallajé y es muy  bonito. Si que para hacer según que deporte o si pretendes ponértelo para estar en el gym, yo lo encuentro demasiado escotado. Creo que me compraré más.</t>
  </si>
  <si>
    <t>Bellísimos, recomendados 100% Son para regalo junto con el colgante. Bellísimo y calidad.</t>
  </si>
  <si>
    <t>Buen producto Un producto de buena calidad, tal cómo aparece en las imágenes, talla, colores, recomiendo su compra.</t>
  </si>
  <si>
    <t>Buena calidad Muy cómoda, es algo suelta y la parte del cuello de la camisa no es ceñido como otras, pero está muy bien para salir a correr o hacer deporte</t>
  </si>
  <si>
    <t>Como un guante Bonitos calcetines de colores. Su material un poco elástico hace que te queden como un guante, son muy cómodos y no dejan ni marcas ni las típicas pelusas de cuando son nuevos. Los he lavado unas cuantas veces ya y siguen como el primer día. Totalmente recomendados</t>
  </si>
  <si>
    <t>Válido para deporte Esta bien rematado y reforzado el cosido que para el gim es importante. Le falta el cosido que lleva en medio de la pierna hasta el glúteo pero bueno no es algo por lo k preocuparse puesto que al precio que está tampoco vamos a quejarnos. Es muy cómodo y se adapta muy bien al cuerpo. Tela suave. En la foto parecía tela más resistente pero tampoco me importa. Importante en este color no transparenta Jjjj Me lo compraré en más colores;)</t>
  </si>
  <si>
    <t>Zapatillas Muy cómodas y perfectas y envio rapido</t>
  </si>
  <si>
    <t>Buen producto Me ha gustado</t>
  </si>
  <si>
    <t>Calidad y durabilidad Muy bonito y resistente a los golpes y el agua lo recomiendo</t>
  </si>
  <si>
    <t>perfect Envio algo lento, peto normal al tratarse de un producto de Alemania. Muy contento con la compra es lo que buscaba.</t>
  </si>
  <si>
    <t>Funciona bien. Estoy contenta con ella. La utilizo en un BQ y funciona perfectamente. Esta marca siempre me ha dado muy buenos resultados en las tarjetas de memoria y discos duros, cuando tengo dudas siempre recurro a SanDisk.</t>
  </si>
  <si>
    <t>Elegante y original Nunca habia tenido un reloj tan original en el que se vea a traves del cristal el mecanismo interior en funcionamiento,, Elegante y de buena calidad y a un precio bastante razonable. Correa comoda y la puedes regular al tamaño de tu muñeca,pesa un poco.</t>
  </si>
  <si>
    <t>Casual y cómoda. Es abrigada y suave, sin bolsillos que es como me hacía falta. Lo q menos que suelta pelusas d primero. Calidad-precio recomendable</t>
  </si>
  <si>
    <t>Al principio muy bien, pero luego empezó a despìntar. Al principio me encantaba, pero cuando subieron un poco las temperaturas empezó a manchar con una especie de betún marrón. La verdad es que me gustaba muchísimo, pero despinta tanto que no solo la ropa, sino también las manos. Intentaré devolverla.</t>
  </si>
  <si>
    <t>Funciona correctamente pero la carcasa es de plástico "chinoso" Funciona correctamente, lo compre para llenarlo de películas y conectarlo al tv del salón, recién lo recibí le metí dentro 1Tb de películas y funciona correctamente, le pongo 3 estrellas porque la carcasa tiene pinta de que si te se cae se hace pedazos, es de plástico "chinoso"</t>
  </si>
  <si>
    <t>A mi novia no le gustó Le falta potencia, para remover el colocao con la leche, no le pidáis más...  A mis padres sin embargo les compré el mismo pero con 600 W de potencia y están muy contentos...  Vosotros mismos...</t>
  </si>
  <si>
    <t>Poco util No me ha gustado! Poco util , sale agua a chorro no me ha gustado no lo uso!!  Envio correcto</t>
  </si>
  <si>
    <t>Buena relación Calidad/Precio Muy buena batidora. Parece robusta y muy resistente. No tiene nada que ver con la que tenía antes. La recomiendo.</t>
  </si>
  <si>
    <t>Recomendada He probado muchas mascarillas faciales y la verdad que esta me ha sorprendido, me ha gustado mucho.</t>
  </si>
  <si>
    <t>Cumple su función - buenas calidad-precio No hace falta pagar más, las APEX hacen un buen trabajo. Si necesita algo más grueso para alguna cosa concreta siempre puedes plastificarlo dos veces (o pagar bastante más por fundas más gruesas), yo estas las veo buenas calidad-precio</t>
  </si>
  <si>
    <t>su potencia para el precio que tiene esta muy bien.lo uso con frutas congeladas y la verdad que las deshace sin problemas y además es rapida y pequeña y tiene un vaso de gran capacidad.me gusta</t>
  </si>
  <si>
    <t>Cumple y corta bastante limpio. Cumple su cometido, no lo he usado demasiado como para opinar sobre lo que durará la cuchilla afilada, pero de momento corta a la primera pasada y bastante limpio el corte. No esperes una calidad superprofesional pero te saca del apuro y siempre va a quedar mejor el corte que con unas tijeras. Trae una barra que se mueve para colocar el papel y cortar en la angulación deseada.</t>
  </si>
  <si>
    <t>Adrian Excelente servicio y producto. Ha llegado antes del tiempo previsto y correctamente empaquetado. Referente a la tarjeta debo de decir que mi primera impresión al desembalarla es que su diseño es precioso, el recubierto metálico y el tacto son muy logrados. Después de instalar drivers (facilmente descargables desde la web oficial) y conectarla la he estado probando y funciona a la perfección, una calidad mas que apta para el precio de la tarjeta, ademas con controles muy intuitivos a la vez que responden a la perfección. Además incluye infinidad de software y librerías valorados algunos en 80 euros. Una compra recomendable para quien quiera iniciarse en el mundo de la producción o para ya veteranos que no dispongan de presupuesto excesivo pero exijan calidad. Estoy contento con mi compra y muy satisfecho con la empresa. Gracias.</t>
  </si>
  <si>
    <t>Estimulación Muy bien</t>
  </si>
  <si>
    <t>ENCANTADA Bien empaquetado y buena presentación. Reloj Tous digital 700350320-Bear de acero IP rosado con correa de Silicona negra.Se lo he mandado a mi hija cómo regalo. Le ha gustado mucho. No lo he visto personalmente pero me ha mandado fotos.  Llegó en la fecha prevista. Así que por el momento todo bien. Gracias</t>
  </si>
  <si>
    <t>Inmejorable Hace poco  compré una licuadora para hacer mis zumos de fruta y me gustó pero después tengo que desmontarla entera para limpiarla y lleva mucho tiempo,con la esta batidora ahorrotiempo pues es muy fácil de limpiar y la calidad del zumo es mejor porque aprovecha más la fruta y además puedo tomarlo en el mismo recipiente donde echo la fruta para batirla.</t>
  </si>
  <si>
    <t>Comodisimas Muy cómodas, lástima que no tienen protección en el talón, pero por lo demás un acierto. Por lo que valen, no hay nada mejor.</t>
  </si>
  <si>
    <t>Se puede lavar. Tiene una textura muy suave, se calienta muy rápido. A los 60 minutos de estar utilizándola, se desconecta automáticamente.</t>
  </si>
  <si>
    <t>zapato de calidad Siempre he llevado zapato con puntera de hierro,con o sin cordones,  para trabajar en cocina, pero después de probar esto, te sientes mas cómodo, es como si tuviera cámara de aire, como en las deportivas, se notan k son de calidad, no resbalan en aceite y agua, fácil de limpiar, mangerazo con la pistola y listo, recomiendo</t>
  </si>
  <si>
    <t>Calor suave Muy buena calidad..Suave al tacto.Comoda para usar en hombros..los cubre totalmente,incluso gran parte de espalda y cuello</t>
  </si>
  <si>
    <t>He comprado ya dos pares Muy calentitas y aptas para personas mayores porque evitan resbalones</t>
  </si>
  <si>
    <t>Cris Los volvería a pedir son cómodos buena calidad del tejido y unos de los puntos importantes para mi es que no transparenta nada la ropa interior buena calidad sin duda</t>
  </si>
  <si>
    <t>es un aparato imprescindible en la cocina es un aparato imprescindible en la cocina una vez lo has usado ya no puedes dejarlo, si si si si</t>
  </si>
  <si>
    <t>Perfecto para hidratar cabello Yo lo he usado para el pelo, siempre he tenido el problema de la sequedad en el cabello y por primera vez, he encontrado un producto que de verdad me repara el cabello. Yo me lo pongo por la noche y me lo lavo por la mañana dos veces a la semana.</t>
  </si>
  <si>
    <t>Recomendable Mi bebé de 5 meses no quería ningún biberón durante el proceso de destete. Cuando probamos con el biberón-cuchara, fue nuestra salvación. Ahora le damos la leche, los cereales y las papillas de fruta con esto.</t>
  </si>
  <si>
    <t>Muy bien Muy bien. En un día lo tenía en casa.</t>
  </si>
  <si>
    <t>Encantada con la compra. Los auriculares son compatibles con mi Xiaomi y el sonido se escucha genial.</t>
  </si>
  <si>
    <t>Muy rápido en ficheros grandes, roza el rendimiento que indica el fabricante La verdad que el rendimiento que da esta muy bien para trabajar, especialmente con ficheros grandes. No es una marca que conociese antes, pero hasta hoy está funcionando perfectamente. Los test realizados indican una velocidad de 350.3 Mb/s de lectura y 81 Mb/s de escritura, probado en equipo con un i7 de última generación bastante potente. Se acerca a los 400Mb/s y 100Mb/s de escritura que índica el fabricante. Una fichero de 2gb se copia en menos15 segundos. Se extrae en 13 segundos un fichero de 3.5 gb.  El benchmark realizado da muy buena puntuación en el SeqQ32T1, pero en el resto de pruebas el rendimiento es bastante bajo, penaliza mucho en el acceso aleatorio. ¿Que significa esto?, pues si quieres arrancar un sistema operativo desde el usb y usar una distribución live te va a ir muy muy lento, tampoco te va a funcionar bien para ejecutar aplicaciones, pero para llevar ficheros de un lado a otro te irá perfecto.  No tiene ninguna luz que indique si esta funcionando.  Dentro de las memorias que he probado es de las mas rápidas, por el mismo precio tengo una sandisk que no alcanza ni los 100 de lectura https://www.amazon.es/dp/B07855LJ99/ Si ocurre algún fallo con la memoría actualizaré la reseña, de momento contento con ella.</t>
  </si>
  <si>
    <t>Es una buena calidad y para protección es eficiente. Para el trabajo</t>
  </si>
  <si>
    <t>Bonita y super práctica Espectacular estoy encantada con mi picadora es muy práctica y  a la hora de cocinar me facilita muchísimo la preparación de la comida</t>
  </si>
  <si>
    <t>Mal , decepcion Mal reacondicionado a  Precio de nuevo La bateria esta viciada o algo asi apenas llega al dia Los primeros dias pense q era por un uso no eficiente Pero ahora apenas llega al dia Cuando se levanta o giaras la muñeca no se enciende la pantalla tengo girar varias veces o hacer un giro energico Esteticamente un 8</t>
  </si>
  <si>
    <t>Pesa mucho el cubo y es incómodo Seca muy mal el suelo</t>
  </si>
  <si>
    <t>Pie de microfono Pie de micrófono, esta bien</t>
  </si>
  <si>
    <t>No estoy contento ya que me hubiese gustado probar esta marca No estoy muy contento con las zapatillas,en primer lugar las pedi 2 veces color verde y melas mandaron marrones ,yo uso un 42 pero estaban pequeñas estas dan poca talla pedi un 43 y tampoco estaba comodo tendria que haber pedido 43,5 pero me cansado d tanto pedir y devolver.</t>
  </si>
  <si>
    <t>Material baja calidad Los cierres vanmuy flojos</t>
  </si>
  <si>
    <t>Anuncio engañoso El producto se anuncia con 6 pairs (=6 pares) y solo vinen 3!</t>
  </si>
  <si>
    <t>bien Todo bien</t>
  </si>
  <si>
    <t>comodidad calidad-precio</t>
  </si>
  <si>
    <t>Tal y como esperaba Tal y como esperaba. La primera vez que me las puse me hicieron una rozadura súper desagradable en el talón.. aún no me las he vuelto a poner.. pero imagino que cuando cedan un poco serán más cómodas</t>
  </si>
  <si>
    <t>Compra muy recomendable. Excelente acabado y material de gran calidad, le doy cuatro estrellas por que con una cremallera para cerrar el interior hubiera quedado de 10.</t>
  </si>
  <si>
    <t>Diminuto y ligero Cómo podéis ver en la foto el tamaño es muy reducido lo que significa que no guardare nada importante pq lo perderé en breve. Tiene conexión USB y tipo C que he probado con mi móvil y funciona perfectamente.</t>
  </si>
  <si>
    <t>No la cambiaria por otra. La verdad es que es una pasada como limpia. Tiene potencia de sobra y con el laser no da vueltas a lo tonto como las demás...</t>
  </si>
  <si>
    <t>Encantada con la compra Me ha encantado el collar, llegó bien y en la fecha prevista</t>
  </si>
  <si>
    <t>100% recomendable Genial calidad precio, 100% recomendable</t>
  </si>
  <si>
    <t>Perfecto calidad/precio Me encantan.  Cómodas ligeras.. no me las saco y quedan bien con todo</t>
  </si>
  <si>
    <t>Genial Muy chulo!</t>
  </si>
  <si>
    <t>Calidad y comodidad Buen producto, cómodo y buena relación clalidad precio</t>
  </si>
  <si>
    <t>buena velocidad de escritura La tarjeta esta bastante bien... tiene buena velocidad de escritura... estoy contento</t>
  </si>
  <si>
    <t>Muy chulo Me encanto</t>
  </si>
  <si>
    <t>Muchísimas funciones Despertador infantil con muchísimas funciones, diferentes sonidos de alarma, sonidos de naturaleza bastante relajantes...etc. Es un regalo ideal para los niños que tienen miedo a la oscuridad, ya que tiene diferentes colores de iluminación y tiene un modo en el cual aparece en la pantalla un emoticono o carita sonriente. Además, la forma del despertador es de un tamaño ideal y tiene en los laterales unas piezas como si fueran las orejitas.  Es un despertador muy original, para niños y no tan niños.</t>
  </si>
  <si>
    <t>Contenta Perfecta , cómoda para llevar (entendiendo sus dimensiones) la compre hace tiempo ahora valoro , contentísima</t>
  </si>
  <si>
    <t>Perfecto Envio y producto cmplen espectativas</t>
  </si>
  <si>
    <t>Buena compra Más que satisfecha con la compre, talla correcta 38. Las utilize para usarlas en un lago termal y me funcionó perfecto. Fácil de limpiar</t>
  </si>
  <si>
    <t>Los recomiendo Zapatillas bonitas y cómodas. Para el precio que tienen está muy bien. Cumplen su función perfectamente. Son cómodas y de buena calidad.he quedado muy contento con éstas.Los recomiendo 100%!</t>
  </si>
  <si>
    <t>Perfectas y originales son perfectas tal como sale en la descripción del articulo</t>
  </si>
  <si>
    <t>Buen producto de momento. Valoración inicial: Ya tengo varios como este, pero de 1TB. Dado su buen funcionamiento, he comprado este nuevo. De momento, he estado copiando ficheros de diversos tamaños y funciona muy bien. Enchufado a un USB3 en un portátil nuevo he copiado, de discoUSB a discoUSB, a más de 120MB/s. Una pasada. Viene en NTFS. Lo he conectado a una tele Samsung de unos 6 años, y lo lee sin problemas. Seguiré informando.</t>
  </si>
  <si>
    <t>LAS ZAPATILLAS REEBOK DE TODA LA VIDA El pedido llegó el día marcado para ello y sin ningún tipo de problema. La talla de las zapatillas es la que me esperaba y no he tenido problema con ella ya que he seguido las indicaciones de la tabla de tallas. Son las zapatillas que me he comprado casi siempre por su comodidad y, después de probármelas, siguen siendo muy cómodas. Son unas buenas zapatillas que me salieron a buen precio aprovechando la oferta que tenían.</t>
  </si>
  <si>
    <t>Sonido increíble Me encanta!! Producto y calidad increíble. Me lo regalaron y ahora lo he comprado para regalarlo. Dura un montón la batería y el sonido es perfecto. Viene con un funda para guardarlo, con un cable para cargar y otro para enchufarlo. Son cómodos y y el precio es muy bueno. Lo recomiendo.</t>
  </si>
  <si>
    <t>Todo ok La he usado durante más de un año en una cámara de fotos y va muy bien, la captura y la grabación de las fotos es muy rápida y nunca me ha dado un problema ni en la cámara ni en el ordenador.</t>
  </si>
  <si>
    <t>Malos materiales Al principio muy bien pero como a otros usuarios ha durado un año y poco y se ha estropeado. Materiales de mala calidad</t>
  </si>
  <si>
    <t>Running Lo compre pata utlizarlo como cronómetro principalamente y para es bueno. Como reloj digital es aceptableente elegante. Yo o recomiendo nada a nadie.</t>
  </si>
  <si>
    <t>Algo pequeña Cuando lo he recibido me ha parecido muy pequeño, en la fotografías no da esa apariencia. Por lo demás el producto esta bien</t>
  </si>
  <si>
    <t>Son de plastico Es plastico, pensé q serian de piedra</t>
  </si>
  <si>
    <t>Inestable Inestable, el brazo no soporta el peso de un micro Rode, aunque lo ajusto al máximo el peso del micro acaba bajando el brazo</t>
  </si>
  <si>
    <t>Imprescindible en el día a día A pesar de poder vivir perfectamente sin una Roomba, se agredece muchísimo tenerla. Aquellos que tengáis mascotas lo entenderéis pefectamente. Somos 2 personas en casa, 1 perro y 1 gato y la casa se ensucia mucho a pesar del cuidado que tenemos. Antes de tener la Roomba, teníamos que aspirar a diario ya que sino se formaban pelusas a los 2 días y la sensación era de no haber limpiado en mucho tiempo a pesar de no ser así. Al no disponer de mucho tiempo todos los días para dedicar a las tareas del hogar, comprar la Roomba ha sido una gran adquisición ya que nos ahorra mucho tiempo (y esfuerzo!).  A nivel más técnico, decir que la Roomba 615 ha cumplido con todas nuestras expectativas. Aspira perfectamente la casa, hasta la suciedad más difícil: pelos humanos, de mascota, polvo, pero también es capaz incluso de aspirar sin problemas la arena de sílice que utilizamos para la gata (es de tamaño bastante grande). Es increíble ver como apura perfectamente las esquinas y muebles (por ejemplo, como da la vuelta y aspira alrededor de las patas de la silla). Así que, en este sentido, ninguna queja. La batería dura lo suficiente, y el resultado es muy bueno.  Aspectos a mejorar? - A veces es un poco brusca y ha sido capaz de abrir puertas que no cierran del todo bien, o ha cerrado otras que estaban abiertas. Dentro de lo que cabe es comprensible, ya que es capaz de subir pequeñas rampas y desniveles, pero quizás sería un aspecto a mejorar. - Definitivamente, lo que sería mejorable es el ruido que realiza al aspirar. Completamente comprensible debido al trabajo que realiza, pero puede resultar molesto si se está en casa (aunque no sea en la misma habitación). Como solucionarlo? Poner la Roomba cuando no se está en casa, o hacerlo en 2 tandas, cerrando puertas de por medio (el sonido se aisla bastante si hay una puerta cerrada).  Si la recomiendo? Sin duda. Ahorro de tiempo y esfuerzo todos los días, y la casa termina estando siempre más limpia.</t>
  </si>
  <si>
    <t>Anchos Son buenos y mi hijo no quería beber en biberón y estos si los quiere Creo que es porque los puede agarrar bien con sus manos bebé de 10 meses</t>
  </si>
  <si>
    <t>Buena opción para cámaras y otros dispositivos Opción asequible si no tienes grandes necesidades. Si vas a hacer ráfagas en RAW a 30 megapíxeles o a grabar horas de vídeo en 4K, seguramente no te sirva ni por velocidad ni por capacidad. Si no has entendido la anterior frase, o tus necesidades son más básicas, te irá bien. Mira también la opción de 32GB, porque no hay gran diferencia de precio.</t>
  </si>
  <si>
    <t>Bastante bonitos No están mal pero son un poco pesados.</t>
  </si>
  <si>
    <t>Súper cómodos Llegaron enseguida y lo mejor, es que son súper cómodos, como si no llevaras nada, pero al mismo tiempo sujetan el pecho. Si que es verdad, que para hacer deporte no sirven.</t>
  </si>
  <si>
    <t>Muy práctica y bonita &lt;div id="video-block-R3T3WX1RFAYUBS" class="a-section a-spacing-small a-spacing-top-mini video-block"&gt;&lt;div tabindex="0" class="airy airy-svg vmin-supported airy-skin-beacon" style="background-color: rgb(0, 0, 0); position: relative; width: 100%; height: 100%; font-size: 0px; overflow: hidden; outline: none;"&gt;&lt;div class="airy-renderer-container" style="position: relative; height: 100%; width: 100%;"&gt;&lt;video id="31" preload="auto" src="https://images-eu.ssl-images-amazon.com/images/I/A1ABau-UFBS.mp4" style="position: absolute; left: 0px; top: 0px; overflow: hidden; height: 1px; width: 1px;"&gt;&lt;/video&gt;&lt;/div&gt;&lt;div id="airy-slate-preload" style="background-color: rgb(0, 0, 0); background-image: url(&amp;quot;https://images-eu.ssl-images-amazon.com/images/I/81wXDgMp4jS.png&amp;quot;);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center;"&gt;0:00&lt;/div&gt;&lt;div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value="https://images-eu.ssl-images-amazon.com/images/I/A1ABau-UFBS.mp4" class="video-url"&gt;&lt;input type="hidden" name="" value="https://images-eu.ssl-images-amazon.com/images/I/81wXDgMp4jS.png" class="video-slate-img-url"&gt;&amp;nbsp;Excelente licuadora, es muy pequeña práctica y fácil de llevar a cualquier sitio . Materiales de muy buena calidad y cuchilla de cumple perfectamente con la función que ofrece en el anuncio. Muy fácil de limpiar. Ideal para viajar por su tamaño.</t>
  </si>
  <si>
    <t>Correcto con la descripción Recibido tres dias antes ok. Puesto en funcionamiento realizando los ajustes pertinentes, funciona perfectamente, según se describe en sus características. Esperemos que la durabilidad del producto sea igual de satisfactoria.Recomendable su compra para usos no profesionales ni excesivamente exigentes.</t>
  </si>
  <si>
    <t>Buena calidad Tiene muy buena calidad y su precio es pequeño</t>
  </si>
  <si>
    <t>Zapatillas deportivas En la foto las franjas son grises ,que es lo que pedí . Y las mandan de color azul. No es tal cual pone en la fotografía.</t>
  </si>
  <si>
    <t>Estupenda compra....volvere a repetir en breve Estupendo. La talla perfecta y tiene buen agarre. No se cede. Supercomodo. Tirante muy resistente y al ser más ancho que en uno normal no deja huella en los hombros. Llegó antes de lo esperado.</t>
  </si>
  <si>
    <t>Un 10 Ideales. Calidad precio inmejorable</t>
  </si>
  <si>
    <t>Perfecto Se corresponde con lo comprado</t>
  </si>
  <si>
    <t>Disco SSD económico. Buen producto, un disco SSD de 120 gb con el que poder dar una segunda vida a equipos antiguos o con poca potencia. El disco tiene un aspecto identico a otros que tengo de marca más reconocida, aparentemente la misma calidad, se nota la velocidad. Producto totalmente recomendable siempre y cuando no necesitemos capacidad de almacenaje.</t>
  </si>
  <si>
    <t>Buen producto en general. Buen sonido. Que sea de plástico no es tan importante ya que la función de este artículo es de audio. Aparentemente es elegante. Se adapta muy bien al oído y te cancela correctamente los ruidos ambientales. ¿Recomiendo este producto? Totalmente. - Valor añadido: La aja viene muy elegante, con una bolsa para guardar los auriculares. Prestan atención a los detalles. Eso es valor añadido y eso es valor de marca.</t>
  </si>
  <si>
    <t>Almohadilla eléctrica Según mi madre y tía que eran para ellas geniales</t>
  </si>
  <si>
    <t>Me ha gustado. Sostiene bien el libro y tiene buen tamaño.</t>
  </si>
  <si>
    <t>Bolsa de agua de toda la vida. 100% satisfecho bosla de agua de toda la vida muy contento con la compra muy buena calidad y la funda de tela  es perfecta</t>
  </si>
  <si>
    <t>Masajes gratificantes, fácil uso y gran eficacia. Siempre he querido tener un masajeador de este tipo, ya que me suele doler mucho la espalda a causa de mi trabajo. El masajeador cumple su función. Me ayuda mucho apaciguar el dolor.</t>
  </si>
  <si>
    <t>Muy buena calidad Muy practica</t>
  </si>
  <si>
    <t>PERFECTO me vino de perlas bastante amplio y es comodo de llevar me gusta</t>
  </si>
  <si>
    <t>Bueno y bonito Me encaja perfectamente, es una zapatilla de.buena calidad y ademas es bonita.</t>
  </si>
  <si>
    <t>Alivio de contracturas Cuando lo compre no creía que tendría esa calidad, pensé que sería algo cutre pero ha sido todo un acierto su compra.</t>
  </si>
  <si>
    <t>. Está bien, pero el mio llegó doblado y sin las plumas de colores</t>
  </si>
  <si>
    <t>Bonito pero PEQUEÑO Bonito en forma y color pero PEQUEÑO COMPARADO CON LOS CASIOS G SHOCK... no es un tanke que era lo que buscaba pero bueno...</t>
  </si>
  <si>
    <t>Pasable Un poco diferentes a como las esperaba, pero bien</t>
  </si>
  <si>
    <t>Dejó de funcionar sin más Iba todo muy bien y a los 6 meses ha dejado de funcionar. Simplemente se apagó y no volvió a encenderse</t>
  </si>
  <si>
    <t>Suela de muy mala calidad La suela de estos zapatos es bastante mala trabajo de conductor y me duraron 2 semanas, en ese periodo la suela se había desgastado simple uso de los pedales vehículo.</t>
  </si>
  <si>
    <t>Antonio Cable midi de calidad aceptable, longitud adecuada.  El cable reúne las cualidades que tiene que tener. Conexión  buena. Buena transmisión  de midi</t>
  </si>
  <si>
    <t>Pronadores, aquí! Zapatilla para pronadores que supuestamente es de las más top que hay. Pero también es de las más puras. Corrige bastante la pisada, pero no tiene ningún tipo de tecnología aplicada para darte un plus en la carrera,la energía que inviertes es la que hay. Un pelín estrechas pero nada que no se solucione cogiendo media talla más o cambiando la lazada</t>
  </si>
  <si>
    <t>LOS MEJORES AURICULARES BLUETOOTH Sin duda de todos los auriculares bluetooth que he podido probar estos son los mejores, pero de largo.  Para empezar son los únicos que he probado que cuentan con USB tipo C para cargar la caja por lo que solo por eso ya merecen la pena ya que cuentan con la última tecnología de carga, además de ser más rápida.  Su control es totalmente táctil, no cuenta con ningún botón, por lo que para subir y bajar volumen, pasar de vídeo o canción o retroceder se realiza dando toques en el auricular.  En cuanto a la calidad de sonido no tiene rival, son los mejores. Se escuchan muy fuerte y los graves son espléndidos, no tengo ninguna pega en este apartado. La duración de la batería es también muy buena, dándome hasta 4h de uso sin problemas. En cuanto a la carga completa de estos auriculares no lo se con certeza pero creo que no llega a la media hora.  Como pequeña pega diría que la caja no me termina de convencer, es curioso que sea circular y haya que pulsar un botón para acceder a los auriculares pero no me termina de convencer.  Por el precio que tienen y la calidad que ofrecen no podemos pedir más, compra recomendada.</t>
  </si>
  <si>
    <t>Realizado devolución Hola se han devuelto ya con etiquetas distintas un saludo, el motivó tamaño más pequeño.</t>
  </si>
  <si>
    <t>FUNCIONAL DESEABA UN BOLSO CON VARIOS DEPARTAMENTOS. ESTE ME HA RESULTADO "BASTANTE" ADECUADO.</t>
  </si>
  <si>
    <t>Irma Quedan como un guante. Este modelo es más estilizado  y cuando caminas  es como si pisaras "goma espuma".El rojo es vivo y quedan genial con jeans</t>
  </si>
  <si>
    <t>Muy recomendable Súper naturales y el olor bastante suave.</t>
  </si>
  <si>
    <t>Buen producto Cumple perfectamente su función, es rápido y barato. El ordenador lo reconocio a la primera y es rápido en conectarse y en copiar archivos.</t>
  </si>
  <si>
    <t>Gran opción en oferta De vez en cuando suele poner en amazon las estas Vans en diferentes colores por 20€ o incluso menos. Momento ideal para hacerse con algunas.  En mi caso quizás tallen en niños 1/2 numero mas grande que ottas marcas</t>
  </si>
  <si>
    <t>Pega todo Lo utilice para pegar un plafón y tras varios meses esta aguantando perfectamente. Compraré mas cuando se acabe. El aplicador es perfecto.</t>
  </si>
  <si>
    <t>Muy buena calidad del sonido La nitidez del sonido es lo mejor, el cable es de buena calidad y sin muy cómodos, recomiendo el producto</t>
  </si>
  <si>
    <t>Gran Invento Marca la diferencia a la hora de organizar los cables, cargadores, auriculares, etc, te da la vida. 100 unidades por 10 euros, cuando en Leroy Merlin te cobran 5 euros por 4 o 5 tiras de colorines estridentes y se quedan tan agusto. Esto es increible, le pongo 5 estrellas y al inventor es para sacarle a hombros</t>
  </si>
  <si>
    <t>Muy buenos Comodos.faciles de usar y de limpiar.</t>
  </si>
  <si>
    <t>Calidad-Precio Excelente Calidad-Precio excelente. Muy bien acabado y dispone de una funda aparentemente muy resistente.</t>
  </si>
  <si>
    <t>Muy bueno Me ha gustado mucho. Queda perfecto. Es transparente. Fácil de aplicar.</t>
  </si>
  <si>
    <t>Colores fuertes Si no te importa los colores fuertes, aqui tienes unos buenos calcetines. Uso para entrenar en el gimnasio o caminar/trotar.</t>
  </si>
  <si>
    <t>MUY FAVORABLE LA ÚNICA PEGA ES QUE LA AGENCIA POR DONDE ME LO ENVÍAN AQUÍ EN CÁCERES TIENEN EL HORARIO COINCIDENTE CON MI TRABAJO Y EL ALMACEN CENTRAL ESTÁ A KMS. DE DISTANCIA, SON CUADRICULADOS EN LE HORARIO Y TENGO QUE ESTAR DE CABEZA CON ELLOS,</t>
  </si>
  <si>
    <t>estupendo estupendo era un reglao y llego a timepo son de calidad</t>
  </si>
  <si>
    <t>Perfecto La entrega fue rápida y el bolso tal como se describe en medidas y como sale en la foto. De bastante calidad e ideal para llevar pequeñas cosas de forma cómoda sin tener que deformar los bolsillos del pantalón. O como plus para por ejemplo llevar una cámara pequeña de fotos de viaje, puesto que tiene un buen acolchado y es bastante impermeable. Multibolsillos y correa de enganches de calidad, confortables y a medida.</t>
  </si>
  <si>
    <t>Verbatim 43551 + DVD+R 100 Unidades El envío súper rápido, de un día para otro, y la calidad quien no lo sepa, son de lo mejor. Puedo decir que alguno de los DVDs que me he encontrado de momento presenta como un corte en el final de la pista. Pero no me he encontrado con problemas al leerlo. De momento de 10 Uds, 1 salió con ese defecto visual aparentemente sin problemas. Perfecto, recomiendo.</t>
  </si>
  <si>
    <t>Fácil y sencilll Fácil de usas y de despegar de su paquete original</t>
  </si>
  <si>
    <t>Regular La carpeta es muy chula pero al final no ha llegado a terminar el curso, ni siquiera un trimestre. Está bien de precio pero creo que no la volveré a comprar.</t>
  </si>
  <si>
    <t>¿Es normal que venga esta cantidad en el bote? Parece que le falta pegamento y por el precio que cuesta debería de venir hasta arriba, no viene ninguna garantía que sea nuevo (El plástico del embalaje esta cerrado pero hay maneras de abrirlo sin rajar el envase), no traía ningún tipo de tapón que garantice que no fue usado anteriormente.</t>
  </si>
  <si>
    <t>Sudor permanente Se acumula un charco de sudor bajo la plantilla ortholite, pasa en todos los modelos de XA PRO que he tenido. Y en los modelos con goretex se nota más aun porque la ventilación es menor al ser la trama más ajustada. Humedad permanente en la planta del pie y calcetines mojados. Por lo demás bien, son bonitas, versátiles porque también las puedes llevar con jeans, y duraderas.</t>
  </si>
  <si>
    <t>NO es 3.0 Como dicen en otros comentarios la velocidades de lectura/escritura no son de un 3.0. Publicidad engañosa. Las velocidades son de 2.0. Por lo demás es como dicen.</t>
  </si>
  <si>
    <t>Muy dudoso Ojo el reloj ya fue utilizado, llega sin ningún tipo de precinto y  a los dos minutos de pornelo en la muñeca ya no funciona el analógico No comprar a sido devuelto</t>
  </si>
  <si>
    <t>Buen sonido No aíslan (como ya sabía) pero se escucha muy bien, sin ruido de fondo ni nada.</t>
  </si>
  <si>
    <t>Bueno pero grande. En general es una buena bandolera. Buen material. Buenos acabados. Buena tira regulable y ancha. Pero demasiado grande para las pretensiones que tenía quería un bolso más manejable y esta era tipo universitario para poder llevar casi un MacBook Air de 11 pulgadas. O un iPad grande. LO devolví y al final me compre uno más pequeño con el que estoy muy satisfecho.</t>
  </si>
  <si>
    <t>Un hervidor comodísimo y rápido Excelente hervidor, rápido, cómodo y muy silencioso. Perfecto para hervir hasta cinco tazas en un minuto. Único problema: el cable de corriente es excesivamente corto.</t>
  </si>
  <si>
    <t>Me gusta Forma ingeniosa de tener los cables de casa ordenador y ocupando un espacio ínfimo. La única pequeña pega es el engorro de tener que ir metiendo los cables. Pero merece la pena.</t>
  </si>
  <si>
    <t>Buena relación calidad precio &lt;div id="video-block-R2TEG5OKUVW4W3" class="a-section a-spacing-small a-spacing-top-mini video-block"&gt;&lt;div tabindex="0" class="airy airy-svg vmin-supported airy-skin-beacon" style="background-color: rgb(0, 0, 0); position: relative; width: 100%; height: 100%; font-size: 0px; overflow: hidden; outline: none;"&gt;&lt;div class="airy-renderer-container" style="position: relative; height: 100%; width: 100%;"&gt;&lt;video id="7" preload="auto" src="https://images-eu.ssl-images-amazon.com/images/I/71m6VL2QO9S.mp4" style="position: absolute; left: 0px; top: 0px; overflow: hidden; height: 1px; width: 1px;"&gt;&lt;/video&gt;&lt;/div&gt;&lt;div id="airy-slate-preload" style="background-color: rgb(0, 0, 0); background-image: url(&amp;quot;https://images-eu.ssl-images-amazon.com/images/I/81AtMETlU7S.png&amp;quot;);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center;"&gt;0:03&lt;/div&gt;&lt;div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 style="width: 100%;"&gt;&lt;/div&gt;&lt;div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value="https://images-eu.ssl-images-amazon.com/images/I/71m6VL2QO9S.mp4" class="video-url"&gt;&lt;input type="hidden" name="" value="https://images-eu.ssl-images-amazon.com/images/I/81AtMETlU7S.png" class="video-slate-img-url"&gt;&amp;nbsp;Me la he comprado para mezclar batidos  de proteínas.  A destacar: vienen dos vasos, q no todas lo traen, para eso tiene suficiente potencia. Lo que menos me gusta: - que la dirección para apretar los vasos a las cuchillas es la misma que para encajarlo al motor, con lo que hay que apretarlo mucho a las cuchillas si no quieres que al desencajarlo cuando este hecho se te derrame encima del motor, rompiendolo.  - solo trae la medida de 600 ml  - pone que es del mismo material que los biberones, pero los biberones si de pueden meter en el lavavajillas pero los vasos no.  Uno de los vasos venia con una rajita donde se engancha, pero a mi eso no me importaba porque no me hace falta</t>
  </si>
  <si>
    <t>Calidad Muy buena calidad</t>
  </si>
  <si>
    <t>Ligero, cómodo y "barato" Pantalón muy cómodo. Es Ajustado, prácticamente como unas mallas. Es elástico y ligero. Lo he usado para correr acostumbrado a prendas compresivas o mallas y me ha parecido comodísimo sin rozaduras. Precio BRUTAL, he comprado 2, para ser una prenda under armour muy barata. Tal vez si hace frío se queda corto de capa.</t>
  </si>
  <si>
    <t>Buen dispositivo. Funciona bien y rápido. Solución perfecta para intercambiar archivos entre dispositivos. Robusto y bien acabado. Si fuese un poco más pequeño sería perfecto, aunque el tamaño entra dentro de lo razonable/manejable. Soporte en español.</t>
  </si>
  <si>
    <t>Todo bien Todo perfecto</t>
  </si>
  <si>
    <t>Buenas zapatillas Buen precio para estas maravillosas Saucony.He tenido que pedir1\2 número más eso si.</t>
  </si>
  <si>
    <t>Regreso al futuro 1 Hay q pedir una o dos tallas más grande, por lo demás perfecto.... Quedan genial</t>
  </si>
  <si>
    <t>5 estrelas Ótimo produto!</t>
  </si>
  <si>
    <t>Más eficiente que otras batidoras antisalpicaduras. Mucha potencia, pero con control Me parece de momento, una de las mejores batidoras del mercado que se pueden encontrar por este rango de precios, ya que auna las 3 cosas más importantes que puede tener una batidora bajo mi punto de vista y experiencia de más de 25 años metido en cocinas, tanto profesionales, como domésticas.  1.- El diseño del brazo antisalpicaduras, es efectivo (quizá no tanto como otros), pero los agujeros que tiene, haces que puedan pasar por ellos los líquidos o alimentos que trituremos, con lo cual, a diferencia de las que no llevan estos agujeros y con plenamente antisalicaduras, ésta Taurus, sí que crea un vórtice al batir, lo que hace que los alimentos queden más finos en menos tiempo, castigando así menos la máquina, pero sobre todo, mejores acabados.  2.- La alta potencia de la máquina, que para ser de brazo, es de lás más altas que he visto, hacen que sea apta para todo tipo de alimentos y preparaciones, con especial mención a los más duros. Por ejemplo, una crema de almendras, la deja casi como el caldo de la sopa. Pero lo mejor, es que tiene un regulador de 20 velocidades, así que, no sólo es potente, sino que si necesitamos que sea cuidadosa con otro tipo de alimentos, o cuando le conectamos accesorios, podemos bajarla al mínimo o a un término intermedio, y conseguir los resultados exactos. Mahonesas, batir claras a punto de nieve, emulsionar, purés, salsas, incluso hielo casero, nada se le resiste y para cada cosa, su punto en la batidora.  3.- El brazo de acero inoxidable, tiene dos grandes ventajas respecto a otros modelos. Una, es que es más largo de lo habitual, lo que nos permitirá usarla en ollas hondas sin ningún problema, y la otra, es que la conexión del brazo con el motor, en la parte del eje, es lo suficientemente robusta para que dure años.  Esas son las cosas por las que creo que este es un gran producto. Potencia, buena regulación de velocidad y buen enganche del brazo.  Ahora bien, para que sea duradera en el tiempo, sobre todo, por la cantidad de watios que tiene, yo tendría en consideración varios factores. -No usar la máxima potencia durante largos periodos de tiempo, máxime si estamos en épocas de calor. Al no estar ventilado el motor, puede resultar mortal para la misma. Usar con cuidado y no someterla a grandes ciclos de trabajo a máxima potencia. Con menor potencia, no es problema el uso continuado. Lo digo, porque he quemado unas pocas por esto mismo 😂 - Intentar lavar el brazo siempre a mano. Aunque aguante temperaturas extremas, el lavavajillas, sobre todo si se usa a 70ºC, termina dañando las cuchillas con el tiempo. Mejor lavar en agua templada a mano. Tampoco es tanto trabajo y durarán las cuchillas años afiladas.  Para terminar, yo he recibido para probar la que lleva los accesorios de vaso picador y varilla de batir. Ambos me parecen buenos accesorios, sobre todo el vaso picador, que tiene las paredes ovaladas, y hace que, por ejemplo, al picar cebolla, no se quede tanto resto en las paredes y retorne abajo para seguir picándola. Me parece un diseño más que acertado.  La varilla, flexible, de buena calidad, en la media de las que he probado hasta ahora. No destaca en esto, pero es bastante buena.  Por último, el vaso, es tan estrecho como la base de la batidora, con lo que se adapta perfectamente para picar todo tipo de alimentos, y especialmente bueno para hacer mahonesa, ya que sólo tienes que ir subiendo el brazo ligeramente, con lo que es casi imposible cortarla.  En definitiva, creo que por este precio, no vas a encontrar muchas batidoras con este nivel de potencia y con regulador de tanta intensidad. Si hubiera una palabra para definirla, sería “polivalente”, porque ni te falta potencia para nada en especial, es delicada si se pone a bajar revoluciones, y su brazo antisalpicaduras, es mejor que otros, por dejar fluir entre los agujeros y crear vórtice.  Compra recomendada. 5 estrellas.</t>
  </si>
  <si>
    <t>Cómodo y bonito Muy bonito y bien acabado del zapato. Van más cómodo de lo que imaginaba</t>
  </si>
  <si>
    <t>Calidad precio muy buena Me llegó muy rápido y todo perfecto la verdad que muy contenta con el producto.</t>
  </si>
  <si>
    <t>Muy buenas Tengo una amplia coleccion de consolas y queria los cables bien colocador y compre estas bridas de velcro y me han ido muy bien, son de calidad buena y queda muy bien puestas</t>
  </si>
  <si>
    <t>buen producto Muy buen producto, se puede lavar en lavaplatos, a mi hija le costó dejar el pecho, solo con estos biberones ha aceptado la leche de fórmula.</t>
  </si>
  <si>
    <t>Muy bien Suena mucho mejor que otros micrófonos que tenía. Para mi, muy recomendable.</t>
  </si>
  <si>
    <t>Cómodo Era para un regalo y ha sido un acierto. Es cómodo, de algodón bueno, y tiene un corte muy bonito.</t>
  </si>
  <si>
    <t>Perfecto Era lo que quería un exprimidor que no ocupase mucho. No se traba uando exprimes las naranjas. Funciona correctamente y además tiene la opción de tener más pulpa o menos, así que estoy encantada porque ya no me tengo que colar después el zumo.</t>
  </si>
  <si>
    <t>Recomendable calidad-precio En perfectas condiciones, funciona perfectamente</t>
  </si>
  <si>
    <t>No es calzado puramente de invierno con este acabado Ha llegado todo perfecto. El producto es tal cual se ve en las imágenes y es producto original. La parte de tela es aireada, por lo que si lo que se quiere es un calzado de invierno, aconsejo mirar este modelo pero que sea más cerrado y no tenga este tipo de tela, los hay en piel y en tela no aireada, así no entrará aire frío en los pies</t>
  </si>
  <si>
    <t>Cascos Bluetooth deportivos Son muy cómodos,  ya que el apéndice que rodea la oreja es muy flexible,  pero sujeta muy bien el casco al hacer ejercicio.  Tienen buena potencia y calidad en el sonido.  Buena compra para hacer deporte.</t>
  </si>
  <si>
    <t>Mejor de lo esperado Supera las expectativas, calidad de los materiales, potencia, ruido, por el momento cumple con todo. Fantastica batidora de mano mas q suficiente para un hogar.</t>
  </si>
  <si>
    <t>De seis iguales comprados en un año han llegado dos rotos He comprado a lo largo del pasado año 6 unidades de este disco duro y dos han llegado rotos. El último hoy mismo. El primero con un claro ruido metálico y no pudiendo hacer el spin-up. El último de hoy mismo (ya en proceso de devolución) emitiendo un pitido cada dos segundos y tampoco girando.  Realmente no sé si es baja calidad de estos discos o si Amazon está re-enviando como nuevos los devueltos por otros compradores. En el caso de hoy me llegó en una caja que dejaba mucho que desear y sin nada de papel de burbuja como los demás.  Agradezco la facilidad de devolución de estos DOA pero crea un inconveniente cuando no tienes tiempo para perder en todo este proceso</t>
  </si>
  <si>
    <t>Buenos auriculares, pero... Son exactamente los mismos auriculares que venían en mi Samsung S3 Neo, y que se me estropearon al quebrarse el cable que llega al auricular. Tienen buena calidad de sonido y me gusta que pueda manejarse desde el control que lleva el propio cable (permite dar volumen, pausar, avanzar y retroceder, así como hablar cuando te llaman, o dar instrucciones vocales al asistente), pero.... llevan camino de estropearse de nuevo, pues un auricular ya comienza a fallar. Su punto débil es el cable cerca de los auriculares y del propio jack, y aunque sabiéndolo, nada más comprarlos los reforcé con cinta aislante, simplemente he alargado un poco más su duración.  Aunque también hay que tener en cuenta, que por el precio que tienen, puedes cambiarlos cada año ;-)</t>
  </si>
  <si>
    <t>Reebok princess Los Reebok tienen dos meses y medio y se le levantó toda la piel y ahora voy a hacer la devolución y me dice que ya se acabó el plazo. Me parece que un mes solo para devolver no es correcto.</t>
  </si>
  <si>
    <t>Chafado y doblado Me llego chafado y doblado no lo volvería a comprar</t>
  </si>
  <si>
    <t>Los auriculares son una BASURA Una compra muy mala. Tardaron casi tres meses en llegar y duraron exactamente dos días. Al segundo día de utilizarlos el auricular izquierdo dejó de funcionar sin ningún motivo (golpe, caida, etc). No los recomiendo para nada, los 3 euros que cuestan no merecen la pena, ni la espera.</t>
  </si>
  <si>
    <t>Similar al producto original El producto es correcto, aunque el color de la cinta es un poco más amarillento que el original blanco. Por lo demás, es un producto completamente satisfactorio</t>
  </si>
  <si>
    <t>un poco grande Material perfecto, lo unico que destacaria es que pudiese ajustarse un poco mas, tengo la muñeca bastante estrecha y ajustandola al maximo que da me sigue quedando un poco floja.</t>
  </si>
  <si>
    <t>genial Tallaje perfecto, y calidad esperada. Se nota que es un producto bueno. Además lo compre a buen precio 115 euros</t>
  </si>
  <si>
    <t>Buena calidad precio Bonitos, bien en calidad precio aunque algo pequeños</t>
  </si>
  <si>
    <t>Buen producto Es de un buen tamaño y de momento aguanta el trato todo terreno que le doy cada día, muchos bolsillo para meter muchas cosas sólo le tengo que dar un comentario negativo, la correa para contarle es demasiado corta tendría que llevar unos centímetros más,  por lo demás está muy bien.</t>
  </si>
  <si>
    <t>Ideales Bonitas y muy cómodas. Saucony es acierto seguro. Ya es el tercer par que compro.</t>
  </si>
  <si>
    <t>Tela muy fácil de limpiar, impermeable y muy buena capacidad A mí pareja le ha encantado. La capacidad para poder llevar tablet y demás es perfecta. La tela se limpia con un panorama húmedo y queda perfecto.</t>
  </si>
  <si>
    <t>Comodidad Perfectas y muy cómodas! Tallan un poco más del número habitual</t>
  </si>
  <si>
    <t>ideasles si tienes el saca leches La bolsitas que vienen de congelación son perfectas, porque vienen con una tira que cuelgas en el saca leches, y directo a la nevera/congelador, y  te ahorras el esterilizar biberones, por otro lado los recipiente me han venido de perlas para guardar la leche que el bebe iba a tomar ese dia, o incluso congelarlo, ahora la tetina calma, tengo que decir que mi bebe no se hizo a ella, le costaba mucho succionar, y al final se cansaba de no sacar nada, y nos fue imposible que te tomara un biberón con esa tetina.</t>
  </si>
  <si>
    <t>muchas gracias por el envio, vino en perfecto estado gracias me gustó mucho y es perfecto vino en muy buen estado y las cápsulas caen perfectamente estoy muy contenta</t>
  </si>
  <si>
    <t>Muy buena batidora Se trata de una batidora de vaso de una marca de referencia en electrodomésticos y con unas buenas prestaciones.  El conjunto se conforma de dos piezas, base y vaso. Desde el primer contacto con ella, se nota que estamos ante un producto de buena calidad, fundamentalmente por los materiales y la robustez que a simple vista parecen tener todos los componentes. Incluye un libro con el manual y algunas recetas.  Las cuchillas vienen incluidas en el propio vaso, de mas de 2l de capacidad, mas que suficiente. El vaso pesa bastante, es de cristal y aguanta altas temperaturas. Me ha resultado en general bastante discreta, no es demasiado voluminosa, ya que el conjunto jarra-base ocupa bastante menos que otros modelos que he podido probar.  Respecto a su funcionamiento, se comporta como se esperaba, puede sin problemas con cualquier alimento que he probado. Dispone de una ruleta con la que podemos controlar la potencia y tiempo de batido de forma manual, o bien seleccionar alguno de los presets de los que dispone.  Como mecanismo de seguridad, la batidora no funciona si la jarra no se encuentra bien situada en la base y asegurada. Para ello, hay que encajarla y girarla hasta que el tope. Es útil para evitar que la batidora se ponga a funcionar accidentalmente y podamos tener un susto.  La base es muy estable y no se mueve nada, aun a máxima potencia. Cuenta con unas ventosas que evitan que se deslice por la encimera.  Poco mas que añadir, por el momento, todo lo que he intentado hacer con ella, ha salido como esperaba, por lo que de momento estoy muy contento con ella.</t>
  </si>
  <si>
    <t>Comodas, practicas y bonitas. COMODAS Y PRACTICAS Són muy COMODAS, practicas y bonitas faciles de limpiar.Muy contenta con la compra...voldria a comprarlas otra veu</t>
  </si>
  <si>
    <t>Muy buen producto Es resistente y tiene buena relacion calidad/precio.</t>
  </si>
  <si>
    <t>buena potencia me ha sorprendido la velocidad y potencia que tiene la batidora, de momento muy contenta con ella y recomiendo totalmente su compra porque relación calidad precio es insuperable</t>
  </si>
  <si>
    <t>Muy satisfecho Muy buena relación calidad - precio .</t>
  </si>
  <si>
    <t>Perfecto para Yamaha Clavinova cl-625 Justo lo que necesitaba para manipular los controles de mi piano Yamaha Clavinova cl-625 funciona perfecto con el iPhone XS. Recomendado y barato.</t>
  </si>
  <si>
    <t>Bien Cumple con las características.</t>
  </si>
  <si>
    <t>Practico y barato Funciona como uno de categoria superior pero es mas economico</t>
  </si>
  <si>
    <t>Relación calidad-precio superior! No pesa nada, tiene mucha fuerza y va muy muy suave. El mejor exprimidor con diferencia que he comprado. Y relación calidad precio superior!</t>
  </si>
  <si>
    <t>fantástico sujetador deportivo muy cómodo y, además, mono</t>
  </si>
  <si>
    <t>Cómodo y útil Pequeño y perfecto para sujetar los apuntes</t>
  </si>
  <si>
    <t>Pequeños y ultrafinos Estos adhesivos de doble cara son perfectos para fotografías ya que son pequeños y ultrafinos, además la propia caja incluye un dispensador que hace más práctico el sacar los adhesivos.</t>
  </si>
  <si>
    <t>Lo que esperaba Son muy bonitos, tal y como se ve en la foto. Son de tamaño medianos y no pesan nada!! Quedan muy bien!</t>
  </si>
  <si>
    <t>Zapatillas de deporte Muy cómodas y buena calidad</t>
  </si>
  <si>
    <t>Quedan super chulos Me encanta el diseño. Tamaño perfecto porque más grandes no quedarían bien. Da igual la edad que se tenga para llevarlos porque lo bonito queda bien a cualquiera. Soy super alérgica y no tengo problemas.</t>
  </si>
  <si>
    <t>La imagen es mejor que la realidad La imagen publicitaria es muy atractiva. Luego resulta pequeño. Por lo demas esta muy bien. A pesar de la crítica es recomendable con la advertencia que el tamaña en la foto engaña</t>
  </si>
  <si>
    <t>Aparatoso pero bien Funciona muy bien y se conecta al dispositivo bluetooth fácilmente. El cargador va bien. Carga rápido y dura aceptablemente. A demás avisa bastante rato antes de acabarse la bateria con una locución que va repitiéndose periódicamente. Como negativo diré que no es muy ergonómico, y a pesar de que se sujeta bastante bien en la oreja, sobresale mucho por lo que no es ni mucho menos disimulado. Al tocarlo , cae fácilmente.</t>
  </si>
  <si>
    <t>se caen con facilidad Se oyen bien, pero se caen con facilidad. Ni ventosa ni nada, a poco que te muevas se van al suelo. Me imagino que por el precio que tienen no se puede pedir mas</t>
  </si>
  <si>
    <t>Ni parecido a la foto Ha llegado con 18 días de retraso y nada q ver con la foto, pequeño y no es ni parecido a la foto</t>
  </si>
  <si>
    <t>mal cable Se despelacha, tienes que mover el cable para que funcione porque tiene orgura y lo compre hace 7 meses, si un cable no te dura ni un año yo que se que quieres que te diga bueno no es.</t>
  </si>
  <si>
    <t>Muy buen sonido, materiales un poco malos Por lo general perfecto, funcionan muy bien. La estructura es un poco endeble, pero son muy cómodos y suena muy muybien. Recomiendo amplificador.</t>
  </si>
  <si>
    <t>Camiseta muy justa Camiseta pequeña se ponen en contacto conmigo y se soluciona el error</t>
  </si>
  <si>
    <t>Unas buenas fundas a muy buen precio Son unas fundas transparentes, fuertes y grandes, a muy buen precio, así que son estupendas. Las compraré de nuevo cuando acaben.</t>
  </si>
  <si>
    <t>TAL COMO SE ESPERABA se recibio dentro del plazo anunciado, sin demoras. Medidas de acuerdo con la talla solicitada. Calidad aceptable, no se encoje ni se destiñe con el lavado.</t>
  </si>
  <si>
    <t>todo correcto Voy a escribir algunas cosas pero se resume todo en que son iguales que los originales, pero como la opinion no puede ser tan corta pues dire que el color es igual, el tamaño igual, el pegamento que pega la etiqueta es igual y yo creo que con esto sera ya bastante largo el comentario.</t>
  </si>
  <si>
    <t>Excelente Por su estética y su precio, resulta una de las memorias USB más atractivas en el mercado.  Su diseño simple, en el que solo te tienes que preocupar de enchufarlo y no tienes que andar lidiando con tapas o cualquier otra cosa del estilo, lo hace extremadamente práctico.  Además, 32 GB de memoria por menos de 10 € es un chollo.  Resumen: - Diseño atractivo y práctico. - Relación capacidad almacenamiento/precio inmejorable.</t>
  </si>
  <si>
    <t>Tetera Muy bonito y practico, exactamente lo que yo esperaba.</t>
  </si>
  <si>
    <t>Grandes auriculares Muy buenos auriculares. Calidad de construcción muy robusta y muy cómodos. Sonido muy bueno, ligeramente perfil en U, buena separación de instrumentos. Necesitan amplificación sí o sí. En el portátil utilizo un Asus U3 y en el xduoo un topping nx1a. Suenan mejor con el topping, ya que es más potente y neutro en la amplificación. Sin amplificación suenan muy, muy bajo y con una calidad de sonido deficiente.Venía de unos Takstar hi2050, que se estropearon y he notado mejora en el sonido.</t>
  </si>
  <si>
    <t>La calidad Calidad precio inmejorable</t>
  </si>
  <si>
    <t>Preciosas Perfecta descripción, comodisimas, muy bonitas, quedan genial y envio muy rapido, no tengo nada más que añadir, las recomiendo 100 x 100</t>
  </si>
  <si>
    <t>Calidad aceptable Tiene buen tamaño y es cómoda de llevar. La calidad del material es muy básica, pero suficiente para hacer su función.</t>
  </si>
  <si>
    <t>Álbum de calidad Lo he comprado ya varias veces para reportajes de bodas, concretamente para un Fotomatón y es perfecto para ello.</t>
  </si>
  <si>
    <t>O.K. Todo correcto y a muy buen precio.</t>
  </si>
  <si>
    <t>Recomiendo Bueno</t>
  </si>
  <si>
    <t>Buenos cascos para el dia a dia Genial fue un regalo y la persona quedo encantada, pude personalmente probarlos un poco y tienen una calidad increible de sonido.</t>
  </si>
  <si>
    <t>Originales Eran para regalar,la talla es la que se utiliza normalmente, cumplía totalmente las expectativas.. cómodos y bonitos</t>
  </si>
  <si>
    <t>Perfecto Un gran libro, que te consigue enganchar para el segundo</t>
  </si>
  <si>
    <t>MUY PRÁCTICO. RUSSELL HOBBS LLEVA MUCHAS DÉCADAS HACIENDO FÁCILES EL DÍA A DÍA EN LA COCINA. BUEN EJEMPLO DE ELLO SON SUS HERVIDORES DE AGUA. CÓMODOS, PRÁCTICOS, SENCILLOS.</t>
  </si>
  <si>
    <t>Precisión. Venía descargado porque el segundero se movía cada 2 segundos. Le  coloqué cerca de la ventana  todo el día y se cargó. Luego cuando  puedo, de vez en cuando le pongo frente a la ventana,  ya que viene con protección de sobrecarga. Lo más impresionante es su precisión. Se ha adelantado 1 segundo en 1 mes. Si sigue esta progresión serán unos 12 segundos al año.</t>
  </si>
  <si>
    <t>Buena compra! Son muy cómodos, pequeños y pasan muy bien desapercibidos, se ajustan muy bien al oído, ideales para hacer deporte. Los he estado usando para ir al gimnasio y no se me han soltado en ningún momento.  La calidad con la que se escucha es muy buena y limpia y la batería hasta el momento me ha estado aguantando, tiene pinta de que dura bastante.  También me parece muy cómodo poder responder mensajes si tener que sacar el teléfono para nada, igual que para las llamadas y que se conecta super rápido al teléfono, es un puntazo!</t>
  </si>
  <si>
    <t>Excelente memoria de 128GB 3.0 Conector USB retráctil Excelente memoria de 128GB (3.0) Conector USB retráctil Sólo puedo decir, que he hecho una buena compra. La pieza recibida apenas se calienta cuando la utilizo cargando datos o viceversa. El pendrive es retráctil, y para mi gusto es un acierto por parte del fabricante ya que así no coge tanto polvo el conector USB y no molesta la parte metálica. Atte. Fran P. 17/Noviembre/2018</t>
  </si>
  <si>
    <t>Me ha gustado Muy facil de montar y con muchos detalles.</t>
  </si>
  <si>
    <t>Ha dejado de sujetar algunos libros. Al principio, cuando lo compré, las patillas inferiores sujetaban firmemente los libros, pero con el paso del tiempo, una de ellas se ha aflojado y ahora se me cierran los libros. Lo mejor, los distintos niveles de inclinación que tiene. Pero el mal resultado de las patillas hace que no lo aconseje.</t>
  </si>
  <si>
    <t>Panama Jack aviator A mi hijo le encantan pero son frías a pesar de tener borreguito por dentro</t>
  </si>
  <si>
    <t>No son muy buenas Se sueltan y se rompen muy rápidamente, ya no me queda ninguna que se pueda usar. El hilo es muy corto y fino</t>
  </si>
  <si>
    <t>Nada Parecen de bebé y vienen sin tuercas</t>
  </si>
  <si>
    <t>Los mejores biberones, pero... Compré este pack de biberones a un precio estupendo. Tuve que sustituir las tetinas por las de latex, por gusto de mi bebé. No le doy 5 estrellas por este asunto y porque tiene los números de las medidas en blanco y no se ven muy claramente</t>
  </si>
  <si>
    <t>Buena pizarra La pizarra funciona bien, la relación calidad precio es genial. El montaje, sino estas acostumbrado a montar nada... Cuesta un poquillo, pero al final lo consigues! NO le he dado el máximo de puntuación porque tardo unos 9 días en llegar. ¡Os lo recomiendo!</t>
  </si>
  <si>
    <t>Celia Muy bonita, y tela gruesa, y con vuelo. No es muy corta ni muy larga, un poco arriba de las rodillas. Esta genial. Recomiendo.</t>
  </si>
  <si>
    <t>compacta y te la puedes llevar de viaje esta almohadilla electrica me viene bien para las contracturas musculares,  tiene 3 niveles de calor, hay q esperar un poquito para el calor idoneo, se  apaga sola a los  90 minutos</t>
  </si>
  <si>
    <t>Muy recomendable Ha cumplido nuestras expectativas. Mi hija está acostumbrada al pecho y cuando ha empezado con biberón es la única tetina de las que hemos probado que no ha rechazado. Tetina muy flexible y que imita perfectamente al pezón. La recomiendo sin llegar a dudas</t>
  </si>
  <si>
    <t>Estupendas Ya tenia otras zapatillas de la misma marca y la verdad que no defraudan, quedan estupendas. Yo me cogí mi numero y es el correcto</t>
  </si>
  <si>
    <t>Totalmente recomendable. Compras lo que ves. Perfecto. Precio. Plazo entrega. Producto. Todo genial. Quizás ncluso compre otros modelos</t>
  </si>
  <si>
    <t>que el producto llegue en buenas condiciones buen calectador de agua para viajes,casa etc....</t>
  </si>
  <si>
    <t>Buena compra Comodas y chulas</t>
  </si>
  <si>
    <t>Converse originales y perfectas Perfectas!! Uso siempre conversé así que se la talla. Recomiendo que te las pruebes en una tienda Antea y luego hagas el pedido por aquí. Están muy bien de precio.</t>
  </si>
  <si>
    <t>Gran aspirador Una grata sorpresa, funciona mejor de lo esperado.  Viene con varios accesorios que ayudan a llegar a todos los sitios en el interior del coche.  También viene con una funda para poder guardar todo y tenerlo a mano en un momento.  Aspira muy bien y es muy fácil de desmontar y poder limpiarlo.</t>
  </si>
  <si>
    <t>Genial Va genial para hacer la espuma del cafecito de la mañana.</t>
  </si>
  <si>
    <t>Comodísimas Tienen muy buena calidad, con una licra excelente. Son muy elasticas y resistentes. El color es un azul metalizado precioso. La talla viene bien, osea que el tallaje es igual que la Europea. En la parte superior tiene una tela plateada en el interior de la malla que es la que hace de efecto sauna y que sudes y pierdas peso. Cuando la he lavado ha quedado igual, como nueva. Yo destacaría lo cómodas que son, se pegan tanto a la piel que parece que no llevas nada puesto.</t>
  </si>
  <si>
    <t>mirigc Muy contenta con el pedido. Parecen de muy buena calidad y súper cómodas. Y ni que decir tiene lo muuuy bien de precio que están... súper recomendable! Repetiré seguro!</t>
  </si>
  <si>
    <t>La rapidez de limpieza y desincrustante Me a gustado la rapidez de quitar la grasa incrustada en la sartén de mucho tiempo en realidad Funciona de verdad</t>
  </si>
  <si>
    <t>Muy bien Muy buen disco arranca como una ssd y es lo que buscaba resistente y buena marca por desgracia me se rompió la pantalla táctil del ordenador y lo tengo al servicio técnico</t>
  </si>
  <si>
    <t>muy bien ya veremos cuando lo lave.</t>
  </si>
  <si>
    <t>disco curo Enchufar y usar. No se porque el disco duro que tenía dejo de funcionar con la tele nueva samsung, así que me tuve que compra uno nuevo. Es una maravilla, muy rápido y sin problemas de conexión. Es 3.0 con lo que la transferencia de películas al disco duro es muy rápida.</t>
  </si>
  <si>
    <t>Auriculares perfectos para el libre movimiento Es la primera vez que tengo este tipo de auriculares y me han parecido buenísimos, dispone de base cargadora con un buen acabado y los auriculares vienen con imán lo que hace que vayan siempre a su sitio en la carga. Puedes usar uno solo o los 2 emparejándose perfectamente y los 2 tienen micrófono, que lo he probado también y te oyen perfectamente. He usado varias horas los 2 auriculares oyendo música y me han aguantado muy bien. Si eres de los que se te suelen caer este tipo de auriculares viene una bolsita con distintas almohadillas según tamaño para elegir el que mejor se adapte. En general muy buena impresión.</t>
  </si>
  <si>
    <t>Eran para un regalo. Tiempo de entrega 24h. Quedan tal cual el anuncio. Si usas la 39 es la talla tal cual, no como con las zapatillas deportivas, que tienes que pensar en 1 o incluso 2 números más, del que calzas.  Como todo lo de Superga, con unos acabados muy buenos, con todos los detalles bien cuidados.</t>
  </si>
  <si>
    <t>Bonita Muy elegante</t>
  </si>
  <si>
    <t>Buena calidad precio pero algo grande Pues la verdad sue la calidad del tejido es buena no es para nada las típicas estas que en dos días están rotas. Lo que si la talla viene algo grande de las de España sobre todo de la cintura, pero no mucho tampoco. si lo quieres muy ajustado es mejor pedir una talla menos</t>
  </si>
  <si>
    <t>Excelente Muy buen producto.</t>
  </si>
  <si>
    <t>Mejor de lo esperado Aunque en un principio me parecieron un poco excesivos y grandes, la verdad que puestos quedan muy bonitos y aparentes y alegran mucho.</t>
  </si>
  <si>
    <t>Fallo Llevo menos de una semana con el robot y de repente me puso "actualizando firmware" y no ha vuelto a funcionar. Se queda la luz rojo parpadeando, le das a limpiar, pita y nada más.</t>
  </si>
  <si>
    <t>Normal Tiene un buen precio para los 32 gb que tiene,el problema es la velocidad de escritura,tuve problemas con ella,la usaba para almacenar vídeo y capturar a 4k y me daba fallo por el problema de velocidad de escritura lento que tiene,gracias a amazon que me devolvió el dinero y no me hizo devolver el producto.</t>
  </si>
  <si>
    <t>Bastante bien Es muy chulo, vale para guardar cosas importantes aunque si te fijas no cuela tan fácil que sea un libro. Pero cumple bastante con su función</t>
  </si>
  <si>
    <t>Se sale la leche Aunque el sistema anticolicos va bien, se sale la leche a chorro.</t>
  </si>
  <si>
    <t>Es una esrafa Es una estafa La caja pone 1TB pero el disco duro es de 256 MB</t>
  </si>
  <si>
    <t>Buen producto calidad-precio La calidad del producto es buena calidad-precio. El cable es corto por lo que será necesario un adaptador. Por otra parte el sonido no es independiende por cada canal, es en estereo.</t>
  </si>
  <si>
    <t>perfecto Ligero y buena potencia. Solo tiene unas velocidad de uso. Buena relación calidad precio</t>
  </si>
  <si>
    <t>Cómodo y se oye bien Se escucha bien, con los que hablo si no me engañan, dicen que también me escuchan bien, no lo notas que lo llevas puesto tu, los demás si ya que es bastante grande, pero si quieres una batería decente que aguante el día, y un micrófono que te escuchen bien, todo eso necesita espacio</t>
  </si>
  <si>
    <t>Alicia Recoge perfectamente los pelos de las mascotas.Hace un poco de ruido,pero es bastante eficaz.Le falta un sistema para vaciar comodamente</t>
  </si>
  <si>
    <t>Funciona El producto esta bien. Me parece un poco caro para lo que es, un trozo de tela con pelo. El tamaño va perfecto para el Rodevideo Mic, no el Pro. Es más blanco que gris. En la foto parece más oscuro de lo que es en realidad.</t>
  </si>
  <si>
    <t>Muy comodas Satisfecho con la compra. Muy cómodas y resistentes.</t>
  </si>
  <si>
    <t>Su díseño y sonido para la música Auriculares con radio que van perfectos para el deporte.Diseño bueno y resistente.</t>
  </si>
  <si>
    <t>Vans no decepciona. Perfectas y bien de precio, me ahorré unos 20€. De las pocas marcas que hacen números grandes (mi hijo tiene un 47 y un pie ancho) y salen bastante buenas.</t>
  </si>
  <si>
    <t>Perfectos para trekking Si te gusta el trekking o hacer senderismo o simplemente salir por el campo a dar una vuelta estos botines de la marca Salomon son una elección perfecta. Salomon es una marca de primer nivel mundial en la fabricación de productos para hacer trekking y senderismo. Su buena fama en la hechura de botas, botines y otros materiales diseñados para resistir los estragos de la intemperie viene de lejos. Estos magníficos botines están forrados en su tela exterior de Gore-Tex, un conocido material que aísla el interior de los efectos de la humedad con lo que tus pies siempre estarán secos. Como en todos los botines de trekking y senderismo una de las cosas en las que primero se fija uno es el dibujo de la suela y los tacos de goma que presentan este par de botines están muy bien colocados a destacar los dos que tienen la puntera como parte del refuerzo de la pisada cuando estás intentando pasar por terreno escarpado. Tanto en el talón como en la parte delantera el botín está bien protegido pero echo en falta un recubrimiento de piel en la puntera puesto que en el empeine solo está puesto en el lateral y en más de una ocasión me he tropezado con alguna piedra, ramas o troncos y el golpe se lo ha llevado el empeine por lo que sea y si la zona es toda de tela es propensa a sufrir arañazos que desgarran el tejido. Aunque reconozco que por otro lado izquierdo tienes tuviera enteramente forrado de material no transpiraria tan también y la experiencia sería diferente.  El diseño es otro punto destacable siendo este muy agresivo y queda esteticamente muy chulo una vez puesto y combinado con unas mallas cortas de las que no llegan al tobillo. Te dan un look muy bonito. Hay que reseñar también que los botines tienen una horma un tanto estrecha así que si tienes el pie un poquito más gordo de la cuenta te va a costar ponértelos y caminar con ellos pero con el tiempo se ahormaran a tus pie y podrás disfrutar los cómo se merecen.  Muy buenos.</t>
  </si>
  <si>
    <t>Son muy bonitas Las compré para mi marido y él está muy contento con ellas</t>
  </si>
  <si>
    <t>Muy Buen reloj calidad precio Muy buen G-shock de uso diario, lo uso para trabajar, el reloj esta expuesto ha vibraciones, polvo, suciedad, líquidos, y sobretodo golpes y aguanta como nuevo. estoy muy contento con el y ahora mismo es mi favorito :), lo recomiendo mucho en mi profesión, dado que la función de cuenta atrás con alerta por vibración la uso entre 25 y 100 veces por día ya que debo estar controlando tiempos de soldaduras y este reloj me ayuda mucho. lo mejor dentro de lo que yo buscaba con unos resultados muy satisfactorios, muy buena calidad-precio.</t>
  </si>
  <si>
    <t>Calidad-Precio Calidad-Precio de 10. Buen acabado y funcionalidad perfecta. Era lo que buscaba y a un precio mas que asequible. Recomendable</t>
  </si>
  <si>
    <t>Los mejores auriculares que he tenido Por este precio se me ocurren pocos auriculares mejores. El sonido es perfecto para el tipo de música que escucho, que no requiere unos bajos potentes martilleando la cabeza. Son muy cómodos y, además, de pueden plegar.</t>
  </si>
  <si>
    <t>ESTUCHE AMPLIO Estuche amplio para guardar todo lo necesario. Producto de buena calidad y espero que dure mucho!!! Fenomenal para mi hijo</t>
  </si>
  <si>
    <t>Muy contenta con el producto Todo bien: las tetinas tienen el flujo perfecto como para que el bebé no se atragante y las botellas son las típicas de Medela. De hecho, a mi personalmente, la calidad Medela me gusta mucho, así que cada compra es un acierto.</t>
  </si>
  <si>
    <t>Ok Como esperaba</t>
  </si>
  <si>
    <t>Muy buena calidad/precio. La verdad es que me han sorprendido mucho estos cables, los acabados son realmente buenos y el sonido muy limpio, es justo lo que estaba buscando, muy recomendados.</t>
  </si>
  <si>
    <t>Comodidad y buena limpieza Lo que más me gusta es que no ay que hacer fuerza adominal me la compre por que me operaron de ernia de ombligo y ingle y con esta fregona solo ay que apretar un poco con la palma de la mano y dar al pie..primeros dias con agujetas jajaja pero me a encantado y deja muy bien el suelo mango pequeño para gente alta..</t>
  </si>
  <si>
    <t>Pequeño, resistente y manejable Es un SSD muy pequeño de gran capacidad y rapidez (500gb - 550mb/s). Muy útil para llevar cantidad de GB de aquí para allá.  La única pega es que no funciona es soportes como TV o Reproductores multimedia, eso si, en Windows 7, Windows 10 y Mac todo perfecto.</t>
  </si>
  <si>
    <t>Muy cómodas Al principio te extraña un poco el efecto rebote de la suela, pero luego te acostumbras y resultan muy cómodas. Una buena compra</t>
  </si>
  <si>
    <t>Bonito Está genial calidad precio como todos los productos de UA. Recomendable y bonito.</t>
  </si>
  <si>
    <t>Todo perfecto y rapido Lo usare para los archivadores este año. Separar temas o asignaturas Ha llegado muy rápido.</t>
  </si>
  <si>
    <t>Ideal para regalar Muy bonitas y cómodas. Número ajustado pedir una talla más y acertarás</t>
  </si>
  <si>
    <t>Comodidad máxima Muy cómodas, incluso para pies muy delicados y que siempre han de calzar con ortopédicos.</t>
  </si>
  <si>
    <t>No para copas pequeñas Tejido rígido y no se adapta a copas pequeñas tal y como indican. No me ha gustado.</t>
  </si>
  <si>
    <t>Buen controlador, pero quizás demasiado pequeño y con lag El teclado en sí esta bien tiene buen tamaño quizás tirando a demasiado pequeño pero el mayor problema es que a mi al menos me va con Lag al presionar varias teclas o teclear rapido la siguiente nota se escuchaba más flojo así sucesivamente hasta que practicamente no se escuchaban o se saltaba esa nota, pensé que podría ser cosa del Software (FL STUDIO ) o el hardware pero al cambiarlo por otro controlador de otra marca esto se solucionó, el nuevo suena sin problema y sin practicamente lag y al mismo nivel sonoro.</t>
  </si>
  <si>
    <t>Bonito Es sencillo pero cumple lo que necesitaba es bonito y bien acabado . Tarda bastante en llegar. Precio muy asequible no se puede pedir más. Muy correcto</t>
  </si>
  <si>
    <t>No son originales Tengo los originales que venían con el S9 y estos no tienen nada que ver en calidad de sonido y materiales. Entiendo que por el precio no lo sean, pero eso lo sé ahora cuando he visto lo que cuestan, tras comprar estos. Pero que no pongan originales, que pongan falsificación barata.</t>
  </si>
  <si>
    <t>no me ha servido No escompatible con otras marcas de biberones. Solo sirve para los biberones Avent. No he podido hacerlo servir ya que tengo otra marca de biberones.</t>
  </si>
  <si>
    <t>Fiasco ! Mucho cuidado con usarlo sin unos guantes gruesos, ya que las fibras del producto se clavan como finísimos alfileres provocando mucho dolor y son prásticamente imposibles de quitar. No lo recomiendo, pués además no limpia ni mucho menos como explica el vendedor.</t>
  </si>
  <si>
    <t>Muy útil De momento he usado dos unidades y todo bien. Lo único que quizás sería muy útil unas 'recetas' también🙂</t>
  </si>
  <si>
    <t>Rasca bien, y no es posible que haga daño Útil. Seré breve, práctico, no pincha por lo que no puede herir, y rasca lo justo sin hacer daño ni dejar marcas.</t>
  </si>
  <si>
    <t>Cómo se esperaba!!! Exlente, gran calidad y el producto llegó un día antes.</t>
  </si>
  <si>
    <t>lo que esperaba correcto</t>
  </si>
  <si>
    <t>estoy feliz la verdad, que aunque me quedan un poco flojas, se han superado mis expectativas. estoy muy contenta</t>
  </si>
  <si>
    <t>genial para preparar batidos Lo uso muy a menudo para preparar mis batidos de proteina, y además lo que mas me ha gustado es que es muy fácil de limpiar.</t>
  </si>
  <si>
    <t>comodidad Una pasada , binitas y comodas , no se puede pedir mas a unas zapatillas.</t>
  </si>
  <si>
    <t>Mejor ayudante de cocina 😘😘😍 La mejor máquina la amo me lo hace todo Definitivamente me la quedo 🚨😍😍😍 Hace unas zanahorias rapadas muy fina al estilo francés me encanta la ensalada de zanahorias con esta máquina gracias Amazon</t>
  </si>
  <si>
    <t>Tajetas rapidas UHS II Ya son varias las tarjetas que tengo de este tipo y frabricante. De momento no me han fallado y cumnplen con mis espectativas. Necesitaba mas almacenaje</t>
  </si>
  <si>
    <t>Muy bueno y ocupa poco espacio, muy bien para transportar Compré este atril para estudiar tanto en casa como en la universidad y fue todo un acierto, de echo tengo 2, uno para mi y otro mi pareja, muy contentos, aguanta libros normales sin problema, y si lo cierras ocupa más o menos el mismo espacio que un libro, cabe en mochila sin problemas.</t>
  </si>
  <si>
    <t>Me encantan Muy cómodas, lindo diseño y duraderas. Muy originales . Las puedes usar con todo , no se las he visto a nadie . Muy contenta con la compra . Las tengo hace 3 años aproximadamente , las he metido en la lavadora Mil  veces , y están intactas</t>
  </si>
  <si>
    <t>Fantástico Parece mentira lo rápido que se limpia todo con esto. Es muy cómodo de usar porque va rotando intuitivamente. También compré un que hay para los cristales y no me gusta nada porque no gira como éste, con lo que uso también éste para los cristales.  Cuando me sale muy sucio lo lavo a mano si requiere frotar. Si no, también se puede meter en la lavadora.</t>
  </si>
  <si>
    <t>Regalo Lo he adquirido para un regalo de reyes, he necesitado ayuda con el tema de las tallas, pero no he tenido ningún problema con ellas. Recomendable.</t>
  </si>
  <si>
    <t>Cómodo y práctico, montaje sencillo. Lo recomiendo. Estoy muy contenta con esta compra, no sólo porque pude aprovechar una oferta del prime day, es muy práctico. Realmente  cómodo para tener a mano y sin ocupar espacio los tres tipos de papel. Ayuda a cortarlos más fácilmente. El montaje y la colocación son muy sencillos. Lo recomiendo</t>
  </si>
  <si>
    <t>Tal cual la descripción Llegaron bien y en el tiempo esperado. Van genial y se adapta perfectamente la pulsera a la medida de la muñeca con un artilugio que trae.</t>
  </si>
  <si>
    <t>No conocía Deebot y me ha sorprendido mucho! Estaba indeciso entre otros modelos similares como el robot de xiaomi roborock s50, pero me decidí por este porque tiene dos cepillos frontales y aunque de normal este vale algo más, si lo compras en oferta flash sale más económico.  Cuando recibí el Deebot se nota nada mas abrirlo que se trata de un producto de calidad y robusto, muy fácil de poner en marcha, solo hay que quitarle un par de gomas y encajar los cepillos y la mopa si la quieres utilizar.  Puedes utilizarla sin la opción de fregado, pero una vez que llenas el depósito de agua y lo encajas en el deebot este ya está listo para fregar, en la app te aparecen unas gotitas y en opciones puedes seleccionar la cantidad de agua que quieres que vaya dosificando. En mi caso con la tarima selecciono el mínimo y la verdad es que es muy efectivo y no deja el suelo con exceso de agua gracias al sistema ozmo que solo lo equipa este robot.  El vaciado del depósito de residuos es muy sencillo, se levanta la tapa superior y se extrae por arriba de forma muy fácil. Tiene gran capacidad, en un mes que la tengo y utilizándola a diario en unos 80m2 lo vacío una vez a la semana y no está lleno todavía. Lo que es recomendable es limpiar el cepillo inferior al menos una vez a la semana porque suelen quedarse pelos largos enredados, pero si tienes animales trae un accesorio que elimina el rodillo central y barre con los cepillos rotativos y en el centro solo aspira, así evitas atascos con los pelos manteniendo la efectividad. Por otra parte en la app tienes un apartado que te indica el uso que tienen tus accesorios cepillos, filtros etc....la app te avisa cuando tengas que sustituirlos. En mi caso utilizándola casi todos los días en un mes me quedan un 93% de uso con lo que supongo que avisará en un año aproximadamente, aunque eso también dependerá del aspecto visual que apreciemos en estos consumibles para determinar cuándo sustituirlos.  En cuanto a la autonomía no la he llevado al límite pero con 80m2 no llega a consumir la mitad de la batería.  El tema del mapeado es una pasada, cuando la pones en marcha recorre toda tu casa y dibuja un mapa virtual en la app, puedes ver en cada momento donde está y lo que le queda, puedes seleccionar la habitación o habitaciones que quieres que limpie y luego vuelva a su base. Gracias a este mapeo hace una limpieza de forma eficaz y eficiente ahorrando energía y evitando quedarse atascada horas en una sola habitación.  Puedes controlarla desde la app estés donde estes y ves por donde va trabajando. Cuando está en reposo le salen unas zzz indicando que está durmiendo. Y si no sabes donde está pulsas localizar deebot en una opción y te habla indicándote donde está.  En resumen, el mejor robot aspirador relación calidad precio.</t>
  </si>
  <si>
    <t>Todo correcto Buenas zapatillas. Excelente relación calidad-precio.</t>
  </si>
  <si>
    <t>Muy bueno Muy buena la calidad y se Corresponde con la oferta y la compra. Es reversible. Tiene una muy buena caída al ponérselo</t>
  </si>
  <si>
    <t>Buenas Muy bien hechas y con buenos materiales</t>
  </si>
  <si>
    <t>Me saca trabajo Me ha sorprendido gratamente. No pensé que realmente fuera a funcionar bien. Exteriormente no parece muy robusto pero a mí me hace un papel estupendo pues me va fregando la casa por sectores. Un día toca el salón el otro día toca el pasillo y así me lo voy organizando y me saca faena y además de fregar lo deja seco y sin manchas. Hay que tener la precaución de qué se tope con los menos obstáculos posibles por lo que cuando lo pongo en un espacio antes aparto las mesas las sillas del lugar para que él pueda fregar a su aire y lo deja todo bien limpio. La única pega es que la batería dura 2 horas muy poco para hacer varias salas en un mismo día por lo que estoy pensando en comprarme otra batería más e intercambiarlas mientras la una se carga la otra trabaja</t>
  </si>
  <si>
    <t>Ideales Son chulisimas, comodas y practicas. Le encantan a todo el mundo q se las enseño. Un saludo</t>
  </si>
  <si>
    <t>Todo perfecto El envio llego cuando debia llegar y el producto es simplemente el que se vende. Original, bien acabado y con el numero perfecto (que era lo que me asustaba un poco). Todo pefecto !!</t>
  </si>
  <si>
    <t>Da muy poca talla. El tejido bien pero da muy poca talla. Aún siendo delgada queda demasiado pegado.</t>
  </si>
  <si>
    <t>Muy grande Buen tamaño, quizás demasiado grande. Muy plasticoso  y lo que no soportaba de él es la luz de fondo, pues se notaba una luz fuerte en el medio que apenas iluminaba el resto  que me mataba. La unidad que me llegó tenía un digito que no encendía completamente así cque lo cambie por otro un poco más pequeño</t>
  </si>
  <si>
    <t>Problemas con la clonación del disco Un 10 para el SSD pero un 0 para WD.  La aplicación que te descargas desde la página de WD para poder clonar el disco duro no funciona (Acronis edición WD). El ordenador se bloquea y da errores en sectores de SSD. Después de intentarlo todo y perder 1 día completo  he tenido que recurrir a un amigo que tiene el Acronis 2018 completo, y así, sin problemas. He estado a punto de devolver el SSD, pensado que estaba defectuoso. Por cierto, mi portátil a resucitado, es increíble lo me mejora con la instalación de un disco sólido.</t>
  </si>
  <si>
    <t>Lo mal tallado A venido deforme y con el estampado diferente</t>
  </si>
  <si>
    <t>decepcion Mala calidad, se borran las marcas de corte y de autorrepararse, nada de nada</t>
  </si>
  <si>
    <t>Sujeta perfectamente Queda muy justo pero para hacer deporte es fantástico. Sujeta de maravilla</t>
  </si>
  <si>
    <t>Cafetera excelente &lt;div id="video-block-R1TWCFZPNA19P6" class="a-section a-spacing-small a-spacing-top-mini video-block"&gt;&lt;div tabindex="0" class="airy airy-svg vmin-unsupported airy-skin-beacon" style="background-color: rgb(0, 0, 0); position: relative; width: 100%; height: 100%; font-size: 0px; overflow: hidden; outline: none;"&gt;&lt;div class="airy-renderer-container" style="position: relative; height: 100%; width: 100%;"&gt;&lt;video id="7" preload="auto" src="https://images-eu.ssl-images-amazon.com/images/I/B1x-ifmBRxS.mp4" style="position: absolute; left: 0px; top: 0px; overflow: hidden; height: 1px; width: 1px;"&gt;&lt;/video&gt;&lt;/div&gt;&lt;div id="airy-slate-preload" style="background-color: rgb(0, 0, 0); background-image: url(&amp;quot;https://images-eu.ssl-images-amazon.com/images/I/91+mU3yHvtS.png&amp;quot;);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center;"&gt;0:00&lt;/div&gt;&lt;div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value="https://images-eu.ssl-images-amazon.com/images/I/B1x-ifmBRxS.mp4" class="video-url"&gt;&lt;input type="hidden" name="" value="https://images-eu.ssl-images-amazon.com/images/I/91+mU3yHvtS.png" class="video-slate-img-url"&gt;&amp;nbsp;Buena compra para olvidar las capsulas. Hace muy buen café. Facil de usar, limpiar y mantener. Ahorras en dinero en café, es mucho mas barato que las capsulas. No me gusta que cada vez que la pones en marcha se auto limpia y tira agua, y que es un poco grande. Pero son inconvenientes menores.</t>
  </si>
  <si>
    <t>Muy bien De momento me van muy bien son cómodos y quedan perfectos si no se rompen en poco tiempo los volveré a comprar sin duda</t>
  </si>
  <si>
    <t>Grata sorpresa. Pesan poco, suela blandita.... son cómodas y de momento no tengo malas palabras para ellas.  Si tardara menos el envio le daba 5 estrellas.</t>
  </si>
  <si>
    <t>Bandolera grande con varios compartimentos Bolsa bastante grande con un montón de bolsillos donde guardar cosas.</t>
  </si>
  <si>
    <t>Muy versátil Me gusta que sirva tanto para el ordenador como para el smartphone. Lo uso en la smartTV, en la tableta y en el smartphone. Descargo películas con la tableta y las veo con la TV.</t>
  </si>
  <si>
    <t>robot de limpieza Llevaba mucho tiempo deseando un robot de limpieza ya que varios de mis amigos tienen y les va genial. La ECOVACS DEEBOT OZMO 900 me lo ha recomendado uno de mis amigos. Lo puse ayer y la verdad es que me gusta mucho cómo deja la casa. Tiene la posibiilidad de elegir las zonas donde quieres que pase a hacer la limpieza que me parece un puntazo! y llo mejor es que puedo estar haciendo otras cosas mientras un robot me limpia la casa jajajaja Es genial</t>
  </si>
  <si>
    <t>Buen producto Basicas para los niños. No pringan, no huelen ni manchan. Bien en general. Calidad precio muy buena. No se secan demasiado aunque tardes en usarlo</t>
  </si>
  <si>
    <t>Suficiente Buena compra para lo que necesitaba, buen tamaño y facil de fijar a la pared. Caben documentos tamaño din A4 y lleva un estante...</t>
  </si>
  <si>
    <t>Muy bueno Excelente calidad y olor, me ha ayudado a recuperarme de una tendiditis.</t>
  </si>
  <si>
    <t>Muy resistente y flexible Esta cinta trae muy buen adhesivo por lo que una vez que esta pegado por ambas caras resiste muy bien cualquier peso. La cinta es más gruesa que las cintas de doble cara normales, es flexible y al ser transparente no se nota casi que está puesta.</t>
  </si>
  <si>
    <t>Muy bonito y buenas cálidas Precioso</t>
  </si>
  <si>
    <t>buena batidora &lt;a data-hook="product-link-linked" class="a-link-normal" href="/Bosch-ErgoMixx-MSM66110-Batidora-de-mano-600-W-regulador-de-velocidad-y-función-Turbo-cúpula-con-cuatro-cuchillas-con-vaso-de-mezclas-color-blanco-y-gris/dp/B00A925G3A/ref=cm_cr_getr_d_rvw_txt?ie=UTF8"&gt;Bosch ErgoMixx MSM66110 - Batidora de mano, 600 W, regulador de velocidad y función Turbo, cúpula con cuatro cuchillas, con vaso de mezclas, color blanco y gris&lt;/a&gt;,es justo lo que necesitaba es potente y muy practica</t>
  </si>
  <si>
    <t>buen hervidor buen producto y buen precio</t>
  </si>
  <si>
    <t>Encantado Genial. Super cómodo y muy útil para llevar objetos como el móvil... El tabaco... Mechero... Cartera... Alguna cosa de tamaño medio... Muy contento con la. Compra. Calidad buena. Lo recomiendo.</t>
  </si>
  <si>
    <t>Comodos y con buenos acabados Los compré desconfiando un poco, ya que este tipo de auriculares no me termina de convencer mucho.  Pero han sido una sorpresa, son cómodos y no pesan practicamnete nada. De momento solo los he usado un par de veces en el Gym y solo tengo buenas palabras.  Respecto a la batería no tengo quejas (de momento), va bien. Tienen una pequeña pega y es que se cargan por USB en lugar por un conector por imán o algo similar, lo que significa que tiene una tapita para el USB...veremos lo que dura.  Traen una funda muy correcta, con dos tamaños más grandes para los oídos.  De momento todo ok.</t>
  </si>
  <si>
    <t>Exprimidor excelente Calidad/Precio El producto es tal y como se describe en la descripción.  Funciona muy bien, es fácil de desmontar y limpiar.  El único inconveniente que he encontrado ha sido la dificultad de encajar las naranjas pequeñas para la extracción de zumo, teniendo que colocarlas con cuidado y bajando la tapa muy despacio para que no se muevan.</t>
  </si>
  <si>
    <t>Imprescindible para la cocina No se como podía vivir sin esto. El motivo de compra fue para preparar infusiones más rápido por la mañana en el termo. Pero ahora lo uso a diario cocinando para agregar agua caliente al cocinar o bien para poner agua a hervir más rápido. Un producto genial para la cocina.</t>
  </si>
  <si>
    <t>Muy bien. Perfecto. Muy bien. Funciona bien y no hemos tenido problemas con el producto. Perfecto para una cocina chiquita. Es muy básico.</t>
  </si>
  <si>
    <t>Tal cual la foto. Tal cual la foto. Muy bonito.</t>
  </si>
  <si>
    <t>bien perfecto y se adapta a nuestras expectativas y es de muy buena calidad se ajusta a lo que necesitábamos perfecto</t>
  </si>
  <si>
    <t>Buena compra. Buena compra.</t>
  </si>
  <si>
    <t>Genial Mejor de lo que esperaba</t>
  </si>
  <si>
    <t>Compacto Buen producto, pequeño y fiable. Solo he tenido problema con un tv, shark que no lo reconoce. Es rapido</t>
  </si>
  <si>
    <t>No me gusto No era lo que me esperaba al ser la correa tan delgada tuve que regalarla me gustan de correa más ancha y no era como se ve en la pantalla</t>
  </si>
  <si>
    <t>Problemas de conexión No sé qué pasa con este disco que a veces consigo verlo y a veces es imposible. En este momento funciona pero tuve que desinstalar el controlador, hacer limpieza en el registro y un par de cosas más. Espero que todo siga igual, tengo el Goflex Cinema de esta marca y es la mejor compra que he hecho, espero que este no me decepcione.</t>
  </si>
  <si>
    <t>Un Poco Olgado No se ajusta bien a las líneas del cuerpo. Es un poquito olgado y queda algo grande cuando lo llevas puesto.</t>
  </si>
  <si>
    <t>No las recomiendo para nada Las he estado usando 8 horas al día y me han durado 3 meses, y eso que trabajo en un taller de chapa y pintura. Un mes después de comprarlas tuve que ponerles plantillas de gel  porque la suela se había hecho bastante dura y ahora a los 3 meses de usarlas las he tenido que tirar porque la suela se había deshecho por dentro y ya era imposible pasar 2 horas con ellas puestas. Muy decepcionado con ellas, las ultimas  que tube de 20€ me duraron mucho mas y eran mas comodas. No las recomiendo si vas a trabajar caminando mucho o si pasas bastante tiempo de cuclillas.</t>
  </si>
  <si>
    <t>Llegado funcionando Quería saber por que me viene en hora y funcionando... No tendría q venir con una pestaña para quitar y así poder programar el reloj... No se si a alguien Le ha pasado... Si ha venido funcionando o lo habéis puesto en marcha vosotros... Gracias</t>
  </si>
  <si>
    <t>Como  en la foto Las  compré para mi marido  y está  encantado, cómodas, el color combina con todo y además  la calidad  de puma.</t>
  </si>
  <si>
    <t>Pequeña pero fuerte He recibido estos imanes esperaba que fuera un poco más grande, porque no hay ninguna imagen comparando los tamaños entre un artículo regular y este imán. En otras palabras, son muy pequeñas.  De todos modos, aunque son muy pequeñas, son fuertes. No puedo utilizar éstos para la razón original que lo compré, pero estoy seguro de que encontrar otras cosas que utilizarlo.  Otra cosa es que son un poco frágil. Estaba probando que cuando se rompió uno.  Os adjunto las fotos para que pueda ver lo pequeños que son.</t>
  </si>
  <si>
    <t>Bueno,Bonito y Barato..y 10 años de Pila!! Lo compré para un amigo por las características que tiene.Es un reloj de marca fiable y conocida (Casio),completo y bonito,se ilumina en color verde y la pila tiene una garantía de 10 años. No le doy la quinta estrella..porque aunque en la foto el dial se ve bien,en realidad la hora se ve como si la pila estaria un poco gastada,aunque supongo que será así para que pueda aguantar 10 años,y porque aunque la correa es de acero..el cuerpo del reloj es de plástico pintado de color gris,y aunque en la foto no se nota..al natural se nota bastante,y no sé cómo envejecerá dicho plástico (si se irá más adelante el color de la pintura..) El tiempo lo dirá.</t>
  </si>
  <si>
    <t>Muy grande. Buena calidad pero mut grande.</t>
  </si>
  <si>
    <t>Buena calidad pero muy grandes Son de buena calidad, pero el tallaje es grande, pedí un 35-38 Y más bien es un 40-42</t>
  </si>
  <si>
    <t>Excelente relación precio/capacidad/prestaciones. Siempre busco capacidades mayores pero, en las muy buenas marcas como ésta, el precio se dispara desde los 256 GB. La usaré para fotos RAW de máxima resolución o vídeos cortos con la cámara fotográfica. Hasta ahora, sólo la he probado en fotos y la respuesta es muy positiva: guarda una ráfaga de 8 fotos de unos 70 MB en menos de 3 segundos y, apenas a las 3 décimas de segundo del último disparo, puedo comenzar otra ráfaga. La recomiendo a quienes necesiten altas prestaciones sin que se dispare el precio.</t>
  </si>
  <si>
    <t>Lo que esperaba Perfecto cómodo y muy bonito puesto</t>
  </si>
  <si>
    <t>Genial! Genial, de una calidad estupenda y muy buenos acabados. La talla genial.</t>
  </si>
  <si>
    <t>Perfecta Muy bien, y genial de tiempo</t>
  </si>
  <si>
    <t>Muy util Genial. Para ir rápido va muy bien. No estoy de acuerdo con los comentarios que se calineta mucho. Lo unico malo lanlongitud del cable</t>
  </si>
  <si>
    <t>Buen controlador de agua para pecera Compré este articulo para regular los niveles DC y pH, reduce el nitrato (NO3) y el fosfato (PO4.^Añade vitaminas y minerales valiosos esenciales para la salud de peces y plantas. (No sirve para eliminar el color de agua de grifo!!!)  La verdad después de probarlo ha estabilizado todos los valores anteriormente descritos. Y la marca es muy conocida en todo lo que respecta a acuarios. Muy recomendable.  Viene con tapón medidor y las instrucciones en español en el reverso de la etiqueta despegándolo.</t>
  </si>
  <si>
    <t>Zapatillas cómodas Zapatillas cómodas y bastante duraderas</t>
  </si>
  <si>
    <t>Para videos lo he comprado para videos y no hay quien se lo acabe</t>
  </si>
  <si>
    <t>Va perfecto todo correcto</t>
  </si>
  <si>
    <t>Talla correcta Llegaron antes del tiempo indicado, quedan perfectas</t>
  </si>
  <si>
    <t>Muy buen alcance y comodidad La calidad de sonido es la esperada en su gama de precio pero el alcance bluetooth y la comodidad me han sorprendido para bien. La caja de carga no se ve muy sólida pero por el momento aguanta perfectamente. Se emparejan fácil pero no logro controlar el volumen desde el auricular, aunque en mi caso no es un inconveniente, lo regulo desde el móvil.</t>
  </si>
  <si>
    <t>Utílisima Muy sencilla y práctica.</t>
  </si>
  <si>
    <t>Muy buena calidad y original sus mensajes Un collar muy bonito de plata, queda bien con todo , a mi pareja le encantó, aparte de original y su mensaje oculto de TE AMO en 100 idiomas el cual es fácil de ver si acercas la luz de la cámara del móvil a su circonita te reflejará en cualquier superficie la palabra te amo en 100 idiomas, ideal para sorprender a tu pareja.</t>
  </si>
  <si>
    <t>Bien Estan bien solo que en la descripcion pone que las tetinas tienen 2 agujeros pero solo tienen 1</t>
  </si>
  <si>
    <t>Limpieza de barbacoa Se limpia muy bien</t>
  </si>
  <si>
    <t>Para echar unos buenos ratos Muy divertido. Tiene varios moduladores de voz, eco,se puede conectar por Bluetooth y usarlo como karaoke. Tiene buen sonido y es de buena calidad. Lo volvería a comprar.</t>
  </si>
  <si>
    <t>Cumpliendo lo esperado. Compré para mi esposa, ella ha dicho que está funcionando bien, a ella le gusto el aparato.</t>
  </si>
  <si>
    <t>Perfectas. Totalmente recomendable, son zapatillas de calidad, y son informales, me valen para todo, incluso para ir a la oficina. Últimamente me da por comprarlas negras, y estas han sido un acierto. La talla se corresponde bien.</t>
  </si>
  <si>
    <t>De momento bien Producto de calidad buena marca. De momento contento.</t>
  </si>
  <si>
    <t>No funciona bien para conectar con una caja en el portátil,se oye ,todo fatal,deseo devolverlo. Amazon se merece 10 en entrega es muy rapido,pero el producto no alcanza las espectativas esperadas ,respecto al precio.esto iba con una caja alimentador o como se llame ,todo fatal era para un microfono que compro mi hijo y tambien lo quiere devolver.</t>
  </si>
  <si>
    <t>Buena relacion calidad-precio Es evidente que un producto de este precio solo puede ser comparado con otro de baja gama. En cuanto a construcción, el cable es bastante aceptable y los auriculares parecen estar hechos de un plastico corriente. Si hablamos de sonido, el auricular se comporta bien para escuchar poscast , television, radio,etc. En cuanto a musica, he de decir que suenan bien para su precio aunque tengo algun JVC de precios similares y estos ultimos suena mejor. El sonido, aun siendo aceptable, no es limpio y ensucia y opaca bastante en los medios. En resumen, suenan bien para su precio y no es mala compra. Pero tampoco se puede esperar el sonido de unos Senheisser momentum M2 , o los mismos Sony MDR-EX650APT, porque juegan en ligas diferentes. Pido perdón a quien esto ultimo le parezca una simple obviedad.</t>
  </si>
  <si>
    <t>Son falsos Se ve de lejos que son falsos ni la caja es de puma ni trae etiquetas ni nada son de imitacion no lo recomiendo para nada.</t>
  </si>
  <si>
    <t>Basura. Es basura. Funcionan fatal, se escuchan peor. Parece de juguete. Las instrucciones se explican fatal. Es dinero tirado a la basura.</t>
  </si>
  <si>
    <t>Buen reloj Perfecto muy bien acabado y fácil lectura lo recomiendo te olvidas de tener que cambiar la pila o darle cuerda</t>
  </si>
  <si>
    <t>Muy cómodo Me gustó, sí. Es solo que si eres de tallas pequeñas en apariencia se ve un poco distinto a lo que esperaba.</t>
  </si>
  <si>
    <t>solicitar la devolucion del producto por ser demasiado grande, por otra talla menor. el pantalon de yoga me ha gustado mucho, pero es demasiado grande. solicito su devolución y pedirás otra talla menos.</t>
  </si>
  <si>
    <t>Buen producto Cumple perfectamente con lo indicado. Compré el de 4 TB, porqué es el que necesitaba y viene perfectamente. Windows 10 me lo reconoció sin problemas. No es ruidoso. Buen producto. Lo recomiendo.</t>
  </si>
  <si>
    <t>Ana &lt;div id="video-block-R2JR8UQSO7R196" class="a-section a-spacing-small a-spacing-top-mini video-block"&gt;&lt;div tabindex="0" class="airy airy-svg vmin-unsupported airy-skin-beacon" style="background-color: rgb(0, 0, 0); position: relative; width: 100%; height: 100%; font-size: 0px; overflow: hidden; outline: none;"&gt;&lt;div class="airy-renderer-container" style="position: relative; height: 100%; width: 100%;"&gt;&lt;video id="7" preload="auto" src="https://images-eu.ssl-images-amazon.com/images/I/81W8+zP10lS.mp4" style="position: absolute; left: 0px; top: 0px; overflow: hidden; height: 1px; width: 1px;"&gt;&lt;/video&gt;&lt;/div&gt;&lt;div id="airy-slate-preload" style="background-color: rgb(0, 0, 0); background-image: url(&amp;quot;https://images-eu.ssl-images-amazon.com/images/I/71HALLPJOPS.png&amp;quot;);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center;"&gt;0:06&lt;/div&gt;&lt;div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 style="width: 100%;"&gt;&lt;/div&gt;&lt;div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value="https://images-eu.ssl-images-amazon.com/images/I/81W8+zP10lS.mp4" class="video-url"&gt;&lt;input type="hidden" name="" value="https://images-eu.ssl-images-amazon.com/images/I/71HALLPJOPS.png" class="video-slate-img-url"&gt;&amp;nbsp;Es preciosa, pagas el diseño, porque hace bastante ruido. Es más grande de lo que parece. Buenos acabados! Bien! Buen uso</t>
  </si>
  <si>
    <t>Una buena tarjeta de memoria por ese precio. Siempre he usado tarjetas de la marca SanDisk y nunca me han decepcionado. Esta, aunque no es muy rápida, es una buena compra a ese precio.</t>
  </si>
  <si>
    <t>Me encanta Precioso colgante, muy fino y queda precioso puesto</t>
  </si>
  <si>
    <t>Pequeño de gran capacidad Como oferta, he quedado muy satisfecho de su calidad respecto al precio. Son unos articulos que hoy dia se usan tanto como se pierden... Los pros es la gran capacidad. Los contras, que dado su pequeño tamaño, es igual de estupendo para transportar como facil de perder. Gracias.</t>
  </si>
  <si>
    <t>Portátil Lo mejor que tiene la licuadora es que no es necesario estar enchufada a la corriente asi que puedes llevartela donde quieras, la utilizo mucho para los niños y de esa manera comen fruta a diario</t>
  </si>
  <si>
    <t>Masajeador potente recimendado Muy buen masajeador exelente. Era justo lo que esperábamos llegó en solo un día .  Tiene una buena potencia y se ve duradera además de contar con sus accesorios y buena duración de bateria</t>
  </si>
  <si>
    <t>Ademas huele bien Envio rapido y producto de buena calidad,realmente nutre el cuero no es prigoso y deja un buen acabado y ademas huele bien</t>
  </si>
  <si>
    <t>Sorprendido gratamente Sorprendido gratamente, yo era reacio a los auriculares sin enganche en al oreja por el miedo que se caigan haciendo deporte y perder el auricular, y compre este modelo por su precio y porque estéticamente me parecen bonito y discretos el color negro es muy elegante. Lo primero que me gusto fue la presentación una caja negra con mucho gusto. Después la caja de carga también tiene un diseño muy bonito y elegante, me encanto los bordes redondeado que hace que el tacto al cogerlo sea mejor. Los auriculares dentro encajan con un sistema de magnetismo que hace que sea imposible meterlo en la caja mal y evitar sorpresas después, la caja de carga tiene una pequeña batería que se carga en 90 minutos más o menos y los auriculares tardan más o menos lo mismo en estar listo para usarlo. También puede cargar los auriculares sin necesidad de estar en la corriente, la batería puede durar 4 horas que no está nada mal. Los dos auriculares son discretos y pequeño con un tacto agradable se emparejan sin problemas y rápidamente entre ellos y luego en el móvil o tablet es muy sencillo como cualquier otro auricular. A la hora de usarlo encaja perfectamente en la oreja y no te puedes equivocar por que no encaja si no es su lado. Yo lo he usado con la bicicleta y sin ningún problema no se han caído en ningún momento que era lo que yo tenía miedo. En los auriculares tiene un botón central que se encarga de todo del encendido y apagado, coger llamada o no , si pulsamos doble clip en el derecho es siguiente canción y lo hacemos en el izquierdo es anterior canción. si lo que hacemos triple clip en el derecho sube volumen y si es en el izquierdo bajamos volumen. En resumen me ha encantado su larga vida de batería el tacto en la oreja que es muy cómodo para deporte está muy bien no se cae fácilmente, fácil de usar.</t>
  </si>
  <si>
    <t>Buenos auriculares Caundo llegó no las tenia todas consigo , parecia a primeras el tipico producto chino sin mas pretensiones, pero aqui la primera sorpresa: el manual estaba en perfecto español.  Facil el emparejamiento, tal cual los saque practicamente con aceptar en el telefono ya estaban emparejados  Facil el cargarlos, tan solo con dejarlos en su base ya dan para unas 2 o 2,5 horas  Sonido espectacular para lo que parecen unos graves bastante buenos (consejo: cambiar las almohadillas de serie por otras más gruesas para tener una experiencia de sonido brutal)  La base da para 2-3 cargas por lo que en una jornada entera de trabajo tienes de sobra  Para mi han sido la revelación: trabajo en una fabrica y tengo que llevar auriculares tipo 3M para amortiguar el ruido, pues bien ahora puedo llevarlos y ademas escuchar musica sin hacer inventos de cables y super comodos, para mi trabajo ha sido la leche la verdad, no se como seran otros mas caros pero estos van y suenan genial.</t>
  </si>
  <si>
    <t>Una maravilla Me encantan estas zapatillas, son mejor de lo que me esperaba. Son comodisimas y quedan súper bien puestas con un vaquero. La talla viene deacuerdo al tamaño europeo.</t>
  </si>
  <si>
    <t>Calor agradable durante horas Tras dos meses de uso estamos encantados. Con diez minutos de carga alcanza una temperatura relativamente alta. Luego se desenchufa y mantiene el calor durante horas. Nosotros la ponemos en la zona de los pies en la cama y nos está haciendo muy llevadero el frío. También la he usado para aplicar calor seco para el dolor de espalda y va perfecto. Muy recomendable, aunque compré otra en una tienda física más barata que en amazon.</t>
  </si>
  <si>
    <t>Muy contento con mis Salomon Servicio de Amazon iloecable, como siempre. Gran producto, precio inmejorable, me quedo con eso. No entraré a valorar uso o desgaste, que eso ya lo hacen otros usuarios, y yo no soy muy pro.</t>
  </si>
  <si>
    <t>Muy practico Encantado. Al fin he podido sacar todos los vídeos de mi iPhone sin necesidad de contestarlo al PC.</t>
  </si>
  <si>
    <t>ADIDAS DURAMO Me ha gustado todo. La zapatilla bonita, es comodisima y puedes andar todo lo que quieras con ella o sea que perfecta</t>
  </si>
  <si>
    <t>Cómodos y duros. Ofrecen un sonido de primera calidad. La calidad es bastante clara y fuerte, perfecto para música, ver películas e incluso llamadas telefónicas. Tiene una llave de control, que sirve para contestar una llamada pulsando una vez,  Funcionan a la perfección, se escuchan muy bien。Son unos auriculares robustos y con una calidad excepcional, por la que la relación calidad/precio es muy buena. Totalmente recomendables。</t>
  </si>
  <si>
    <t>Batidora de vaso Batidora de la marca Philips, de calidad. La batidora es sencilla, pero se ve un producto sólido, y resistente.  El cuerpo principal de la batidora, está acabado en acero inoxidable, en la parte frontal, tenemos un botón giratorio, con el que encenderemos apagaremos la batidora, ye iremos seleccionando la velocidad de batido. En la parte inferior, cuatro ventosas, que nos sujetan la batidora a la encimera de la cocina, estás, evitan que se mueva cuando estamos trabajando.  La jarra, fuerte y pesada, con capacidad para de 2 litros. La tapa, lleva en la zona de contacto con la batidora, un filo de silicona, para evitar que se derrame nada.  Como accesorio, nos viene un vaso para hacer batidos de fruta, muy práctico, viene con su juego de cuchillas, en un accesorio aparte, y otro accesorio, que es la tapa, por la que verteremos los zumos, una vez triturados.  Excepto el cuerpo principal, el resto de piezas y accesorios, podremos introducirlo en el lavavajillas.  Como detalle decir, que no es muy ruidosa, bastante menos que mi antigua batidora.  Philips, nos pone en nuestra mano, un montón de recetas y batidos. Podremos acceder a estos, instalando en el móvil la aplicación "Healthy Drinks" , que podemos encontrar en Play Store.  La potencia es de 700 W.  El selector de velocidad, tiene muchas posiciones.</t>
  </si>
  <si>
    <t>Un reloj de culto El reloj no tiene a mi parecer ningún defecto, por calidad el precio es un regalo, lo recomiendo totalmente. Solo un aviso : Es un reloj grande, si tienes, como yo, una muñeca pequeña a lo mejor no te acabará de ser cómodo, pero claro esto no es un defecto del reloj .</t>
  </si>
  <si>
    <t>Sonido excepcional Sonido excelente a la altura de lo esperado por este precio. Son algo calurosos así que después de aldededor de una hora de uso continuo tengo que quitármelos. La cancelación de ruido es genial, aisla completamente de los ruidos y sonidos externos. De momento ningún problema con la conexión Bluetooth o la batería. La batería aguanta bastante de momento, para mí más que suficiente.</t>
  </si>
  <si>
    <t>Poquisima comodidad.no he podido salir a la calle con ellas Hay que coger 1 talla mas las he estrenado y no son comodas el 2 par que e como de xti incomoda no las puedo llevar las devuelvo son insufribles es el 2 par que pido mi numero y hacen muchisimo daño</t>
  </si>
  <si>
    <t>Poco aconsejables Muy bien la sujeción al oído gracias a los adaptadores incluídos (de tres formas distintas) y a los tres tamaños de almohadillas suministrados. La duración de la batería de los auriculares un poco justilla, aunque se pueden recargar desde el estuche, pero tardan una hora y media en hacerlo. Poco cómodo el sistema de mando de operaciones (subir/bajar el volumen, adelante/atras, etc) ya que, al no ser táctiles, hay que apretar el auricular 1, 2 o 3 veces, lo que acaba haciendo daño en la oreja. El sonido, bastante deficiente: graves poco profundos y agudos resquebrajados, pero el defecto principal, para mí, el que se desconectava intermitentemente, durante todo el tiempo de uso, el auricular derecho, con lo que se dejaba de disfrutar la música y ha sido el motivo de haberlos devuelto.</t>
  </si>
  <si>
    <t>Limpio pero .. Es un material cómodo de utilizar. Pero a pesar de ser limpio no tiene mucha capacidad adherente.</t>
  </si>
  <si>
    <t>Arturo. Se me ha roto. Con 16 meses. Se ha empezado a apagar la pantalla. Ya no se ve ningún número ni letras. MUY DESCONTENTO,  pensaba que me duraría bastante ya que viene grabado que dura la batería 10 años. Que puedo  hacer?</t>
  </si>
  <si>
    <t>Lo pedi. En negro Lo pedi en negro.</t>
  </si>
  <si>
    <t>mala calidad No carga bien la bateria, los botones se desarman y se mueven. El micro solo capta la voz por la parte superior, no por los laterales y la regilla del micro esta aboyada... mal... quiero devolverlo!</t>
  </si>
  <si>
    <t>Buena opcion como micro de diadema inhalambrico Funciona perfecto, recoje la voz muy bien y se escucha nitido y alto. Buena autonomia de las baterias, al menos 3 horas sin problema .</t>
  </si>
  <si>
    <t>Casi perfecto Cancelacion de ruido, se escuchan muy bien, el unico pero que le pongo es que si tienes gafas resultan un poco mas incomodos. Materiales buenos y la bateria le dura muchisimo.</t>
  </si>
  <si>
    <t>Imanes Hola, cuando pedí este articulo no me fije bien en la medida, cuando las recibí me quedé... Pero todo y siendo muy pequeños engancha mucho</t>
  </si>
  <si>
    <t>Cassio Llevo 3 años con el y perfecto. Casio es mi marca favorita de relojes ya que se que son duros de narices. Lo utilizo dia a dia y en el trabajo dandole mucha caña.  El Cristal es irrompible no tengo ni un pequeño arrañazo nada, los bordes de resina/caucho si tienen rayas pero normal. Hoy en el trabajo por primera vez se me ha soltado el cierre de hebilla, lo volví a poner y arreglado</t>
  </si>
  <si>
    <t>Collar muy bonito Lo compré para estas próximas fiestas de Navidad y es precioso. El copo de nieve puede resultar algo pequeño, pero el collar es muy elegante.</t>
  </si>
  <si>
    <t>Cumple su funcion Pegar lonas en el exterior</t>
  </si>
  <si>
    <t>Perfecte Todo muy bien</t>
  </si>
  <si>
    <t>Buena compra Da un buen servicio, se nota que no es la original pero cumple satisfactoriamente.</t>
  </si>
  <si>
    <t>Muy estable incluso si suda Este auricular Bluetooth es perfecto para mis hijos. A menudo va a hacer ejercicio por la mañana. Pensó que el sonido sin música era un poco aburrido, así que se lo compré en Amazon. La logística lleva tiempo, así que no tengo prisa. Cuando lo recibimos, encontramos el sonido muy bueno, muy claro, cuando mi hijo estaba sudando en casa, este auricular Bluetooth es muy estable en la oreja y no se caerá.</t>
  </si>
  <si>
    <t>Zapatos de estrella, cómodos, bonitos y funcionales Geniales, bonitos, ajustados a mi pie con el número que uso siempre, el 38, aunque es verdad que mi pie es quizás delgado, pero cómodos y prácticos para bailar, no se clava nada y para el precio que tienen son perfectos. Quedan como si hubieras salido de Dirty Dancing, una gran elección, a ver si duran un tiempo suficiente.</t>
  </si>
  <si>
    <t>Encantado. Fue amor a primera vista desde que lo vi me gusto y muy feliz ahora con mi Gshock</t>
  </si>
  <si>
    <t>Bueno!? No huele tan fuerte,a my me gusta el olor mas intenso,tengo que poneer 20gotas a 200ml de agua y huele poco,calidad precio un 5 en una escala de 1 a 10</t>
  </si>
  <si>
    <t>Genial Lo que esperaba . Tiene 2 volumene de vapor , es programable 1,3,6 horas o funcionamiento hasta que se termina el agua . Es super silenciso</t>
  </si>
  <si>
    <t>son muy buenos el sonido y la comodidad</t>
  </si>
  <si>
    <t>Su comodidad E ha gustadouchp lo uso para caminar</t>
  </si>
  <si>
    <t>Sencillos y buenos Unos auriculares a buen precio que cumplen bien su función. Son sencillos, pero de buena calidad para su precio. Son los terceros que compramos para mis hijas, en distintos colores. Los usan cada día y resisten perfectamente. Si volvemos a necesitar otros, volveremos a repetir.</t>
  </si>
  <si>
    <t>Perfecto para médicos y enfermeras Mi hermana es enfermera y está todo el día andando de un lado para otro, por lo que necesitaba un calzado cómodo. Muchas compañeras suyas llevan Skechers, un calzado cómodo, pero algo más pesado que las Crocs. Es cierto que para el invierno las Crocs no suelen ser muy acertadas, pero para verano son un acierto total.  Son cómodas hasta decir basta, transpiran mucho y conseguiremos que el pie no sude. Es ideal para hacer caminatas entre las plantas de los hospitales, sin tener que cargar los gemelos por el peso, ya que son de una goma muy ligera que hace que vayamos caminando entre nubes.  La verdad que en este terreno hay que comprar Crocs, no hay otras iguales.</t>
  </si>
  <si>
    <t>Perfectos Eran para regalar. Ha quedado encantada con la calidad .</t>
  </si>
  <si>
    <t>Perfectas Cómodas y perfectas</t>
  </si>
  <si>
    <t>Perfecto La verdad que me queda como un guante gracias a los comentarios y opiniones de la gente he acertado completamente con la talla. Es de esos tobilleros que quedan ajustados por los tobillos y los bolsillos tienen cremallera lo cual se agradece.</t>
  </si>
  <si>
    <t>Supercompra Va increíble!!!. Lo recomiendo totalmente. La presión como un equipo profesional, nada que envidiarle. Espero que sea duradero. Encantada con esta compra.</t>
  </si>
  <si>
    <t>Biberón Es el único biberón que quiere mi hija la retina es la única que agarra bien</t>
  </si>
  <si>
    <t>Mal producto por su pésimo plegado Ocupa poco espacio plegado, pero yo que utilizo casi todo de esta marca, fregonas, escobas etc... es lo peor q he comprado de esta marca, ya que se sale continuamente del palo.</t>
  </si>
  <si>
    <t>Lozada Recibí el producto hace una semana, tengo una duda , pasado unos minutos de estar en funcionamiento se pausa, y tengo que volver a darle nuevamente , las cuchillas no cortan muy bien Algunos trozos de la piña, aunque los purés los deja bastante bien, probaré una semana más y sino la devolveré, me gustaría saber si a alguien más le ha pasado lo del pausado automáticamente . Gracias</t>
  </si>
  <si>
    <t>No se puede pedir mucho por 20€ Los auriculares cumplen su función con creces. Aíslan súper bien del exterior, son bastante cómodos y te dejan en tu mundo, pero la calidad del sonido es muy mejorable (lógico por 20€). Aparte, el sonido es muy bajo y aún poniendo el teléfono con el volumen a tope se seguía oyendo muy poco, por eso decidí devolverlos al día siguiente de comprarlos. Buscaré algo un poquillo mejor aunque haya que pagar un poco más</t>
  </si>
  <si>
    <t>Poca durabilidad No los recomiendo. Uno de los auriculares a dejado de funcionar a los dos meses. Y eso que solo se han usado para un uso esporádico</t>
  </si>
  <si>
    <t>Buenos auriculares bluetooth Me han gustado mucho son muy parecidos s los de Apple. La calidad de sonido muy buena incluso mejor que otros de más alto precio suenan genial. Te lias un poco con el táctil me h encantado todo de ellos . Lo malo es que no permiten subir y bajar el volumen solo avanza y retrocede de pista. Envio muy rapido</t>
  </si>
  <si>
    <t>Bastante bueno Es un aparato bueno y facil de usar. Quizas hecho de menos entrada microfono ya que solo tiene una entrada mini JAC y seria util uno de microfono o mesa... pero bueno coincide con la descripción y tiene muy buena calidad si lo sabes usar/configurar. Es muy sensible y tiene bastantes opciones. A mi me resulto util grabe cancion para videoclip. Muy bien</t>
  </si>
  <si>
    <t>Lo esperado Lo esperado.</t>
  </si>
  <si>
    <t>Buen humidificador Buen humificador. Apenas ruido. El único pero que le pongo es que en la programacion sólo ofrece 2/4 horas, cuando otros tienen para una hora. Por lo demás bien. Y cómodo tener el mando a distancia</t>
  </si>
  <si>
    <t>Buenos y bonitos Buenos zapatos, comodos y bonitos. Como en las fotos.</t>
  </si>
  <si>
    <t>Que calienta Contenta calienta la cama y al poder graduarla mejor Buena compra</t>
  </si>
  <si>
    <t>cristales claros Mi luna estaba con rayas de los parabrisas. Casi todo he podido eliminar! Tenia miedo pulir el crstal, pero ha salido muy bien</t>
  </si>
  <si>
    <t>Microfono + kit No está nada mal la calidad que ofrece al precio que tiene más los accesorios que se suministran  De momento hace su papel, le doy un 7 / 10. Desde luego  no me imaginaba poder adquirir a ese precio un micrófono tan bueno.</t>
  </si>
  <si>
    <t>Buen material y fiable. Buen producto, facilita poder usar cada conector independiente y con fiabilidad. Excelente</t>
  </si>
  <si>
    <t>Muy útil Es un dispositivo súper útil. Sobre todo con IPhone que es muy complicado de sincronizar con el pc. Lo pones, copias, y lo pasas al pc. Más fácil imposible. También vale para Android. La única pega es que cuando no lo estás usando, las ranuras quedan poco protegidas, por lo que hay que guardarlo para evitar roturas accidentales. Eso si, viene con su cajita metálica para ello.</t>
  </si>
  <si>
    <t>Estoy contenta Muy bien, no aprietan la cabeza, se oye muy nítido y ningún problema en la conexión de cascos con tv</t>
  </si>
  <si>
    <t>Un excelente jack para guitarra. En general su textura, sonido y por el miedo a que se enrede no hay ningún problema. Por lo que cuesta es buen producto.</t>
  </si>
  <si>
    <t>Que es de plata Es muy bonito y fino</t>
  </si>
  <si>
    <t>todo correcto Envío inmediato y todo correctisimo, lo devolví porque era un regalo repetido</t>
  </si>
  <si>
    <t>Estoy muy contenta Elegí este herbidor por precio y por valoración del resto de compradores, y estoy muy contenta con la elección. Lo utlizo en mi oficina y es suficiente. El diseño es bonito, tiene una capacidad de 1.2 l. y es muy rápida calentando el agua. El servicio de amazon fue rapidísimo, en apenas un par de dias.</t>
  </si>
  <si>
    <t>Esme Medina Son muy comodos,totalmente antideslizantes y bonitos. Los recomiendo y volveria a comprarlos si fuera necesario. Aconsejaria q diseñaran mas modelos.</t>
  </si>
  <si>
    <t>Muy buen producto Muy buen producto! Tengo la batidora está desde hace dos semanas y la uso convenientemente para batir la comida de mi bebé de 6 meses. Mucho más practica q la batidora normal xq es más pequeña y además al ser pequeña te la puedes llevar de viaje si te hace falta.  Genial calidad - precio. Un día me atrevi incluso ha hacer hummus y le costó trabajo, está claro que no es para eso, pero lo hizo!</t>
  </si>
  <si>
    <t>comodidad muy buenas</t>
  </si>
  <si>
    <t>Por ahora, funciona bien Lo tengo enchufado a una televisión Sony y por ahora funciona bien. La televisión lo formateó sin problema y las peliculas se ven. Está todo el rato enchufado.</t>
  </si>
  <si>
    <t>CALIENTA RAPIDO &lt;div id="video-block-R27Z00T7JPCX3V" class="a-section a-spacing-small a-spacing-top-mini video-block"&gt;&lt;div tabindex="0" class="airy airy-svg vmin-supported airy-skin-beacon" style="background-color: rgb(0, 0, 0); position: relative; width: 100%; height: 100%; font-size: 0px; overflow: hidden; outline: none;"&gt;&lt;div class="airy-renderer-container" style="position: relative; height: 100%; width: 100%;"&gt;&lt;video id="110" preload="auto" src="https://images-eu.ssl-images-amazon.com/images/I/91PtKk4tmnS.mp4" style="position: absolute; left: 0px; top: 0px; overflow: hidden; height: 1px; width: 1px;"&gt;&lt;/video&gt;&lt;/div&gt;&lt;div id="airy-slate-preload" style="background-color: rgb(0, 0, 0); background-image: url(&amp;quot;https://images-eu.ssl-images-amazon.com/images/I/81R98CNofxS.png&amp;quot;);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center;"&gt;0:00&lt;/div&gt;&lt;div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value="https://images-eu.ssl-images-amazon.com/images/I/91PtKk4tmnS.mp4" class="video-url"&gt;&lt;input type="hidden" name="" value="https://images-eu.ssl-images-amazon.com/images/I/81R98CNofxS.png" class="video-slate-img-url"&gt;&amp;nbsp;Perfecta manta eléctrica. Me gusta mucho, es muy fácil de utilizar y lo que más me gusta es que trae temporizador de 30 a 120 min, lo cual lo considero muy útil que la hora de acostarme no tener que apagarla. Su tela es muy suave, es muy cómoda y calienta enseguida.</t>
  </si>
  <si>
    <t>Converse Originales A mi me parecen las originales. Las he comparado a otras que tengo y no encuentro ninguna diferencia.  La numeración es correcta.</t>
  </si>
  <si>
    <t>Cristina Muy bien ,esta marca nunca me falla, eran para una niña y le quedan como  un guante. está encantada y yo también, claro</t>
  </si>
  <si>
    <t>Sin sorpresas Sin sorpresas. Conozco el producto y lo único que uno pide en estos casos es que no haya sorpresas.</t>
  </si>
  <si>
    <t>Bolso perfecto Para mi el bolso perfecto!! Tiene un montón de bolsillos, es espacioso y tiene el tamaño perfecto. Buen acabado. Muy contento con la compra</t>
  </si>
  <si>
    <t>Defectuoso Uno de los pendientes nada más ponerlo se rompió, el enganche parece ser que venía defectuoso, uno venía más rígido que el otro,</t>
  </si>
  <si>
    <t>No termina de cumplir mis expectativas Para ser de una marca tan conociera, la calidad no termina de ser la adecuada. En dos meses de uso empieza a perder el dibujo.</t>
  </si>
  <si>
    <t>Para no repetir La puntera es estrecha y acaba haciendo daño,cría fama...</t>
  </si>
  <si>
    <t>Parecía potente... Parecía muy potente, pero ya el primer día vi el anclaje de la varilla era de plástico y efectivamente se ha estropeado por ahí. Mal fabricado. Espero la devolución del importe...</t>
  </si>
  <si>
    <t>malísima de mala calidad, la cremallera se engancha, la tela es muy mala... no merece la pena</t>
  </si>
  <si>
    <t>Muy bien Se ven nuy bien de calidad y quedan muy bien</t>
  </si>
  <si>
    <t>recomendados son super comodos y de muy buena calidad, el problema que la tela es muy delicada y cualquier liquido que le caiga que no sea agua, se queda la marca, sera por el color tan claro, pero por lo demas super comodas</t>
  </si>
  <si>
    <t>José.a. Buena merece la pena comprarlo calidad precio esta bastante bien. Es recomendable para personas principiantes que empiecen a moverse en este mundillo</t>
  </si>
  <si>
    <t>Buen producto Cumple con lo que se le puede pedir a este producto. Es còmoda,calienta bien..etc</t>
  </si>
  <si>
    <t>Buena calidad Me he decidido a comprar este modelo, ya que en mi casa hay una almohadilla electrica de esta marca que era de mi abuela y aun funciona. Buena calidad, solo hecho en falta una funda, por lo demás, perfecto. Se apaga sola a los 90 minutos, comprobado.</t>
  </si>
  <si>
    <t>Es práctico Es práctico</t>
  </si>
  <si>
    <t>Super novedoso Este reloj despertador es la caña tiene luz de varios colores e  intensidades, de tiene incorporada la radio y la alarma se puede regular el volumen de ambas y es fácil de instalar y me encanta.</t>
  </si>
  <si>
    <t>Muy buen micro Perfecto para smartphones si quieres poner, por ejemplo, una voz en off en directo. Si lo acoplas a un resorte lo puedes usar de micro normal y de lujo.</t>
  </si>
  <si>
    <t>Casio G SHOCK inteligente Una maravilla, un casio con las funciones y resistencia de un G SHOCK, con el extra de ser un reloj inteligente, con contador de pasos y actividad, conectable por Bluetooth al móvil, actualizando al instante todas sus funciones, y permitiendo la administración de las mismas desde el teléfono. El servicio de Amazon, como siempre, rápido e impecable.</t>
  </si>
  <si>
    <t>Son cómodas Me han gustado mucho, pero no parecen unas deportivas, son zapatos de seguridad y a mi me gusta que parezcan unas deportivas. Las usó para el trabajo</t>
  </si>
  <si>
    <t>perfecto Este batidor cumple todo lo que esperaba con mucha eficacidad, uso bastante la mini picadora tambien no solo para hierbas pero para cortar muy fino verduras.</t>
  </si>
  <si>
    <t>Recomendable Muy cómoda y calentita . Color  y tacto muy agradable</t>
  </si>
  <si>
    <t>Un pantalón cómodo y bien confeccionado por muy buen precio. Era lo que esperaba, talla correcta ( escogí una S para 1.57 y 50 kilos) y buena calidad. Lo he lavado varias veces, encogió un poco la primera vez como es lógico pero ya está. Muy cómodo y el tejido es agradable al tacto.</t>
  </si>
  <si>
    <t>Perfecto Funciona correctamente, grapa bien</t>
  </si>
  <si>
    <t>Orgullosos de su producto Muy buen cable con una muy buena calidad/precio, y tienen el detalle de mandar un juego de púas de regalo, recomiendo 100% está compra</t>
  </si>
  <si>
    <t>Buena mochila Creo que le falta algún otro bolsillo para guardar pequeñas cosas o poder organizarlas mejor</t>
  </si>
  <si>
    <t>KabelDirekt Excelente producto, buena relación calidad precio, cumple perfectamente su función, buen cable para altavoces, perfecto,  muy contento con la compra.</t>
  </si>
  <si>
    <t>conectividad excelente bluetooth y aux en un mismo casco excelente tacto del material, buen sonido y conectividad multiple. son ligeros para ser unos cascos grandes, incluye un estuche para transportarlos, buen detalle. puedes conectarlos por bluetooth y ademas por cable, ideal por si te quedas sin bateria o si los utilizas en un estudio como es mi caso.</t>
  </si>
  <si>
    <t>Muy buenas Quedan muy bien, y son iguales que como se especificaban, aguantan bien el desgaste y depues de unas semanas de uso siguen igual.</t>
  </si>
  <si>
    <t>Rapidez entrega Funciona correctamente. Rapidez en entrega</t>
  </si>
  <si>
    <t>Un bonito detalle. A mi mujer le ha encantado.</t>
  </si>
  <si>
    <t>Aromas muy agradables. Buena selección de aromas, y todos muy agradables, nada extravagantes ni empalagosos.  Me encanta el de limón especialmente. Da una sensación de frescor a la habitación muy buena.  Yo estoy usando 3 gotitas en un humidificador de 100 ml, y el olor es suave y agradable, no me gusta demasiado intenso.  Ojo, que son aceites, no sirven para cualquier humidificador, muchos sólo funcionan con aromas hidrosolubles.</t>
  </si>
  <si>
    <t>Colgante de plata Es muy fino y la cadena es preciosa, me a hencantado el diseño.</t>
  </si>
  <si>
    <t>Caja destrozada Caja destrozada y golpeada por todos los sitios...</t>
  </si>
  <si>
    <t>Bien. Exprime bien y al hacer dos a la vez, es más rápido. Ne se puede lavar en el lavavajillas, por lo que tienes que estar frotando con un cepillo si quieres limpiarlo bien. No sé lo que durará, pero no parece que sea una calidad muy alta.</t>
  </si>
  <si>
    <t>Como un aspirador de bolsa, nada En sí es un buen aspirador que cumple su funcion. Pero me dejo de funcionar al año y medio. Solo hay un servicio técnico en Valencia y la atención al público deja mucho que desear. Se me atascan mucho los pelos de los animales en el cepillo de abajo. Hay que cambiar los filtros cada medio año para que succión bien. Como un aspirador de bolsa, nada</t>
  </si>
  <si>
    <t>ojo que necesita phantom de 48v.. Pues le pongo 3 estrellas porveso mismo. Lo compré porque me hacia falta para una grabación y no pude usarlo pq sin phantom no fuciona. No es que capte poco es que sin phantom es como cantarle a una piedra. Mi mesa tiene phantom pero no tenia a mano un doble xlr (canon,) y sin xlr no hay phantom.. asi que no lo pude usar hasta que no fui a mi local de ensayo a por uno. El cable que viene además de ser de nefasta calidad no vale para alimentarlo... para que incluyen ese mierdon de cable?? Seguiré infirmando de como graba pq aun no lo he usado.</t>
  </si>
  <si>
    <t>No hace slime. No comprar para hacer slime porque no funciona Yo se lo compre a mi hijo porque quería hacer slime y no le ha salido. Ha probado de todas las formas y no funciona</t>
  </si>
  <si>
    <t>Abalorio El abalorio es muy bonito pero venía en una mini bolsa trasparente eso me a Delgado mucho que desear ya que era para regalar</t>
  </si>
  <si>
    <t>Neli Muy cómodo, fácil de llevar por su elasticidad, relación calidad precio resulta sorprendente y más al ser un pack con 3 unidades</t>
  </si>
  <si>
    <t>PERFECTA PARA LA CASA. NO HACE MUCHO RUIDO, ASPIRA MUY BIEN Y ES MUY MANEJABLE PARA REALIZAR LAS LIMPIEZAS. ROWENTA NUNCA ME DECEPCIONA. OK</t>
  </si>
  <si>
    <t>Muy buena elección Creo que se trata de una buena elección: buenos materiales, buenos acabados y detalles a tener en cuenta, como la abertura más ancha que facilita la entrada del agua. El tamaño es perfecto (aprox. 2 litros). Espero que dure más que otras y así se justifique el precio algo más elevado.</t>
  </si>
  <si>
    <t>Correctas Las botas son como esperaba , la talla no se corresponde con la Europea o la americana que son las mas utilizadas</t>
  </si>
  <si>
    <t>Buenas memorias Buen relacion calidad precio en su tiempo, contento con esta compra, el diseño elegante y material resistente. Aunque ha subido bastante desde que yo las compre en 2015.</t>
  </si>
  <si>
    <t>Buena compra Buen precio y buena calidad , cómodas y bonitas , estoy satisfecha con la compra . La talla la esperada</t>
  </si>
  <si>
    <t>Muy bonitas-cómodas Aunque para gustos colores, me gustan bastante, negras,piel lisa de calidad,relativamente flexibles,buena suela...personalmente uso un 42, en este caso pedí el 41,5 y acierto total, ajustan como un guante. No son waterproof así que no sé cómo se comportaran con el agua. Si la pillas a buen precio,compra más que recomendable.</t>
  </si>
  <si>
    <t>Buena calidad Muy adecuado para el ratón de MAC</t>
  </si>
  <si>
    <t>CASIO Un reloj bonito, ni muy grande ni muy pequeño  con muchas funciones. Un reloj múlti función de gama básica muy completo</t>
  </si>
  <si>
    <t>me gusta Excelente Es igual que tenía yo se lo recomiendo a todo el mundo y no sé que más poner ya</t>
  </si>
  <si>
    <t>Relación precio calidad 100% recomendada</t>
  </si>
  <si>
    <t>Es larguita, para llevar unas mallas Camiseta muy cómoda y bonita</t>
  </si>
  <si>
    <t>Una maravilla Calidad excelente...supercomodas no defrauda el dinero que gastas en ellas...no es la primera no será la última zapatilla que me compré de esta marca</t>
  </si>
  <si>
    <t>Muy bueno Muy buen producto, se ajusta a la descripción. No es tan ajustado como parece en la zona del tobillo no queda totalmente ajustado. Abriga bastante con lo cual es indicado para invierno y por este precio esta muy bien.</t>
  </si>
  <si>
    <t>Buen precio y entrega super rápida excelente.... Buen producto para el uso que le doy estupenda no tiene mucha potencia pero a mi me va estupenda tal cual.....</t>
  </si>
  <si>
    <t>Autoesterilizables. Están muy bien. Es la marca que más le gusta al peque. No se bien por qué, pero es así. La ventaja de que sean autoesterilizables nos ha venido muy bien para viajes. No tener que llevar el armatoste de esterilizador.</t>
  </si>
  <si>
    <t>Amplio espacio para hacer copias de seguridad Por 99,9 euros ahora tengo 2,7 TiB de espacio adicional para hacer copias de seguridad: amplia capacidad... que se terminará quedando pequeña. ;-) La velocidad es razonable, 80 a 100 MB/s conectado a un puerto USB 3.1 Gen. 1, funcionando con un nivel de ruido bajísimo.  Globalmente, muy bien. Estoy satisfecho con la compra.</t>
  </si>
  <si>
    <t>Bonito difusor! Estoy muy contenta con él, tiene un diseño muy bonito, aunque es de plastico parece de madera!. Funciona de maravilla!. Tengo la casa perfumada!!.Ha llegado muy bien empaquetado!!</t>
  </si>
  <si>
    <t>Buena alfombrilla Los materiales son buenos y la iluminación excelente.</t>
  </si>
  <si>
    <t>Correcto Poco se puede decir de este producto ya que es conocido por casi todo el mundo. Pegamento eficaz, resistente y muy duradero.</t>
  </si>
  <si>
    <t>bueno muy bueno el producto. yo utilizo una 39 y según la prueba que hice me aconsejaron una 40 y la verdad que genial.</t>
  </si>
  <si>
    <t>Cumple plenamente con su objetivo el producto muy bueno, de buena calidad, ya tenia otro y este lo compre para tener un repuesto ya que estoy muy contenta con este producto. cumple muy bien su funcion</t>
  </si>
  <si>
    <t>Relacción calidad precio Cumplen perfectamente por el precio que tiene incluyendo los adaptadores de silicona de recambio. Buena calidad de materiales y tambien buena calidad de audio.</t>
  </si>
  <si>
    <t>NO ES LO QUE ESPERABA sirve para nadar pero los numeros de la hora no se ven, es decir, lo pongo en la opcion caminar porque nadar no la tiene y si quiero ver la hora no puedo verla, en primer lugar porque los numeros no se ven ,no son fluorescentes, solo me sirve para ver las pulsaciones y los pasos dados, si quiero ver la hora en ese momento mientras estoy nadando tengo que salir de la aplicacion para ver la hora .</t>
  </si>
  <si>
    <t>Regular A veces se entrecorta uno de los auriculares y no se escucha del todo bien</t>
  </si>
  <si>
    <t>Va a lo loco He tenido q devolverla porque no me gustaba. Chocaba contra todos los muebles de forma brusca y se pasea sin ton ni son. Podía estar toda una hora en la misma habitación y no iba a las demás. Ahora tengo una con mapeo y no hay color. Sin mapeo no compraría nunca alguna.</t>
  </si>
  <si>
    <t>Nada comodidad No tiene nada de comodidad , son muy duro ,resbala con nada son un peligro con el suelo mojado ,por el precio tenían que ser mas de calidad ,plantilla muy dura</t>
  </si>
  <si>
    <t>Tan bien como esperaba El tamaño es genial y tiene una velocidad bastante buena, pero el paquete venía dobladl y se ha despegado el pendrive de su carcasa, lo he pegado yo manualmente y sin problemas.  A disfrutarlo</t>
  </si>
  <si>
    <t>Buena calidad precio Van muy bien lo que pasa que son trasparentes aunque se le bien la letrada bien</t>
  </si>
  <si>
    <t>Impresionado por su bajo precio Llego antes de tiempo y se ve muy bonito este reloj, precio super economico</t>
  </si>
  <si>
    <t>Calidad-prefio Es algo ruidosa y no mide el agua. Por lo demás, estupendo.</t>
  </si>
  <si>
    <t>Me ha sorprendido gratamente Realmente me ha sorprendido mucho lo bien que va con W7. Lo recomendaría por que la relación de calidad precio es fantástica</t>
  </si>
  <si>
    <t>Muy buena compra Necesitaba un termo para hacer los biberones fuera de casa y de verdad que fue un acierto.  Agua se mantiene caliente muchas horas. Ahora lo hago servir hasta por las noches para no esperar hasta que se calienta el bibi y así no hago a mi peque llorar de hambre.</t>
  </si>
  <si>
    <t>10/10 Precioso, con una muy buena presentación, mi pareja quedó encantada con el, volveré a comprar de esta marca seguro</t>
  </si>
  <si>
    <t>Excelente reloj. Ha superado mis expectativas. La cadena es algo ligera. Pero el mecanismo NH35A es muy preciso. Supera a relojes mucho más caros.</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</si>
</sst>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row>
    <row r="2">
      <c r="A2" s="1">
        <v>2.0</v>
      </c>
      <c r="B2" s="1" t="s">
        <v>3</v>
      </c>
      <c r="C2" t="str">
        <f>IFERROR(__xludf.DUMMYFUNCTION("GOOGLETRANSLATE(B2, ""es"", ""en"")"),"I'll go to the audiologist? ...... or you, gentlemen critics ...... bad What are the expectations of a product, when before buy, looking for references and opinions and these are very good. It is what has happened with these Sony. I had read such good thi"&amp;"ngs about them, Soooo ......... anyway. I understand that people buy a headset for the first time and these are alleged to be fantastic, I understand (to think fact that 90% of the reviews on Amazon are based on that and on personal tastes), but the real "&amp;"criticism of a product it comes when one could compare in situ with other products. Do not understand how the internet reviews on this product are so good (good if you like ..... why pull checkbook? 😁). This headset is poor when you compare. The main bal"&amp;"last are low and lacking deep punching horrific they have, just messing get (in every sense of the word) the ""decent"" mids and treble. Not as bad as can be factory calibrated, because if you can ""fix"" with equalization, but it seems a tremendous failu"&amp;"re by Sony. Their sound is flat, without punch (punch), not excited. You realize when you plug a headset amplificiador with your respective cable and metes volume. Low frequencies quickly collapse the other and caking of the sound is to run 😁. I have a V"&amp;"-MODA Crossfade 2 Wireless (also wireless), even without reaching the sonic excellence, they are much better, it shows they have power. I will not delve into other details, because for me sound deprives above all. Only comment that the construction has se"&amp;"emed puny for the price, (the rotation of the cups has a pint of partirseeee ....), and that the microphone is very mediocre. Something positive? Yes, the system touch control of them seems to me that would have to be a benchmark for other brands, gesture"&amp;"s go very well. Also noise cancellation, really shocking, you absorb the ears directly, very good. To summarize: I think that the market for wireless headphones need more variety of models, because if these are the reference when we move on ....... 300 eu"&amp;"roooos 🙄")</f>
        <v>I'll go to the audiologist? ...... or you, gentlemen critics ...... bad What are the expectations of a product, when before buy, looking for references and opinions and these are very good. It is what has happened with these Sony. I had read such good things about them, Soooo ......... anyway. I understand that people buy a headset for the first time and these are alleged to be fantastic, I understand (to think fact that 90% of the reviews on Amazon are based on that and on personal tastes), but the real criticism of a product it comes when one could compare in situ with other products. Do not understand how the internet reviews on this product are so good (good if you like ..... why pull checkbook? 😁). This headset is poor when you compare. The main ballast are low and lacking deep punching horrific they have, just messing get (in every sense of the word) the "decent" mids and treble. Not as bad as can be factory calibrated, because if you can "fix" with equalization, but it seems a tremendous failure by Sony. Their sound is flat, without punch (punch), not excited. You realize when you plug a headset amplificiador with your respective cable and metes volume. Low frequencies quickly collapse the other and caking of the sound is to run 😁. I have a V-MODA Crossfade 2 Wireless (also wireless), even without reaching the sonic excellence, they are much better, it shows they have power. I will not delve into other details, because for me sound deprives above all. Only comment that the construction has seemed puny for the price, (the rotation of the cups has a pint of partirseeee ....), and that the microphone is very mediocre. Something positive? Yes, the system touch control of them seems to me that would have to be a benchmark for other brands, gestures go very well. Also noise cancellation, really shocking, you absorb the ears directly, very good. To summarize: I think that the market for wireless headphones need more variety of models, because if these are the reference when we move on ....... 300 euroooos 🙄</v>
      </c>
    </row>
    <row r="3">
      <c r="A3" s="1">
        <v>3.0</v>
      </c>
      <c r="B3" s="1" t="s">
        <v>4</v>
      </c>
      <c r="C3" t="str">
        <f>IFERROR(__xludf.DUMMYFUNCTION("GOOGLETRANSLATE(B3, ""es"", ""en"")"),"A good fabric slightly transparent, crisper and good for summer")</f>
        <v>A good fabric slightly transparent, crisper and good for summer</v>
      </c>
    </row>
    <row r="4">
      <c r="A4" s="1">
        <v>1.0</v>
      </c>
      <c r="B4" s="1" t="s">
        <v>5</v>
      </c>
      <c r="C4" t="str">
        <f>IFERROR(__xludf.DUMMYFUNCTION("GOOGLETRANSLATE(B4, ""es"", ""en"")"),"Bad experience a delusion, not silver, am allergic and I can only use silver or gold, have relied on this provider Amazon and now I have the ear inflamada..mucha rage.")</f>
        <v>Bad experience a delusion, not silver, am allergic and I can only use silver or gold, have relied on this provider Amazon and now I have the ear inflamada..mucha rage.</v>
      </c>
    </row>
    <row r="5">
      <c r="A5" s="1">
        <v>4.0</v>
      </c>
      <c r="B5" s="1" t="s">
        <v>6</v>
      </c>
      <c r="C5" t="str">
        <f>IFERROR(__xludf.DUMMYFUNCTION("GOOGLETRANSLATE(B5, ""es"", ""en"")"),"Pretty good I really like, and are of good material, good workmanship, comfortable (which may be squeezing more) I do not know if originals. The trouble is that carve very small (Nike then I said so). Anyway, I'm ancheándolos a bit with use, and rather th"&amp;"in sock, and go well. If it were not for small number would be for them 5 stars.")</f>
        <v>Pretty good I really like, and are of good material, good workmanship, comfortable (which may be squeezing more) I do not know if originals. The trouble is that carve very small (Nike then I said so). Anyway, I'm ancheándolos a bit with use, and rather thin sock, and go well. If it were not for small number would be for them 5 stars.</v>
      </c>
    </row>
    <row r="6">
      <c r="A6" s="1">
        <v>5.0</v>
      </c>
      <c r="B6" s="1" t="s">
        <v>7</v>
      </c>
      <c r="C6" t="str">
        <f>IFERROR(__xludf.DUMMYFUNCTION("GOOGLETRANSLATE(B6, ""es"", ""en"")"),"Perfect Just what I expected, quality and acceptable price.")</f>
        <v>Perfect Just what I expected, quality and acceptable price.</v>
      </c>
    </row>
    <row r="7">
      <c r="A7" s="1">
        <v>5.0</v>
      </c>
      <c r="B7" s="1" t="s">
        <v>8</v>
      </c>
      <c r="C7" t="str">
        <f>IFERROR(__xludf.DUMMYFUNCTION("GOOGLETRANSLATE(B7, ""es"", ""en"")"),"Beautiful flower pendant")</f>
        <v>Beautiful flower pendant</v>
      </c>
    </row>
    <row r="8">
      <c r="A8" s="1">
        <v>5.0</v>
      </c>
      <c r="B8" s="1" t="s">
        <v>9</v>
      </c>
      <c r="C8" t="str">
        <f>IFERROR(__xludf.DUMMYFUNCTION("GOOGLETRANSLATE(B8, ""es"", ""en"")"),"Quick and correct quick and correct")</f>
        <v>Quick and correct quick and correct</v>
      </c>
    </row>
    <row r="9">
      <c r="A9" s="1">
        <v>5.0</v>
      </c>
      <c r="B9" s="1" t="s">
        <v>10</v>
      </c>
      <c r="C9" t="str">
        <f>IFERROR(__xludf.DUMMYFUNCTION("GOOGLETRANSLATE(B9, ""es"", ""en"")"),"Great quality at a reduced price is a complete digital watch, still maintains its characteristics that have made so famous without giving up a sublime quality. Amply fulfills its function. You can not ask for more for less at a clock like this.")</f>
        <v>Great quality at a reduced price is a complete digital watch, still maintains its characteristics that have made so famous without giving up a sublime quality. Amply fulfills its function. You can not ask for more for less at a clock like this.</v>
      </c>
    </row>
    <row r="10">
      <c r="A10" s="1">
        <v>5.0</v>
      </c>
      <c r="B10" s="1" t="s">
        <v>11</v>
      </c>
      <c r="C10" t="str">
        <f>IFERROR(__xludf.DUMMYFUNCTION("GOOGLETRANSLATE(B10, ""es"", ""en"")"),"The'm happy I bought to use them to order cables and some other botched home and I'm very happy, fulfilled its function. Even I used to keep a suspended manner to a router and a plug behind a closet, great")</f>
        <v>The'm happy I bought to use them to order cables and some other botched home and I'm very happy, fulfilled its function. Even I used to keep a suspended manner to a router and a plug behind a closet, great</v>
      </c>
    </row>
    <row r="11">
      <c r="A11" s="1">
        <v>5.0</v>
      </c>
      <c r="B11" s="1" t="s">
        <v>12</v>
      </c>
      <c r="C11" t="str">
        <f>IFERROR(__xludf.DUMMYFUNCTION("GOOGLETRANSLATE(B11, ""es"", ""en"")"),"genial Recommended")</f>
        <v>genial Recommended</v>
      </c>
    </row>
    <row r="12">
      <c r="A12" s="1">
        <v>5.0</v>
      </c>
      <c r="B12" s="1" t="s">
        <v>13</v>
      </c>
      <c r="C12" t="str">
        <f>IFERROR(__xludf.DUMMYFUNCTION("GOOGLETRANSLATE(B12, ""es"", ""en"")"),"Recommended 100% perfect plastic folders to organize your papers at home, also noticeable that are of good quality and not like others I have seen. 100% recommended.")</f>
        <v>Recommended 100% perfect plastic folders to organize your papers at home, also noticeable that are of good quality and not like others I have seen. 100% recommended.</v>
      </c>
    </row>
    <row r="13">
      <c r="A13" s="1">
        <v>5.0</v>
      </c>
      <c r="B13" s="1" t="s">
        <v>14</v>
      </c>
      <c r="C13" t="str">
        <f>IFERROR(__xludf.DUMMYFUNCTION("GOOGLETRANSLATE(B13, ""es"", ""en"")"),"Tested good product and very good value for money, recommended product. Good sound quality and meet specifications, either measured according to specifications")</f>
        <v>Tested good product and very good value for money, recommended product. Good sound quality and meet specifications, either measured according to specifications</v>
      </c>
    </row>
    <row r="14">
      <c r="A14" s="1">
        <v>5.0</v>
      </c>
      <c r="B14" s="1" t="s">
        <v>15</v>
      </c>
      <c r="C14" t="str">
        <f>IFERROR(__xludf.DUMMYFUNCTION("GOOGLETRANSLATE(B14, ""es"", ""en"")"),"The necklace is beautiful as it appears in the photo is very beautiful, silver, and the measure is ideal both well positioned in the neck hearts remain. Fully recommended.")</f>
        <v>The necklace is beautiful as it appears in the photo is very beautiful, silver, and the measure is ideal both well positioned in the neck hearts remain. Fully recommended.</v>
      </c>
    </row>
    <row r="15">
      <c r="A15" s="1">
        <v>5.0</v>
      </c>
      <c r="B15" s="1" t="s">
        <v>16</v>
      </c>
      <c r="C15" t="str">
        <f>IFERROR(__xludf.DUMMYFUNCTION("GOOGLETRANSLATE(B15, ""es"", ""en"")"),"Excellent buy. Cool, I think they are original. They feel good and comfortable. My first new balance. Happy with the purchase and the price on offer.")</f>
        <v>Excellent buy. Cool, I think they are original. They feel good and comfortable. My first new balance. Happy with the purchase and the price on offer.</v>
      </c>
    </row>
    <row r="16">
      <c r="A16" s="1">
        <v>5.0</v>
      </c>
      <c r="B16" s="1" t="s">
        <v>17</v>
      </c>
      <c r="C16" t="str">
        <f>IFERROR(__xludf.DUMMYFUNCTION("GOOGLETRANSLATE(B16, ""es"", ""en"")"),"Recommended super comfortable")</f>
        <v>Recommended super comfortable</v>
      </c>
    </row>
    <row r="17">
      <c r="A17" s="1">
        <v>5.0</v>
      </c>
      <c r="B17" s="1" t="s">
        <v>18</v>
      </c>
      <c r="C17" t="str">
        <f>IFERROR(__xludf.DUMMYFUNCTION("GOOGLETRANSLATE(B17, ""es"", ""en"")"),"Good product! This bag I've given to my father that he needed to change his, is delighted say it is very nice and the quality is superbly well, I've waited time to evaluate the product and the truth that with the passage of time does not deteriorate much "&amp;"and that my father gives much use, almost daily. As for the price seems fair.")</f>
        <v>Good product! This bag I've given to my father that he needed to change his, is delighted say it is very nice and the quality is superbly well, I've waited time to evaluate the product and the truth that with the passage of time does not deteriorate much and that my father gives much use, almost daily. As for the price seems fair.</v>
      </c>
    </row>
    <row r="18">
      <c r="A18" s="1">
        <v>5.0</v>
      </c>
      <c r="B18" s="1" t="s">
        <v>19</v>
      </c>
      <c r="C18" t="str">
        <f>IFERROR(__xludf.DUMMYFUNCTION("GOOGLETRANSLATE(B18, ""es"", ""en"")"),"As I expected. I liked it.")</f>
        <v>As I expected. I liked it.</v>
      </c>
    </row>
    <row r="19">
      <c r="A19" s="1">
        <v>5.0</v>
      </c>
      <c r="B19" s="1" t="s">
        <v>20</v>
      </c>
      <c r="C19" t="str">
        <f>IFERROR(__xludf.DUMMYFUNCTION("GOOGLETRANSLATE(B19, ""es"", ""en"")"),"It will last longer than me. And that bothers me; D You put it and if you want longer you take it off anymore. Gets only an hour with pinpoint accuracy every night, it is resistant to all and is loaded with sunlight only wear it. He had a smartwatch and s"&amp;"ince I've kept it on the nightstand and I just put it to run. Above is precious and timeless.")</f>
        <v>It will last longer than me. And that bothers me; D You put it and if you want longer you take it off anymore. Gets only an hour with pinpoint accuracy every night, it is resistant to all and is loaded with sunlight only wear it. He had a smartwatch and since I've kept it on the nightstand and I just put it to run. Above is precious and timeless.</v>
      </c>
    </row>
    <row r="20">
      <c r="A20" s="1">
        <v>5.0</v>
      </c>
      <c r="B20" s="1" t="s">
        <v>21</v>
      </c>
      <c r="C20" t="str">
        <f>IFERROR(__xludf.DUMMYFUNCTION("GOOGLETRANSLATE(B20, ""es"", ""en"")"),"Fantastical water heater The best purchase I made!")</f>
        <v>Fantastical water heater The best purchase I made!</v>
      </c>
    </row>
    <row r="21">
      <c r="A21" s="1">
        <v>5.0</v>
      </c>
      <c r="B21" s="1" t="s">
        <v>22</v>
      </c>
      <c r="C21" t="str">
        <f>IFERROR(__xludf.DUMMYFUNCTION("GOOGLETRANSLATE(B21, ""es"", ""en"")"),"I've loved beautiful earrings")</f>
        <v>I've loved beautiful earrings</v>
      </c>
    </row>
    <row r="22">
      <c r="A22" s="1">
        <v>5.0</v>
      </c>
      <c r="B22" s="1" t="s">
        <v>23</v>
      </c>
      <c r="C22" t="str">
        <f>IFERROR(__xludf.DUMMYFUNCTION("GOOGLETRANSLATE(B22, ""es"", ""en"")"),"Very nice beautiful and not get ugly, you've loved.")</f>
        <v>Very nice beautiful and not get ugly, you've loved.</v>
      </c>
    </row>
    <row r="23">
      <c r="A23" s="1">
        <v>5.0</v>
      </c>
      <c r="B23" s="1" t="s">
        <v>24</v>
      </c>
      <c r="C23" t="str">
        <f>IFERROR(__xludf.DUMMYFUNCTION("GOOGLETRANSLATE(B23, ""es"", ""en"")"),"Terrific great")</f>
        <v>Terrific great</v>
      </c>
    </row>
    <row r="24">
      <c r="A24" s="1">
        <v>5.0</v>
      </c>
      <c r="B24" s="1" t="s">
        <v>25</v>
      </c>
      <c r="C24" t="str">
        <f>IFERROR(__xludf.DUMMYFUNCTION("GOOGLETRANSLATE(B24, ""es"", ""en"")"),"Well I bought for a gift and loved it. For the price it does not seem bad quality. Asique a good buy.")</f>
        <v>Well I bought for a gift and loved it. For the price it does not seem bad quality. Asique a good buy.</v>
      </c>
    </row>
    <row r="25">
      <c r="A25" s="1">
        <v>2.0</v>
      </c>
      <c r="B25" s="1" t="s">
        <v>26</v>
      </c>
      <c r="C25" t="str">
        <f>IFERROR(__xludf.DUMMYFUNCTION("GOOGLETRANSLATE(B25, ""es"", ""en"")"),"I'll post the non regalare seem good quality but too tight on the part of the instep ...")</f>
        <v>I'll post the non regalare seem good quality but too tight on the part of the instep ...</v>
      </c>
    </row>
    <row r="26">
      <c r="A26" s="1">
        <v>3.0</v>
      </c>
      <c r="B26" s="1" t="s">
        <v>27</v>
      </c>
      <c r="C26" t="str">
        <f>IFERROR(__xludf.DUMMYFUNCTION("GOOGLETRANSLATE(B26, ""es"", ""en"")"),"A good micro for the few demanding is a micro good but try the see that's not what I'm looking, perhaps a superior model for my taste would be better. If you want to record home videos it is perfect, but in my case for Youtube does not meet the expectatio"&amp;"ns.")</f>
        <v>A good micro for the few demanding is a micro good but try the see that's not what I'm looking, perhaps a superior model for my taste would be better. If you want to record home videos it is perfect, but in my case for Youtube does not meet the expectations.</v>
      </c>
    </row>
    <row r="27">
      <c r="A27" s="1">
        <v>1.0</v>
      </c>
      <c r="B27" s="1" t="s">
        <v>28</v>
      </c>
      <c r="C27" t="str">
        <f>IFERROR(__xludf.DUMMYFUNCTION("GOOGLETRANSLATE(B27, ""es"", ""en"")"),"Lijeras are nice but are not I use when you walk make much noise and bother")</f>
        <v>Lijeras are nice but are not I use when you walk make much noise and bother</v>
      </c>
    </row>
    <row r="28">
      <c r="A28" s="1">
        <v>4.0</v>
      </c>
      <c r="B28" s="1" t="s">
        <v>29</v>
      </c>
      <c r="C28" t="str">
        <f>IFERROR(__xludf.DUMMYFUNCTION("GOOGLETRANSLATE(B28, ""es"", ""en"")"),"Good product quality. Very good support and quality. I've used it to stick a magnetic board a size somewhat greater than an A4 and has endured no problem. Highly recommended.")</f>
        <v>Good product quality. Very good support and quality. I've used it to stick a magnetic board a size somewhat greater than an A4 and has endured no problem. Highly recommended.</v>
      </c>
    </row>
    <row r="29">
      <c r="A29" s="1">
        <v>4.0</v>
      </c>
      <c r="B29" s="1" t="s">
        <v>30</v>
      </c>
      <c r="C29" t="str">
        <f>IFERROR(__xludf.DUMMYFUNCTION("GOOGLETRANSLATE(B29, ""es"", ""en"")"),"great value for money")</f>
        <v>great value for money</v>
      </c>
    </row>
    <row r="30">
      <c r="A30" s="1">
        <v>4.0</v>
      </c>
      <c r="B30" s="1" t="s">
        <v>31</v>
      </c>
      <c r="C30" t="str">
        <f>IFERROR(__xludf.DUMMYFUNCTION("GOOGLETRANSLATE(B30, ""es"", ""en"")"),"Nice fine silver pendant chain medium length. Simple and very combinable. The moment has not been blackened or other defects have appeared. Magnificent price with super-discount!")</f>
        <v>Nice fine silver pendant chain medium length. Simple and very combinable. The moment has not been blackened or other defects have appeared. Magnificent price with super-discount!</v>
      </c>
    </row>
    <row r="31">
      <c r="A31" s="1">
        <v>4.0</v>
      </c>
      <c r="B31" s="1" t="s">
        <v>32</v>
      </c>
      <c r="C31" t="str">
        <f>IFERROR(__xludf.DUMMYFUNCTION("GOOGLETRANSLATE(B31, ""es"", ""en"")"),"A clock recommended recommended size and strap very similar to the known f 91 lifetime. A little chubby what it is still the clock but almost equal size. I like it because it shows the day and month, its price is excellent for what it offers quality watch"&amp;" Casio, the straps approx. two years are broken and not worth buying one for the price so I decided to try this model.")</f>
        <v>A clock recommended recommended size and strap very similar to the known f 91 lifetime. A little chubby what it is still the clock but almost equal size. I like it because it shows the day and month, its price is excellent for what it offers quality watch Casio, the straps approx. two years are broken and not worth buying one for the price so I decided to try this model.</v>
      </c>
    </row>
    <row r="32">
      <c r="A32" s="1">
        <v>5.0</v>
      </c>
      <c r="B32" s="1" t="s">
        <v>33</v>
      </c>
      <c r="C32" t="str">
        <f>IFERROR(__xludf.DUMMYFUNCTION("GOOGLETRANSLATE(B32, ""es"", ""en"")"),"phenomenal phenomenal")</f>
        <v>phenomenal phenomenal</v>
      </c>
    </row>
    <row r="33">
      <c r="A33" s="1">
        <v>5.0</v>
      </c>
      <c r="B33" s="1" t="s">
        <v>34</v>
      </c>
      <c r="C33" t="str">
        <f>IFERROR(__xludf.DUMMYFUNCTION("GOOGLETRANSLATE(B33, ""es"", ""en"")"),"Rosaio Very good better than expected and very nice the excellent price much nicer when you have it in front in the photo")</f>
        <v>Rosaio Very good better than expected and very nice the excellent price much nicer when you have it in front in the photo</v>
      </c>
    </row>
    <row r="34">
      <c r="A34" s="1">
        <v>5.0</v>
      </c>
      <c r="B34" s="1" t="s">
        <v>35</v>
      </c>
      <c r="C34" t="str">
        <f>IFERROR(__xludf.DUMMYFUNCTION("GOOGLETRANSLATE(B34, ""es"", ""en"")"),"Very nice This alarm clock is beautiful, has many shades and also carries sound radio and also relax and sleep, the alarm has many sounds and lights up when it rings Light")</f>
        <v>Very nice This alarm clock is beautiful, has many shades and also carries sound radio and also relax and sleep, the alarm has many sounds and lights up when it rings Light</v>
      </c>
    </row>
    <row r="35">
      <c r="A35" s="1">
        <v>5.0</v>
      </c>
      <c r="B35" s="1" t="s">
        <v>36</v>
      </c>
      <c r="C35" t="str">
        <f>IFERROR(__xludf.DUMMYFUNCTION("GOOGLETRANSLATE(B35, ""es"", ""en"")"),"Size size, space")</f>
        <v>Size size, space</v>
      </c>
    </row>
    <row r="36">
      <c r="A36" s="1">
        <v>5.0</v>
      </c>
      <c r="B36" s="1" t="s">
        <v>37</v>
      </c>
      <c r="C36" t="str">
        <f>IFERROR(__xludf.DUMMYFUNCTION("GOOGLETRANSLATE(B36, ""es"", ""en"")"),"Easy to connect good sound, good sound. Are perfect for day to day may not be the best but money are very good recommend it.")</f>
        <v>Easy to connect good sound, good sound. Are perfect for day to day may not be the best but money are very good recommend it.</v>
      </c>
    </row>
    <row r="37">
      <c r="A37" s="1">
        <v>5.0</v>
      </c>
      <c r="B37" s="1" t="s">
        <v>38</v>
      </c>
      <c r="C37" t="str">
        <f>IFERROR(__xludf.DUMMYFUNCTION("GOOGLETRANSLATE(B37, ""es"", ""en"")"),"Hi-tec boots Comfortable, warm and very light. Better than I expected even with earlier ones of the same brand")</f>
        <v>Hi-tec boots Comfortable, warm and very light. Better than I expected even with earlier ones of the same brand</v>
      </c>
    </row>
    <row r="38">
      <c r="A38" s="1">
        <v>5.0</v>
      </c>
      <c r="B38" s="1" t="s">
        <v>39</v>
      </c>
      <c r="C38" t="str">
        <f>IFERROR(__xludf.DUMMYFUNCTION("GOOGLETRANSLATE(B38, ""es"", ""en"")"),"Practical came fast is good price is what I expected. I recommend it")</f>
        <v>Practical came fast is good price is what I expected. I recommend it</v>
      </c>
    </row>
    <row r="39">
      <c r="A39" s="1">
        <v>5.0</v>
      </c>
      <c r="B39" s="1" t="s">
        <v>40</v>
      </c>
      <c r="C39" t="str">
        <f>IFERROR(__xludf.DUMMYFUNCTION("GOOGLETRANSLATE(B39, ""es"", ""en"")"),"Util A little slow, but heated well")</f>
        <v>Util A little slow, but heated well</v>
      </c>
    </row>
    <row r="40">
      <c r="A40" s="1">
        <v>5.0</v>
      </c>
      <c r="B40" s="1" t="s">
        <v>41</v>
      </c>
      <c r="C40" t="str">
        <f>IFERROR(__xludf.DUMMYFUNCTION("GOOGLETRANSLATE(B40, ""es"", ""en"")"),"Very fast delivery what I expected")</f>
        <v>Very fast delivery what I expected</v>
      </c>
    </row>
    <row r="41">
      <c r="A41" s="1">
        <v>5.0</v>
      </c>
      <c r="B41" s="1" t="s">
        <v>42</v>
      </c>
      <c r="C41" t="str">
        <f>IFERROR(__xludf.DUMMYFUNCTION("GOOGLETRANSLATE(B41, ""es"", ""en"")"),"Well well")</f>
        <v>Well well</v>
      </c>
    </row>
    <row r="42">
      <c r="A42" s="1">
        <v>5.0</v>
      </c>
      <c r="B42" s="1" t="s">
        <v>43</v>
      </c>
      <c r="C42" t="str">
        <f>IFERROR(__xludf.DUMMYFUNCTION("GOOGLETRANSLATE(B42, ""es"", ""en"")"),"practice is beautiful and very beautiful, very elegant, simple, small and very fast. Perfect for heating water to a liter, I use it to boil water for cooking. highly recommended")</f>
        <v>practice is beautiful and very beautiful, very elegant, simple, small and very fast. Perfect for heating water to a liter, I use it to boil water for cooking. highly recommended</v>
      </c>
    </row>
    <row r="43">
      <c r="A43" s="1">
        <v>5.0</v>
      </c>
      <c r="B43" s="1" t="s">
        <v>44</v>
      </c>
      <c r="C43" t="str">
        <f>IFERROR(__xludf.DUMMYFUNCTION("GOOGLETRANSLATE(B43, ""es"", ""en"")"),"Very good baby bottle I bought my baby and was the most used, I bought it because I had given phillips heater that goes with these bottles. The only thing I think they are a bit pricey")</f>
        <v>Very good baby bottle I bought my baby and was the most used, I bought it because I had given phillips heater that goes with these bottles. The only thing I think they are a bit pricey</v>
      </c>
    </row>
    <row r="44">
      <c r="A44" s="1">
        <v>5.0</v>
      </c>
      <c r="B44" s="1" t="s">
        <v>45</v>
      </c>
      <c r="C44" t="str">
        <f>IFERROR(__xludf.DUMMYFUNCTION("GOOGLETRANSLATE(B44, ""es"", ""en"")"),"I'm very comfortable super-encandado, I usually go running and what I value most is the convenience of the product and especially the sides and rear pockets.")</f>
        <v>I'm very comfortable super-encandado, I usually go running and what I value most is the convenience of the product and especially the sides and rear pockets.</v>
      </c>
    </row>
    <row r="45">
      <c r="A45" s="1">
        <v>5.0</v>
      </c>
      <c r="B45" s="1" t="s">
        <v>46</v>
      </c>
      <c r="C45" t="str">
        <f>IFERROR(__xludf.DUMMYFUNCTION("GOOGLETRANSLATE(B45, ""es"", ""en"")"),"One last top sneakers. In every sense. Value all. They are super soft comfortable. I love.")</f>
        <v>One last top sneakers. In every sense. Value all. They are super soft comfortable. I love.</v>
      </c>
    </row>
    <row r="46">
      <c r="A46" s="1">
        <v>5.0</v>
      </c>
      <c r="B46" s="1" t="s">
        <v>47</v>
      </c>
      <c r="C46" t="str">
        <f>IFERROR(__xludf.DUMMYFUNCTION("GOOGLETRANSLATE(B46, ""es"", ""en"")"),"Good safety shoes the most comfortable I've ever had, very light and very well resist")</f>
        <v>Good safety shoes the most comfortable I've ever had, very light and very well resist</v>
      </c>
    </row>
    <row r="47">
      <c r="A47" s="1">
        <v>5.0</v>
      </c>
      <c r="B47" s="1" t="s">
        <v>48</v>
      </c>
      <c r="C47" t="str">
        <f>IFERROR(__xludf.DUMMYFUNCTION("GOOGLETRANSLATE(B47, ""es"", ""en"")"),"Very good very good")</f>
        <v>Very good very good</v>
      </c>
    </row>
    <row r="48">
      <c r="A48" s="1">
        <v>5.0</v>
      </c>
      <c r="B48" s="1" t="s">
        <v>49</v>
      </c>
      <c r="C48" t="str">
        <f>IFERROR(__xludf.DUMMYFUNCTION("GOOGLETRANSLATE(B48, ""es"", ""en"")"),"I love everything he is precious ... his lines, curves, content size, the frame that surrounds the screen that looks like a silky mystery ... what ... ahh siiiii his touch !!!!, I love it!")</f>
        <v>I love everything he is precious ... his lines, curves, content size, the frame that surrounds the screen that looks like a silky mystery ... what ... ahh siiiii his touch !!!!, I love it!</v>
      </c>
    </row>
    <row r="49">
      <c r="A49" s="1">
        <v>5.0</v>
      </c>
      <c r="B49" s="1" t="s">
        <v>50</v>
      </c>
      <c r="C49" t="str">
        <f>IFERROR(__xludf.DUMMYFUNCTION("GOOGLETRANSLATE(B49, ""es"", ""en"")"),"Good easy drive to install, and so far, excellent performance. Good product. I received quick and installed faster. So far it works very well.")</f>
        <v>Good easy drive to install, and so far, excellent performance. Good product. I received quick and installed faster. So far it works very well.</v>
      </c>
    </row>
    <row r="50">
      <c r="A50" s="1">
        <v>5.0</v>
      </c>
      <c r="B50" s="1" t="s">
        <v>51</v>
      </c>
      <c r="C50" t="str">
        <f>IFERROR(__xludf.DUMMYFUNCTION("GOOGLETRANSLATE(B50, ""es"", ""en"")"),"Excellent quality assurance Bosch grinder with a very good value. I have used for some fruit snacks and cookies, and I'm very happy with the result. I also used the cream whipper disk mounted and mounted in seconds with very good consistency. The Bosch br"&amp;"and is of excellent quality.")</f>
        <v>Excellent quality assurance Bosch grinder with a very good value. I have used for some fruit snacks and cookies, and I'm very happy with the result. I also used the cream whipper disk mounted and mounted in seconds with very good consistency. The Bosch brand is of excellent quality.</v>
      </c>
    </row>
    <row r="51">
      <c r="A51" s="1">
        <v>2.0</v>
      </c>
      <c r="B51" s="1" t="s">
        <v>52</v>
      </c>
      <c r="C51" t="str">
        <f>IFERROR(__xludf.DUMMYFUNCTION("GOOGLETRANSLATE(B51, ""es"", ""en"")"),"Received Left Right Web Product announced that differs significantly from the original Made in China puts outside cheap leather package and untreated matte Worked crudely. Thank you")</f>
        <v>Received Left Right Web Product announced that differs significantly from the original Made in China puts outside cheap leather package and untreated matte Worked crudely. Thank you</v>
      </c>
    </row>
    <row r="52">
      <c r="A52" s="1">
        <v>3.0</v>
      </c>
      <c r="B52" s="1" t="s">
        <v>53</v>
      </c>
      <c r="C52" t="str">
        <f>IFERROR(__xludf.DUMMYFUNCTION("GOOGLETRANSLATE(B52, ""es"", ""en"")"),"Peppermint or aniseed? ... It smells good, but not mint I want. Rather it is an aniseed odor, sweetish, maybe I was confused with the concept ...")</f>
        <v>Peppermint or aniseed? ... It smells good, but not mint I want. Rather it is an aniseed odor, sweetish, maybe I was confused with the concept ...</v>
      </c>
    </row>
    <row r="53">
      <c r="A53" s="1">
        <v>1.0</v>
      </c>
      <c r="B53" s="1" t="s">
        <v>54</v>
      </c>
      <c r="C53" t="str">
        <f>IFERROR(__xludf.DUMMYFUNCTION("GOOGLETRANSLATE(B53, ""es"", ""en"")"),"Has not yet reached such is not")</f>
        <v>Has not yet reached such is not</v>
      </c>
    </row>
    <row r="54">
      <c r="A54" s="1">
        <v>4.0</v>
      </c>
      <c r="B54" s="1" t="s">
        <v>55</v>
      </c>
      <c r="C54" t="str">
        <f>IFERROR(__xludf.DUMMYFUNCTION("GOOGLETRANSLATE(B54, ""es"", ""en"")"),"Mythical casio watch a classic 80s buttons are mu duros..para see the numbers needed LUPA very good design and comfortable thought the lighting would be in blue and white like the good old casio Price design caldad- --- IS A CASIO")</f>
        <v>Mythical casio watch a classic 80s buttons are mu duros..para see the numbers needed LUPA very good design and comfortable thought the lighting would be in blue and white like the good old casio Price design caldad- --- IS A CASIO</v>
      </c>
    </row>
    <row r="55">
      <c r="A55" s="1">
        <v>4.0</v>
      </c>
      <c r="B55" s="1" t="s">
        <v>56</v>
      </c>
      <c r="C55" t="str">
        <f>IFERROR(__xludf.DUMMYFUNCTION("GOOGLETRANSLATE(B55, ""es"", ""en"")"),"Pretty good and cheap is very comfortable to use as it is light enough. It is disassembled and cleaned easily. Not the most powerful but for purees and chop some vegetables which is what we usually use goes perfectly.")</f>
        <v>Pretty good and cheap is very comfortable to use as it is light enough. It is disassembled and cleaned easily. Not the most powerful but for purees and chop some vegetables which is what we usually use goes perfectly.</v>
      </c>
    </row>
    <row r="56">
      <c r="A56" s="1">
        <v>4.0</v>
      </c>
      <c r="B56" s="1" t="s">
        <v>57</v>
      </c>
      <c r="C56" t="str">
        <f>IFERROR(__xludf.DUMMYFUNCTION("GOOGLETRANSLATE(B56, ""es"", ""en"")"),"Great price I compared prices at different stores and I came here on Amazon much better value. The use for the camera and goes perfect. I highly recommend the Kigston brand. Package Includes: 1 x Micro Memory Card 1 x Adapter")</f>
        <v>Great price I compared prices at different stores and I came here on Amazon much better value. The use for the camera and goes perfect. I highly recommend the Kigston brand. Package Includes: 1 x Micro Memory Card 1 x Adapter</v>
      </c>
    </row>
    <row r="57">
      <c r="A57" s="1">
        <v>4.0</v>
      </c>
      <c r="B57" s="1" t="s">
        <v>58</v>
      </c>
      <c r="C57" t="str">
        <f>IFERROR(__xludf.DUMMYFUNCTION("GOOGLETRANSLATE(B57, ""es"", ""en"")"),"Well I liked this windbreak, color is nice, as seen in the image. Pockets carries a cap on the neck kept lining ... in short, good product.")</f>
        <v>Well I liked this windbreak, color is nice, as seen in the image. Pockets carries a cap on the neck kept lining ... in short, good product.</v>
      </c>
    </row>
    <row r="58">
      <c r="A58" s="1">
        <v>4.0</v>
      </c>
      <c r="B58" s="1" t="s">
        <v>59</v>
      </c>
      <c r="C58" t="str">
        <f>IFERROR(__xludf.DUMMYFUNCTION("GOOGLETRANSLATE(B58, ""es"", ""en"")"),"Suckling is good")</f>
        <v>Suckling is good</v>
      </c>
    </row>
    <row r="59">
      <c r="A59" s="1">
        <v>5.0</v>
      </c>
      <c r="B59" s="1" t="s">
        <v>60</v>
      </c>
      <c r="C59" t="str">
        <f>IFERROR(__xludf.DUMMYFUNCTION("GOOGLETRANSLATE(B59, ""es"", ""en"")"),"Shoulder bag MAN bag xq loved my boy came in handy with all pockets q leads and very good price.")</f>
        <v>Shoulder bag MAN bag xq loved my boy came in handy with all pockets q leads and very good price.</v>
      </c>
    </row>
    <row r="60">
      <c r="A60" s="1">
        <v>5.0</v>
      </c>
      <c r="B60" s="1" t="s">
        <v>61</v>
      </c>
      <c r="C60" t="str">
        <f>IFERROR(__xludf.DUMMYFUNCTION("GOOGLETRANSLATE(B60, ""es"", ""en"")"),"Good value ago which it shows the description of the product if more. It's fast, cheap and as always excellent shipping, however I think for the price and the times it is better to opt for memories of 32 g onwards")</f>
        <v>Good value ago which it shows the description of the product if more. It's fast, cheap and as always excellent shipping, however I think for the price and the times it is better to opt for memories of 32 g onwards</v>
      </c>
    </row>
    <row r="61">
      <c r="A61" s="1">
        <v>5.0</v>
      </c>
      <c r="B61" s="1" t="s">
        <v>62</v>
      </c>
      <c r="C61" t="str">
        <f>IFERROR(__xludf.DUMMYFUNCTION("GOOGLETRANSLATE(B61, ""es"", ""en"")"),"Very comfortable. Comfortable and useful exercise. Very comfortable.")</f>
        <v>Very comfortable. Comfortable and useful exercise. Very comfortable.</v>
      </c>
    </row>
    <row r="62">
      <c r="A62" s="1">
        <v>5.0</v>
      </c>
      <c r="B62" s="1" t="s">
        <v>63</v>
      </c>
      <c r="C62" t="str">
        <f>IFERROR(__xludf.DUMMYFUNCTION("GOOGLETRANSLATE(B62, ""es"", ""en"")"),"The capacity and quality I liked overall")</f>
        <v>The capacity and quality I liked overall</v>
      </c>
    </row>
    <row r="63">
      <c r="A63" s="1">
        <v>5.0</v>
      </c>
      <c r="B63" s="1" t="s">
        <v>64</v>
      </c>
      <c r="C63" t="str">
        <f>IFERROR(__xludf.DUMMYFUNCTION("GOOGLETRANSLATE(B63, ""es"", ""en"")"),"All ok good blender. 700 watts at a good price")</f>
        <v>All ok good blender. 700 watts at a good price</v>
      </c>
    </row>
    <row r="64">
      <c r="A64" s="1">
        <v>5.0</v>
      </c>
      <c r="B64" s="1" t="s">
        <v>65</v>
      </c>
      <c r="C64" t="str">
        <f>IFERROR(__xludf.DUMMYFUNCTION("GOOGLETRANSLATE(B64, ""es"", ""en"")"),"Perfect value, probably the best in the market. Comfortable, exceptional quality and very good finish. Despite being a contraption, because they are not to go out with them, it shows they have a very good finish and are of good materials. Perfect if you l"&amp;"ike to listen to music at home as you ought to hear it at a great price.")</f>
        <v>Perfect value, probably the best in the market. Comfortable, exceptional quality and very good finish. Despite being a contraption, because they are not to go out with them, it shows they have a very good finish and are of good materials. Perfect if you like to listen to music at home as you ought to hear it at a great price.</v>
      </c>
    </row>
    <row r="65">
      <c r="A65" s="1">
        <v>5.0</v>
      </c>
      <c r="B65" s="1" t="s">
        <v>66</v>
      </c>
      <c r="C65" t="str">
        <f>IFERROR(__xludf.DUMMYFUNCTION("GOOGLETRANSLATE(B65, ""es"", ""en"")"),"Perfect quality price make your function perfectly good quality")</f>
        <v>Perfect quality price make your function perfectly good quality</v>
      </c>
    </row>
    <row r="66">
      <c r="A66" s="1">
        <v>5.0</v>
      </c>
      <c r="B66" s="1" t="s">
        <v>67</v>
      </c>
      <c r="C66" t="str">
        <f>IFERROR(__xludf.DUMMYFUNCTION("GOOGLETRANSLATE(B66, ""es"", ""en"")"),"Recommended recommended! I am very happy with this product, very comfortable for summer, looks good, although a little fade after several washings, I still bought several colors.")</f>
        <v>Recommended recommended! I am very happy with this product, very comfortable for summer, looks good, although a little fade after several washings, I still bought several colors.</v>
      </c>
    </row>
    <row r="67">
      <c r="A67" s="1">
        <v>5.0</v>
      </c>
      <c r="B67" s="1" t="s">
        <v>68</v>
      </c>
      <c r="C67" t="str">
        <f>IFERROR(__xludf.DUMMYFUNCTION("GOOGLETRANSLATE(B67, ""es"", ""en"")"),"Design, discreet and comfortable wireless headset with a very attractive design and very discreet. They perfect fit to the ear and comes with several adapters for different sizes of ear canal. They do not completely isolate the noise but if you notice. Th"&amp;"e sound quality is quite good and most importantly do not fall off when playing sports. Quality spectacular price. Do not wear button as such, they are tactile and easily synchronized. The only but is that the instructions are not in Castilian but in Engl"&amp;"ish, plus lots of videos to see how they work. Buy recommended.")</f>
        <v>Design, discreet and comfortable wireless headset with a very attractive design and very discreet. They perfect fit to the ear and comes with several adapters for different sizes of ear canal. They do not completely isolate the noise but if you notice. The sound quality is quite good and most importantly do not fall off when playing sports. Quality spectacular price. Do not wear button as such, they are tactile and easily synchronized. The only but is that the instructions are not in Castilian but in English, plus lots of videos to see how they work. Buy recommended.</v>
      </c>
    </row>
    <row r="68">
      <c r="A68" s="1">
        <v>5.0</v>
      </c>
      <c r="B68" s="1" t="s">
        <v>69</v>
      </c>
      <c r="C68" t="str">
        <f>IFERROR(__xludf.DUMMYFUNCTION("GOOGLETRANSLATE(B68, ""es"", ""en"")"),"They are very nice and very cool .. good .. But I would recommend for a number 42 stand up one number 43/44 .. Because Brazil is very fair and when a little bit off the pié..llegan hurt ..")</f>
        <v>They are very nice and very cool .. good .. But I would recommend for a number 42 stand up one number 43/44 .. Because Brazil is very fair and when a little bit off the pié..llegan hurt ..</v>
      </c>
    </row>
    <row r="69">
      <c r="A69" s="1">
        <v>5.0</v>
      </c>
      <c r="B69" s="1" t="s">
        <v>70</v>
      </c>
      <c r="C69" t="str">
        <f>IFERROR(__xludf.DUMMYFUNCTION("GOOGLETRANSLATE(B69, ""es"", ""en"")"),"Relaxing I've been using for a month and goes fable. I find it very relaxing and I remove the shoelaces after training. A success.")</f>
        <v>Relaxing I've been using for a month and goes fable. I find it very relaxing and I remove the shoelaces after training. A success.</v>
      </c>
    </row>
    <row r="70">
      <c r="A70" s="1">
        <v>5.0</v>
      </c>
      <c r="B70" s="1" t="s">
        <v>71</v>
      </c>
      <c r="C70" t="str">
        <f>IFERROR(__xludf.DUMMYFUNCTION("GOOGLETRANSLATE(B70, ""es"", ""en"")"),"The same function as other more expensive! I left one like it but more expensive and then I thought I would buy myself, this is cheaper and does the same function. Going very well, its rollers look like the hands of a masseur, a marvel when it changes dir"&amp;"ection and has the option to put heat I do well and I have asked another to give")</f>
        <v>The same function as other more expensive! I left one like it but more expensive and then I thought I would buy myself, this is cheaper and does the same function. Going very well, its rollers look like the hands of a masseur, a marvel when it changes direction and has the option to put heat I do well and I have asked another to give</v>
      </c>
    </row>
    <row r="71">
      <c r="A71" s="1">
        <v>5.0</v>
      </c>
      <c r="B71" s="1" t="s">
        <v>72</v>
      </c>
      <c r="C71" t="str">
        <f>IFERROR(__xludf.DUMMYFUNCTION("GOOGLETRANSLATE(B71, ""es"", ""en"")"),"Very well what is expected")</f>
        <v>Very well what is expected</v>
      </c>
    </row>
    <row r="72">
      <c r="A72" s="1">
        <v>5.0</v>
      </c>
      <c r="B72" s="1" t="s">
        <v>73</v>
      </c>
      <c r="C72" t="str">
        <f>IFERROR(__xludf.DUMMYFUNCTION("GOOGLETRANSLATE(B72, ""es"", ""en"")"),"Very good foot massage very good product, after a long day of work, I get to my very tired, I turn and foot massager is like being in the clouds, I am very happy with this purchase the truth, I recommend 100%.")</f>
        <v>Very good foot massage very good product, after a long day of work, I get to my very tired, I turn and foot massager is like being in the clouds, I am very happy with this purchase the truth, I recommend 100%.</v>
      </c>
    </row>
    <row r="73">
      <c r="A73" s="1">
        <v>5.0</v>
      </c>
      <c r="B73" s="1" t="s">
        <v>74</v>
      </c>
      <c r="C73" t="str">
        <f>IFERROR(__xludf.DUMMYFUNCTION("GOOGLETRANSLATE(B73, ""es"", ""en"")"),"Unbeatable quality for the price, compared to other more expensive headphones, nothing q envy .... The secret apart d with good sound is good sound-proof q.")</f>
        <v>Unbeatable quality for the price, compared to other more expensive headphones, nothing q envy .... The secret apart d with good sound is good sound-proof q.</v>
      </c>
    </row>
    <row r="74">
      <c r="A74" s="1">
        <v>5.0</v>
      </c>
      <c r="B74" s="1" t="s">
        <v>75</v>
      </c>
      <c r="C74" t="str">
        <f>IFERROR(__xludf.DUMMYFUNCTION("GOOGLETRANSLATE(B74, ""es"", ""en"")"),"Excellent I have lasted a year. I have put me almost every day. I washed in the washing machine and loaded. I ran the color white band")</f>
        <v>Excellent I have lasted a year. I have put me almost every day. I washed in the washing machine and loaded. I ran the color white band</v>
      </c>
    </row>
    <row r="75">
      <c r="A75" s="1">
        <v>5.0</v>
      </c>
      <c r="B75" s="1" t="s">
        <v>76</v>
      </c>
      <c r="C75" t="str">
        <f>IFERROR(__xludf.DUMMYFUNCTION("GOOGLETRANSLATE(B75, ""es"", ""en"")"),"Ideal for walking a lot. A number Elegid always less and acertaréis. Very comfortable and easy to clean. I walked all over Rome and feet with them ... better than ever. I recommend them. The extremely fast shipping.")</f>
        <v>Ideal for walking a lot. A number Elegid always less and acertaréis. Very comfortable and easy to clean. I walked all over Rome and feet with them ... better than ever. I recommend them. The extremely fast shipping.</v>
      </c>
    </row>
    <row r="76">
      <c r="A76" s="1">
        <v>5.0</v>
      </c>
      <c r="B76" s="1" t="s">
        <v>77</v>
      </c>
      <c r="C76" t="str">
        <f>IFERROR(__xludf.DUMMYFUNCTION("GOOGLETRANSLATE(B76, ""es"", ""en"")"),"more reliable first say that I am professional photographer and my works are weddings where I spend many gigas in photos. I bought the 128GB CF card to avoid having to switch between cards, so rather was for convenience. Working with an SD of 128 and is n"&amp;"ow 128 simultaneous recording, so I'm recording images on two cards at a time (for security). Use the MKIII so as many of you know, to the lower SD using the speed directly from the protocol for CF so speed was not a major factor. I've always used Pro Ext"&amp;"reme although they have many years and are UDMA 6 while this model being UDMA 7 and even without the PRO range gives a greater speed than before. Always use Sandisk because in almost 10 year career I have never had problems that the card (fingers crossed)"&amp;" is damaged. Today I will pummeling this new CF and to see how it behaves working with thousands of photos in a few hours. I bought a Flash offer for 75 €, I have not seen cheaper for now.")</f>
        <v>more reliable first say that I am professional photographer and my works are weddings where I spend many gigas in photos. I bought the 128GB CF card to avoid having to switch between cards, so rather was for convenience. Working with an SD of 128 and is now 128 simultaneous recording, so I'm recording images on two cards at a time (for security). Use the MKIII so as many of you know, to the lower SD using the speed directly from the protocol for CF so speed was not a major factor. I've always used Pro Extreme although they have many years and are UDMA 6 while this model being UDMA 7 and even without the PRO range gives a greater speed than before. Always use Sandisk because in almost 10 year career I have never had problems that the card (fingers crossed) is damaged. Today I will pummeling this new CF and to see how it behaves working with thousands of photos in a few hours. I bought a Flash offer for 75 €, I have not seen cheaper for now.</v>
      </c>
    </row>
    <row r="77">
      <c r="A77" s="1">
        <v>5.0</v>
      </c>
      <c r="B77" s="1" t="s">
        <v>78</v>
      </c>
      <c r="C77" t="str">
        <f>IFERROR(__xludf.DUMMYFUNCTION("GOOGLETRANSLATE(B77, ""es"", ""en"")"),"Perfectas a success. He had other in another color, and these have come much cheaper and I are fine.")</f>
        <v>Perfectas a success. He had other in another color, and these have come much cheaper and I are fine.</v>
      </c>
    </row>
    <row r="78">
      <c r="A78" s="1">
        <v>2.0</v>
      </c>
      <c r="B78" s="1" t="s">
        <v>79</v>
      </c>
      <c r="C78" t="str">
        <f>IFERROR(__xludf.DUMMYFUNCTION("GOOGLETRANSLATE(B78, ""es"", ""en"")"),"Replacement not recommend if for flooring because it is not due If squeezes it's okay to abuse back when squeezing but not delicate duel against water")</f>
        <v>Replacement not recommend if for flooring because it is not due If squeezes it's okay to abuse back when squeezing but not delicate duel against water</v>
      </c>
    </row>
    <row r="79">
      <c r="A79" s="1">
        <v>3.0</v>
      </c>
      <c r="B79" s="1" t="s">
        <v>80</v>
      </c>
      <c r="C79" t="str">
        <f>IFERROR(__xludf.DUMMYFUNCTION("GOOGLETRANSLATE(B79, ""es"", ""en"")"),"Acceptable punch As is fine, the only thing the indicator where to put the paper broke out a year. I lasted 3 years of daily use, which is not bad but could be better. I broke for spring wear.")</f>
        <v>Acceptable punch As is fine, the only thing the indicator where to put the paper broke out a year. I lasted 3 years of daily use, which is not bad but could be better. I broke for spring wear.</v>
      </c>
    </row>
    <row r="80">
      <c r="A80" s="1">
        <v>1.0</v>
      </c>
      <c r="B80" s="1" t="s">
        <v>81</v>
      </c>
      <c r="C80" t="str">
        <f>IFERROR(__xludf.DUMMYFUNCTION("GOOGLETRANSLATE(B80, ""es"", ""en"")"),"Not normally use size corresponds to a 38 and paste this trouser presses me very much! However I subiéndomelo + above the waist measuring 1,69 fits me of largo🤷🏻♀️")</f>
        <v>Not normally use size corresponds to a 38 and paste this trouser presses me very much! However I subiéndomelo + above the waist measuring 1,69 fits me of largo🤷🏻♀️</v>
      </c>
    </row>
    <row r="81">
      <c r="A81" s="1">
        <v>1.0</v>
      </c>
      <c r="B81" s="1" t="s">
        <v>82</v>
      </c>
      <c r="C81" t="str">
        <f>IFERROR(__xludf.DUMMYFUNCTION("GOOGLETRANSLATE(B81, ""es"", ""en"")"),"Bad experience helpful VIDAL this plate is (hopefully) a week. Quickly begins to lose water and rust plate.")</f>
        <v>Bad experience helpful VIDAL this plate is (hopefully) a week. Quickly begins to lose water and rust plate.</v>
      </c>
    </row>
    <row r="82">
      <c r="A82" s="1">
        <v>4.0</v>
      </c>
      <c r="B82" s="1" t="s">
        <v>83</v>
      </c>
      <c r="C82" t="str">
        <f>IFERROR(__xludf.DUMMYFUNCTION("GOOGLETRANSLATE(B82, ""es"", ""en"")"),"Perfect, a bit loose in the front knotted strips, have another gave a knot and hold more remains a little loose foot in the front by strips knotted, but for the rest perfect")</f>
        <v>Perfect, a bit loose in the front knotted strips, have another gave a knot and hold more remains a little loose foot in the front by strips knotted, but for the rest perfect</v>
      </c>
    </row>
    <row r="83">
      <c r="A83" s="1">
        <v>4.0</v>
      </c>
      <c r="B83" s="1" t="s">
        <v>84</v>
      </c>
      <c r="C83" t="str">
        <f>IFERROR(__xludf.DUMMYFUNCTION("GOOGLETRANSLATE(B83, ""es"", ""en"")"),"Couture brands have some seams that leave marks better circulation order one size more than usual otherwise all good")</f>
        <v>Couture brands have some seams that leave marks better circulation order one size more than usual otherwise all good</v>
      </c>
    </row>
    <row r="84">
      <c r="A84" s="1">
        <v>4.0</v>
      </c>
      <c r="B84" s="1" t="s">
        <v>85</v>
      </c>
      <c r="C84" t="str">
        <f>IFERROR(__xludf.DUMMYFUNCTION("GOOGLETRANSLATE(B84, ""es"", ""en"")"),"But with some good card but works quite well. You have put a micro sd 64 in slot 1 and 32 in slot 2. Meetings give me perfectly recognizes 87gb and PSP, the truth q is a joy to have everything you want to put on the card. The but comes in ever firing the "&amp;"PSP stays hung with black screen with the little light of the ms flashing. The restart and the second my turn me well. Also happens loading games ever. I stoy generally pretty happy with it")</f>
        <v>But with some good card but works quite well. You have put a micro sd 64 in slot 1 and 32 in slot 2. Meetings give me perfectly recognizes 87gb and PSP, the truth q is a joy to have everything you want to put on the card. The but comes in ever firing the PSP stays hung with black screen with the little light of the ms flashing. The restart and the second my turn me well. Also happens loading games ever. I stoy generally pretty happy with it</v>
      </c>
    </row>
    <row r="85">
      <c r="A85" s="1">
        <v>4.0</v>
      </c>
      <c r="B85" s="1" t="s">
        <v>86</v>
      </c>
      <c r="C85" t="str">
        <f>IFERROR(__xludf.DUMMYFUNCTION("GOOGLETRANSLATE(B85, ""es"", ""en"")"),"Fulfill their function I think they are not original, I have the originals that came with the Note 3 and there are differences but are very achieved. The original comes with a flat and more durable cable, they have round and thin wire. Hear quite well and"&amp;" as the shape of the handset and paste is the same as the Samsung they fit perfectly, I think for the price you can not ask for more. Overall, quite happy at the moment. What the duration is another story time will tell.")</f>
        <v>Fulfill their function I think they are not original, I have the originals that came with the Note 3 and there are differences but are very achieved. The original comes with a flat and more durable cable, they have round and thin wire. Hear quite well and as the shape of the handset and paste is the same as the Samsung they fit perfectly, I think for the price you can not ask for more. Overall, quite happy at the moment. What the duration is another story time will tell.</v>
      </c>
    </row>
    <row r="86">
      <c r="A86" s="1">
        <v>4.0</v>
      </c>
      <c r="B86" s="1" t="s">
        <v>87</v>
      </c>
      <c r="C86" t="str">
        <f>IFERROR(__xludf.DUMMYFUNCTION("GOOGLETRANSLATE(B86, ""es"", ""en"")"),"All good. Good product")</f>
        <v>All good. Good product</v>
      </c>
    </row>
    <row r="87">
      <c r="A87" s="1">
        <v>5.0</v>
      </c>
      <c r="B87" s="1" t="s">
        <v>88</v>
      </c>
      <c r="C87" t="str">
        <f>IFERROR(__xludf.DUMMYFUNCTION("GOOGLETRANSLATE(B87, ""es"", ""en"")"),"I've spent years wearing Converse sneakers are")</f>
        <v>I've spent years wearing Converse sneakers are</v>
      </c>
    </row>
    <row r="88">
      <c r="A88" s="1">
        <v>5.0</v>
      </c>
      <c r="B88" s="1" t="s">
        <v>89</v>
      </c>
      <c r="C88" t="str">
        <f>IFERROR(__xludf.DUMMYFUNCTION("GOOGLETRANSLATE(B88, ""es"", ""en"")"),"Well, but without laces Without laces")</f>
        <v>Well, but without laces Without laces</v>
      </c>
    </row>
    <row r="89">
      <c r="A89" s="1">
        <v>5.0</v>
      </c>
      <c r="B89" s="1" t="s">
        <v>90</v>
      </c>
      <c r="C89" t="str">
        <f>IFERROR(__xludf.DUMMYFUNCTION("GOOGLETRANSLATE(B89, ""es"", ""en"")"),"Buenisima quality and cheap quality! It is now timely.")</f>
        <v>Buenisima quality and cheap quality! It is now timely.</v>
      </c>
    </row>
    <row r="90">
      <c r="A90" s="1">
        <v>5.0</v>
      </c>
      <c r="B90" s="1" t="s">
        <v>91</v>
      </c>
      <c r="C90" t="str">
        <f>IFERROR(__xludf.DUMMYFUNCTION("GOOGLETRANSLATE(B90, ""es"", ""en"")"),"Comadas very good product, perfect light and airy")</f>
        <v>Comadas very good product, perfect light and airy</v>
      </c>
    </row>
    <row r="91">
      <c r="A91" s="1">
        <v>5.0</v>
      </c>
      <c r="B91" s="1" t="s">
        <v>92</v>
      </c>
      <c r="C91" t="str">
        <f>IFERROR(__xludf.DUMMYFUNCTION("GOOGLETRANSLATE(B91, ""es"", ""en"")"),"Shoe of comfort and aesthetics together in one. The speed and efficiency of Amazon 10.")</f>
        <v>Shoe of comfort and aesthetics together in one. The speed and efficiency of Amazon 10.</v>
      </c>
    </row>
    <row r="92">
      <c r="A92" s="1">
        <v>5.0</v>
      </c>
      <c r="B92" s="1" t="s">
        <v>93</v>
      </c>
      <c r="C92" t="str">
        <f>IFERROR(__xludf.DUMMYFUNCTION("GOOGLETRANSLATE(B92, ""es"", ""en"")"),"Perfect description the correct product")</f>
        <v>Perfect description the correct product</v>
      </c>
    </row>
    <row r="93">
      <c r="A93" s="1">
        <v>5.0</v>
      </c>
      <c r="B93" s="1" t="s">
        <v>94</v>
      </c>
      <c r="C93" t="str">
        <f>IFERROR(__xludf.DUMMYFUNCTION("GOOGLETRANSLATE(B93, ""es"", ""en"")"),"Helmets Bluetooth Buying this article was that I needed a headset to go running and get me out of the mess of wires, I arrived a couple of days and the truth is that since I opened the package I was surprised both by the presentation at the box and of cou"&amp;"rse the sound and the comfort to wear them. Connect with Bluetooth mobile only to the encerdenderlos so I see a great product value with what is offered in the market. Very good buy.")</f>
        <v>Helmets Bluetooth Buying this article was that I needed a headset to go running and get me out of the mess of wires, I arrived a couple of days and the truth is that since I opened the package I was surprised both by the presentation at the box and of course the sound and the comfort to wear them. Connect with Bluetooth mobile only to the encerdenderlos so I see a great product value with what is offered in the market. Very good buy.</v>
      </c>
    </row>
    <row r="94">
      <c r="A94" s="1">
        <v>5.0</v>
      </c>
      <c r="B94" s="1" t="s">
        <v>95</v>
      </c>
      <c r="C94" t="str">
        <f>IFERROR(__xludf.DUMMYFUNCTION("GOOGLETRANSLATE(B94, ""es"", ""en"")"),"Very good &lt;div id = ""video-block-R1KAT4SYKWFAQ2"" class = ""a-section a-spacing-small a-spacing-top mini video-block""&gt; &lt;div tabindex = ""0"" class = ""airy airy-svg vmin-supported airy-skin-beacon ""style ="" background-color: rgb (0, 0, 0) position: re"&amp;"lative; width: 100%; height: 100%; font-size: 0px; overflow: hidden; outline : none; ""&gt; &lt;div class ="" airy-renderer-container ""style ="" position: relative; height: 100%; width: 100%; ""&gt; &lt;video id ="" 15 ""preload ="" auto ""src ="" https://images-eu."&amp;"ssl-images-amazon.com/images/I/91rSXqzoMNS.mp4 ""style ="" position: absolute; left: 0px; top: 0px; overflow: hidden; height: 1px; width: 1px ; ""&gt; &lt;/ video&gt; &lt;/ div&gt; &lt;div id ="" airy-slate-preload ""style ="" background-color: rgb (0, 0, 0); background-im"&amp;"age: url (&amp; quot; https: // images-eu.ssl-images-amazon.com/images/I/71ddvnnysqS.png&amp;quot;); background-size: Contain; background-position: center center; background-repeat: no-repeat; position: absolute; top: 0px ; left: 0px; visibility: visible; width: "&amp;"100%; height: 100%; ""&gt; &lt;/ div&gt; &lt;iframe scrolling ="" no ""f rameborder = ""0"" src = ""about: blank"" style = ""display: none;""&gt; &lt;/ iframe&gt; &lt;div tabindex = ""- 1"" class = ""airy-controls-container"" style = ""opacity: 0; visibility: hidden; ""&gt; &lt;div ta"&amp;"bindex ="" - 1 ""class ="" airy-screen-size-toggle airy-fullscreen ""&gt; &lt;/ div&gt; &lt;div tabindex ="" - 1 ""class ="" airy-container-bottom "" &gt; &lt;div tabindex = ""- 1"" class = ""airy-track-bar-spacer-left"" style = ""width: 11px;""&gt; &lt;/ div&gt; &lt;div tabindex = """&amp;"- 1"" class = ""airy-play- airy toggle-play ""style ="" width: 12px; margin-right: 12px; ""&gt; &lt;/ div&gt; &lt;div tabindex ="" - 1 ""class ="" airy-audio-elements ""style ="" float: right; width: 34px; ""&gt; &lt;div tabindex ="" - 1 ""class ="" airy-audio-toggle airy-"&amp;"on ""&gt; &lt;/ div&gt; &lt;div tabindex ="" - 1 ""class ="" airy-audio-container ""style = ""opacity: 0; visibility: hidden; ""&gt; &lt;div tabindex ="" - 1 ""class ="" airy-audio-track-bar ""style ="" height: 80%; ""&gt; &lt;div tabindex ="" - 1 ""class ="" airy-audio- Scrubbe"&amp;"r-bar ""style ="" height: 85%; ""&gt; &lt;/ div&gt; &lt;div tabindex ="" - 1 ""class ="" airy-audio-scrubber ""style ="" height: 12px; bottom 85% ""&gt; &lt;/ div&gt; &lt;/ div&gt; &lt;/ div&gt; &lt;/ div&gt; &lt;div tabindex ="" - 1 ""class ="" airy-duration-label ""style ="" float: right; width"&amp;": 26px; margin-right: 4px; text-align: center; ""&gt; 0:00 &lt;/ div&gt; &lt;div tabindex ="" - 1 ""class ="" airy-track-bar-spacer-right ""style ="" float: right; width: 11px; ""&gt; &lt;/ div&gt; &lt;div tabindex ="" - 1 ""class ="" airy-track-bar-container ""style ="" margin-"&amp;"left: 35px; margin-right: 75px; ""&gt; &lt;div tabindex ="" - 1 ""class ="" airy-airy-track-bar vertically-centering-table ""&gt; &lt;div tabindex ="" - 1 ""class ="" airy-Vertical-centering- table-cell ""&gt; &lt;div tabindex ="" - 1 ""class ="" airy-track-bar-elements """&amp;"&gt; &lt;div tabindex ="" - 1 ""class ="" airy-progress-bar ""&gt; &lt;/ div&gt; &lt;div tabindex = ""- 1"" class = ""airy-scrubber-bar""&gt; &lt;/ div&gt; &lt;div tabindex = ""- 1"" class = ""airy-scrubber""&gt; &lt;div tabindex = ""- 1"" class = ""airy-scrubber- icon ""&gt; &lt;/ div&gt; &lt;div tabi"&amp;"ndex ="" - 1 ""class ="" airy-adjusted-AUI-tooltip ""style ="" opacity: 0; visibility: hidden; ""&gt; &lt;div tabindex ="" - 1 ""class ="" airy-adjusted-aui-tooltip-inner ""&gt; &lt;div tabindex ="" - 1 ""class ="" airy-current-time-label ""&gt; 0: 00 &lt;/ div&gt; &lt;/ div&gt; &lt;d"&amp;"iv tabindex = ""- 1"" class = ""airy-adjusted-AUI-arrow-border""&gt; &lt;div tabindex = ""- 1"" class = ""airy-adjusted-AUI-arrow"" &gt; &lt;/ div&gt; &lt;/ div&gt; &lt;/ div&gt; &lt;/ div&gt; &lt;/ div&gt; &lt;/ div&gt; &lt;/ div&gt; &lt;/ div&gt; &lt;/ div&gt; &lt;/ div&gt; &lt;div tabindex = ""- 1"" class = ""airy-age-gate"&amp;" airy-stage airy-Vertical-centering-table airy-dialog"" style = ""opacity: 0; visibility: hidden; ""&gt; &lt;div tabindex ="" - 1 ""class ="" airy-age-gate-Vertical-centering-table-cell airy-Vertical-centering-table-cell ""&gt; &lt;div tabindex ="" - 1 ""class = ""ai"&amp;"ry-Vertical-centering-wrapper airy-age-gate-elements-wrapper""&gt; &lt;div tabindex = ""- 1"" class = ""airy-age-gate-elements airy-dialog-elements""&gt; &lt;div tabindex = "" -1 ""class ="" airy-age-gate-prompt ""&gt; This video is not Intended for all audiences What d"&amp;"ate were you born &lt;/ div&gt; &lt;div tabindex =.?"" - 1 ""class ="" airy-age-gate -inputs airy-dialog-inner-elements ""&gt; &lt;select tabindex ="" - 1 ""class ="" airy-age-gate-month ""&gt; &lt;option value ="" 1 ""&gt; January &lt;/ option&gt; &lt;option value ="" 2 ""&gt; February &lt;/ "&amp;"option&gt; &lt;option value ="" 3 ""&gt; March &lt;/ option&gt; &lt;option value ="" 4 ""&gt; April &lt;/ option&gt; &lt;option value ="" 5 ""&gt; May &lt;/ option&gt; &lt;option value = ""6""&gt; June &lt;/ option&gt; &lt;option value = ""7""&gt; July &lt;/ option&gt; &lt;option value = ""8""&gt; August &lt;/ option&gt; &lt;option"&amp;" value = ""9""&gt; September &lt;/ option&gt; &lt;option value = ""10""&gt; October &lt;/ option&gt; &lt;option value = ""11""&gt; November &lt;/ option&gt; &lt;option value = ""12""&gt; December &lt;/ option&gt; &lt;/ select&gt; &lt;select tabindex = ""- 1"" class = ""airy-age-gate-day""&gt; &lt;opti on value = "&amp;"""1""&gt; 1 &lt;/ option&gt; &lt;option value = ""2""&gt; 2 &lt;/ option&gt; &lt;option value = ""3""&gt; 3 &lt;/ option&gt; &lt;option value = ""4""&gt; 4 &lt;/ option &gt; &lt;option value = ""5""&gt; 5 &lt;/ option&gt; &lt;option value = ""6""&gt; 6 &lt;/ option&gt; &lt;option value = ""7""&gt; 7 &lt;/ option&gt; &lt;option value = """&amp;"8""&gt; 8 &lt; / option&gt; &lt;option value = ""9""&gt; 9 &lt;/ option&gt; &lt;option value = ""10""&gt; 10 &lt;/ option&gt; &lt;option value = ""11""&gt; 11 &lt;/ option&gt; &lt;option value = ""12""&gt; 12 &lt;/ option&gt; &lt;option value = ""13""&gt; 13 &lt;/ option&gt; &lt;option value = ""14""&gt; 14 &lt;/ option&gt; &lt;option va"&amp;"lue = ""15""&gt; 15 &lt;/ option&gt; &lt;option value = ""16 ""&gt; 16 &lt;/ option&gt; &lt;option value ="" 17 ""&gt; 17 &lt;/ option&gt; &lt;option value ="" 18 ""&gt; 18 &lt;/ option&gt; &lt;option value ="" 19 ""&gt; 19 &lt;/ option&gt; &lt;option value = ""20""&gt; 20 &lt;/ option&gt; &lt;option value = ""21""&gt; 21 &lt;/ opt"&amp;"ion&gt; &lt;option value = ""22""&gt; 22 &lt;/ option&gt; &lt;option value = ""23""&gt; 23 &lt;/ option&gt; &lt;option value = ""24""&gt; 24 &lt;/ option&gt; &lt;option value = ""25""&gt; 25 &lt;/ option&gt; &lt;option value = ""26""&gt; 26 &lt;/ option&gt; &lt;option value = ""27""&gt; 27 &lt;/ option&gt; &lt;option value = ""28"""&amp;"&gt; 28 &lt;/ option&gt; &lt;option value = ""29""&gt; 29 &lt;/ option&gt; &lt;option value = ""30""&gt; 30 &lt;/ option&gt; &lt;option value = ""31""&gt; 31 &lt;/ option&gt; &lt;/ select&gt; &lt;select tabindex = ""- 1"" class = ""airy-age-gate-year""&gt; &lt;option value = ""2019""&gt; 2019 &lt;/ option&gt; &lt; option valu"&amp;"e = ""2018""&gt; 2018 &lt;/ option&gt; &lt;option value = ""2017""&gt; 2017 &lt;/ option&gt; &lt;option value = ""2016""&gt; ​​2016 &lt;/ option&gt; &lt;option value = ""2015""&gt; 2015 &lt;/ option &gt; &lt;option value = ""2014""&gt; 2014 &lt;/ option&gt; &lt;option value = ""2013""&gt; 2013 &lt;/ option&gt; &lt;option valu"&amp;"e = ""2012""&gt; 2012 &lt;/ option&gt; &lt;option value = ""2011""&gt; 2011 &lt; / option&gt; &lt;option value = ""2010""&gt; 2010 &lt;/ option&gt; &lt;option value = ""2009""&gt; 2009 &lt;/ option&gt; &lt;option value = ""2008""&gt; 2008 &lt;/ option&gt; &lt;option value = ""2007""&gt; 2007 &lt;/ option&gt; &lt;option value "&amp;"= ""2006""&gt; 2006 &lt;/ option&gt; &lt;option value = ""2005""&gt; 2005 &lt;/ option&gt; &lt;option value = ""2004""&gt; 2004 &lt;/ option&gt; &lt;option value = ""2003 ""&gt; 2003 &lt;/ option&gt; &lt;option value ="" 2002 ""&gt; 2002 &lt;/ option&gt; &lt;option value ="" 2001 ""&gt; 2001 &lt;/ option&gt; &lt;option value "&amp;"="" 2000 ""&gt; 2000 &lt;/ option&gt; &lt;option value = ""1999""&gt; 1999 &lt;/ option&gt; &lt;option value = ""1998""&gt; 1998 &lt;/ option&gt; &lt;option value = ""1997""&gt; 1997 &lt;/ option&gt; &lt;option value = ""1996""&gt; 1996 &lt;/ option&gt; &lt;option value = ""1995""&gt; 1995 &lt;/ option&gt; &lt;option value = "&amp;"""1994""&gt; 1994 &lt;/ option&gt; &lt;option value = ""1993""&gt; 1993 &lt;/ option&gt; &lt;option value = ""1992""&gt; 1992 &lt;/ option&gt; &lt;option value = ""1991""&gt; 1991 &lt;/ option&gt; &lt;option value = ""1990""&gt; 1990 &lt;/ option&gt; &lt;option value = "" 1989 ""&gt; 1989 &lt;/ option&gt; &lt;option value ="""&amp;" 1988 ""&gt; 1988 &lt;/ option&gt; &lt;option value ="" 1987 ""&gt; 1987 &lt;/ option&gt; &lt;option value ="" 1986 ""&gt; 1986 &lt;/ option&gt; &lt;value option = ""1985""&gt; 1985 &lt;/ option&gt; &lt;option value = ""1984""&gt; 1984 &lt;/ option&gt; &lt;option value = ""1983""&gt; 1983 &lt;/ option&gt; &lt;option value = "&amp;"""1982""&gt; 1982 &lt;/ option&gt; &lt; option value = ""1981""&gt; 1981 &lt;/ option&gt; &lt;option value = ""1980""&gt; 1980 &lt;/ option&gt; &lt;option value = ""1979""&gt; 1979 &lt;/ option&gt; &lt;option value = ""1978""&gt; 1978 &lt;/ option &gt; &lt;option value = ""1977""&gt; 1977 &lt;/ option&gt; &lt;option value = "&amp;"""1976""&gt; 1976 &lt;/ option&gt; &lt;option value = ""1975""&gt; 1975 &lt;/ option&gt; &lt;option value = ""1974""&gt; 1974 &lt; / option&gt; &lt;option value = ""1973""&gt; 1973 &lt;/ option&gt; &lt;option value = ""1972""&gt; 1972 &lt;/ option&gt; &lt;option value = ""1971""&gt; 1971 &lt;/ option&gt; &lt;option value = """&amp;"1970""&gt; 1970 &lt;/ option&gt; &lt;option value = ""1969""&gt; 1969 &lt;/ option&gt; &lt;option value = ""1968""&gt; 1968 &lt;/ option&gt; &lt;option value = ""1967""&gt; 1967 &lt;/ option&gt; &lt;option value = ""1966 ""&gt; 1966 &lt;/ option&gt; &lt;option value ="" 1965 ""&gt; 1965 &lt;/ option&gt; &lt;option value ="" 1"&amp;"964 ""&gt; 1964 &lt;/ option&gt; &lt;option value ="" 1963 ""&gt; 1963 &lt;/ option&gt; &lt;option value = ""1962""&gt; 1962 &lt;/ option&gt; &lt;option value = ""1961""&gt; 1961 &lt;/ option&gt; &lt;option value = ""1960""&gt; 1960 &lt;/ op tion&gt; &lt;option value = ""1959""&gt; 1959 &lt;/ option&gt; &lt;option value = ""1"&amp;"958""&gt; 1958 &lt;/ option&gt; &lt;option value = ""1957""&gt; 1957 &lt;/ option&gt; &lt;option value = ""1956""&gt; 1956 &lt;/ option&gt; &lt;option value = ""1955""&gt; 1955 &lt;/ option&gt; &lt;option value = ""1954""&gt; 1954 &lt;/ option&gt; &lt;option value = ""1953""&gt; 1953 &lt;/ option&gt; &lt;option value = ""1952"&amp;""" &gt; 1952 &lt;/ option&gt; &lt;option value = ""1951""&gt; 1951 &lt;/ option&gt; &lt;option value = ""1950""&gt; 1950 &lt;/ option&gt; &lt;option value = ""1949""&gt; 1949 &lt;/ option&gt; &lt;option value = "" 1948 ""&gt; 1948 &lt;/ option&gt; &lt;option value ="" 1947 ""&gt; 1947 &lt;/ option&gt; &lt;option value ="" 194"&amp;"6 ""&gt; 1946 &lt;/ option&gt; &lt;option value ="" 1945 ""&gt; 1945 &lt;/ option&gt; &lt;value option = ""1944""&gt; 1944 &lt;/ option&gt; &lt;option value = ""1943""&gt; 1943 &lt;/ option&gt; &lt;option value = ""1942""&gt; 1942 &lt;/ option&gt; &lt;option value = ""1941""&gt; 1941 &lt;/ option&gt; &lt; option value = ""194"&amp;"0""&gt; 1940 &lt;/ option&gt; &lt;option value = ""1939""&gt; 1939 &lt;/ option&gt; &lt;option value = ""1938""&gt; 1938 &lt;/ option&gt; &lt;option value = ""1937""&gt; 1937 &lt;/ option &gt; &lt;option value = ""1936""&gt; 1936 &lt;/ option&gt; &lt;option value = ""1935""&gt; 1935 &lt;/ option&gt; &lt;option value = ""1934"&amp;"""&gt; 1934 &lt;/ option&gt; &lt;option value = ""1933""&gt; 1933 &lt; / option&gt; &lt;option value = ""1932""&gt; 1932 &lt;/ option&gt; &lt;option value = ""1931""&gt; 1931 &lt;/ option&gt; &lt;option v alue = ""1930""&gt; 1930 &lt;/ option&gt; &lt;option value = ""1929""&gt; 1929 &lt;/ option&gt; &lt;option value = ""1928"&amp;"""&gt; 1928 &lt;/ option&gt; &lt;option value = ""1927""&gt; 1927 &lt;/ option&gt; &lt;option value = ""1926""&gt; 1926 &lt;/ option&gt; &lt;option value = ""1925""&gt; 1925 &lt;/ option&gt; &lt;option value = ""1924""&gt; 1924 &lt;/ option&gt; &lt;option value = ""1923""&gt; 1923 &lt;/ option&gt; &lt;option value = ""1922""&gt;"&amp;" 1922 &lt;/ option&gt; &lt;option value = ""1921""&gt; 1921 &lt;/ option&gt; &lt;option value = ""1920""&gt; 1920 &lt;/ option&gt; &lt;option value = ""1919""&gt; 1919 &lt;/ option&gt; &lt;option value = ""1918""&gt; 1918 &lt;/ option&gt; &lt;option value = ""1917""&gt; 1917 &lt;/ option&gt; &lt;option value = ""1916""&gt; 19"&amp;"16 &lt;/ option&gt; &lt;option value = ""1915"" &gt; 1915 &lt;/ option&gt; &lt;option value = ""1914""&gt; 1914 &lt;/ option&gt; &lt;option value = ""1913""&gt; 1913 &lt;/ option&gt; &lt;option value = ""1912""&gt; 1912 &lt;/ option&gt; &lt;option value = "" 1911 ""&gt; 1911 &lt;/ option&gt; &lt;option value ="" 1910 ""&gt; 1"&amp;"910 &lt;/ option&gt; &lt;option value ="" 1909 ""&gt; 1909 &lt;/ option&gt; &lt;option value ="" 1908 ""&gt; 1908 &lt;/ option&gt; &lt;value option = ""1907""&gt; 1907 &lt;/ option&gt; &lt;option value = ""1906""&gt; 1906 &lt;/ option&gt; &lt;option value = ""1905""&gt; 1905 &lt;/ option&gt; &lt;option value = ""1904""&gt; 19"&amp;"04 &lt;/ option&gt; &lt; option value = ""1903""&gt; 1903 &lt;/ option&gt; &lt;option value = ""1902""&gt; 1902 &lt;/ option&gt; &lt;option value = ""1901""&gt; 19 01 &lt;/ option&gt; &lt;option value = ""1900""&gt; 1900 &lt;/ option&gt; &lt;/ select&gt; &lt;div tabindex = ""- 1"" class = ""airy-age-gate-submit airy-"&amp;"submit-button airy airy-submit- disabled ""&gt; Submit &lt;/ div&gt; &lt;/ div&gt; &lt;/ div&gt; &lt;/ div&gt; &lt;/ div&gt; &lt;/ div&gt; &lt;div tabindex ="" - 1 ""class ="" airy-install-flash-dialog airy-stage airy -vertical-centering-table-dialog airy airy-denied ""style ="" opacity: 0; visib"&amp;"ility: hidden; ""&gt; &lt;div tabindex ="" - 1 ""class ="" airy-install-flash-Vertical-centering-table-cell airy-Vertical-centering-table-cell ""&gt; &lt;div tabindex ="" - 1 ""class = ""airy-Vertical-centering-wrapper airy-install-flash-elements-wrapper""&gt; &lt;div tabi"&amp;"ndex = ""- 1"" class = ""airy-install-flash-elements airy-dialog-elements""&gt; &lt;div tabindex = "" -1 ""class ="" airy-install-flash-prompt ""&gt; Adobe Flash Player is required to watch this video &lt;/ div&gt; &lt;div tabindex =."" - 1 ""class ="" airy-install-flash-b"&amp;"utton-wrapper airy -dialog-inner-elements ""&gt; &lt;div tabindex ="" - 1 ""class ="" airy-install-flash-button airy-button ""&gt; install Flash Player &lt;/ div&gt; &lt;/ div&gt; &lt;/ div&gt; &lt;/ div&gt; &lt;/ div&gt; &lt;/ div&gt; &lt;div tabindex = ""- 1"" class = ""airy-video-unsupported-dialog "&amp;"airy-stage airy-Vertical-centering-table airy-dialog airy-denied"" style = ""opacity: 0; visibility: hidden; ""&gt; &lt;div tabindex ="" - 1 ""class ="" airy-video-unsupported-Vertical-centering-table-cell airy-Vertical-centering-table-cell ""&gt; &lt;div tabindex ="&amp;""" - 1 ""class = ""airy-Vertical-centering-wrapper airy-video-unsupported-elements-wrapper""&gt; &lt;div tabindex = ""- 1"" class = ""airy-video-unsupported-elements airy-dialog-elements""&gt; &lt;div tabindex = "" -1 ""class ="" airy-video-unsupported-prompt ""&gt; &lt;/ "&amp;"div&gt; &lt;/ div&gt; &lt;/ div&gt; &lt;/ div&gt; &lt;/ div&gt; &lt;div tabindex ="" - 1 ""class ="" airy-loading- spinner-stage airy-stage ""&gt; &lt;div tabindex ="" - 1 ""class ="" airy-loading-spinner-Vertical-centering-table-cell airy-Vertical-centering-table-cell ""&gt; &lt;div tabindex ="""&amp;" - 1 ""class ="" airy-loading-spinner-container airy-scalable-hint-container ""&gt; &lt;div tabindex ="" - 1 ""class ="" airy-loading-spinner-dummy airy-scalable-dummy ""&gt; &lt;/ div&gt; &lt; div tabindex = ""- 1"" class = ""airy-loading-spinner airy-hint"" style = ""vis"&amp;"ibility: hidden;""&gt; &lt;/ div&gt; &lt;/ div&gt; &lt;/ div&gt; &lt;/ div&gt; &lt;div tabindex = ""- 1 ""class ="" airy-ads-screen-size-toggle airy-screen-size-toggle-fullscreen airy ""style ="" visibility: hidden; ""&gt; &lt;/ div&gt; &lt;div tabindex = ""-1"" class = ""airy-ad-prompt-container"&amp;""" style = ""visibility: hidden;""&gt; &lt;div tabindex = ""- 1"" class = ""airy-ad-prompt-Vertical-centering-table-vertically airy centering-table ""&gt; &lt;div tabindex ="" - 1 ""class ="" airy-ad-prompt-Vertical-centering-table-cell airy-Vertical-centering-table-"&amp;"cell ""&gt; &lt;div tabindex ="" - 1 ""class = ""airy-ad-prompt-label""&gt; &lt;/ div&gt; &lt;/ div&gt; &lt;/ div&gt; &lt;/ div&gt; &lt;div tabindex = ""- 1"" class = ""airy-ads-controls-container"" style = ""visibility: hidden; ""&gt; &lt;div tabindex ="" - 1 ""class ="" airy-ads-audio-toggle ai"&amp;"ry-audio-toggle airy-on ""style ="" visibility: hidden; ""&gt; &lt;/ div&gt; &lt;div tabindex ="" - 1 ""class ="" airy-time-remaining-label-container ""&gt; &lt;div tabindex ="" - 1 ""class ="" airy-time-remaining-Vertical-centering-table airy-Vertical-centering-table ""&gt; "&amp;"&lt;div tabindex = ""- 1"" class = ""airy-time-remaining-Vertical-centering-table-cell airy-Vertical-centering-table-cell""&gt; &lt;div tabindex = ""- 1"" class = ""airy-Vertical-centering-wrapper airy-time-remaining-label-wrapper ""&gt; &lt;div tabindex ="" - 1 ""class"&amp;" ="" airy-time-remaining-label ""style ="" visibility: hidden; ""&gt; &lt;/ div&gt; &lt;div tabi ndex = ""- 1"" class = ""airy-ad-skip"" style = ""visibility: hidden;""&gt; &lt;/ div&gt; &lt;div tabindex = ""- 1"" class = ""airy-ad-end"" style = ""visibility: hidden ""&gt; &lt;/ div&gt; "&amp;"&lt;/ div&gt; &lt;/ div&gt; &lt;/ div&gt; &lt;/ div&gt; &lt;div tabindex ="" - 1 ""class ="" airy-learn-more ""style ="" visibility: hidden; ""&gt; &lt;/ div&gt; &lt;/ div&gt; &lt;div tabindex = ""- 1"" class = ""airy-play-toggle-hint-stage airy-stage airy-cursor""&gt; &lt;div tabindex = ""- 1"" class = "&amp;"""airy-play -toggle-hint-Vertical-centering-table-cell airy-Vertical-centering-table-cell airy-cursor ""&gt; &lt;div tabindex ="" - 1 ""class ="" airy-play-toggle-hint-container airy-scalable- Hint-container ""&gt; &lt;div tabindex ="" - 1 ""class ="" airy-play-toggl"&amp;"e-hint-dummy airy-scalable-dummy ""&gt; &lt;/ div&gt; &lt;div tabindex ="" - 1 ""class ="" airy-play -toggle-hint hint airy-airy-play-hint ""style ="" opacity: 1; visibility: visible; ""&gt; &lt;/ div&gt; &lt;/ div&gt; &lt;/ div&gt; &lt;/ div&gt; &lt;div tabindex ="" - 1 ""class ="" airy-replay-h"&amp;"int-stage airy-stage ""style ="" visibility: hidden ; ""&gt; &lt;div tabindex ="" - 1 ""class ="" airy-replay-hint-Vertical-centering-table-cell airy-Vertical-centering-table-cell airy-cursor ""&gt; &lt;div tabindex ="" - 1 ""class = ""airy-replay-hint-container airy"&amp;"-scalable-hint-container""&gt; &lt;div tabindex = ""- 1"" class = ""airy-replay-hint-dummy airy-scalable-dummy""&gt; &lt;/ div&gt; &lt;div tabindex = ""- 1"" class = ""airy-replay-hint airy-hint""&gt; &lt;/ div&gt; &lt;/ div&gt; &lt;/ div&gt; &lt;/ div&gt; &lt;div tabindex = ""- 1"" class = ""airy-auto"&amp;"play-hint -stage airy-stage ""style ="" visibility: hidden; ""&gt; &lt;div tabindex ="" - 1 ""class ="" airy-autoplay-hint-Vertical-centering-table-cell airy-Vertical-centering-table-cell airy- cursor ""&gt; &lt;div tabindex ="" - 1 ""class ="" autoplay airy-airy-hin"&amp;"t-container-scalable-hint-container ""&gt; &lt;div tabindex ="" - 1 ""class ="" airy-autoplay-hint-dummy airy- scalable-dummy ""&gt; &lt;/ div&gt; &lt;/ div&gt; &lt;/ div&gt; &lt;/ div&gt; &lt;/ div&gt; &lt;/ div&gt; &lt;input type ="" hidden ""name ="" ""value ="" https: // images-eu .ssl-images-amazo"&amp;"n.com / images / I / 91rSXqzoMNS.mp4 ""Class ="" video-url ""&gt; &lt;input type ="" hidden ""name ="" ""value ="" https://images-eu.ssl-images-amazon.com/images/I/71ddvnnysqS.png ""class ="" video-slate-img-url ""&gt; &amp; nbsp; the hand weight is perfect, it will n"&amp;"ot be heavy, it is very powerful, it's easy, it's easy to beat the eggs. The most important thing is that the price is very affordable. Worth it")</f>
        <v>Very good &lt;div id = "video-block-R1KAT4SYKWFAQ2" class = "a-section a-spacing-small a-spacing-top mini video-block"&gt; &lt;div tabindex = "0" class = "airy airy-svg vmin-supported airy-skin-beacon "style =" background-color: rgb (0, 0, 0) position: relative; width: 100%; height: 100%; font-size: 0px; overflow: hidden; outline : none; "&gt; &lt;div class =" airy-renderer-container "style =" position: relative; height: 100%; width: 100%; "&gt; &lt;video id =" 15 "preload =" auto "src =" https://images-eu.ssl-images-amazon.com/images/I/91rSXqzoMNS.mp4 "style =" position: absolute; left: 0px; top: 0px; overflow: hidden; height: 1px; width: 1px ; "&gt; &lt;/ video&gt; &lt;/ div&gt; &lt;div id =" airy-slate-preload "style =" background-color: rgb (0, 0, 0); background-image: url (&amp; quot; https: // images-eu.ssl-images-amazon.com/images/I/71ddvnnysqS.png&amp;quot;); background-size: Contain; background-position: center center; background-repeat: no-repeat; position: absolute; top: 0px ; left: 0px; visibility: visible; width: 100%; height: 100%; "&gt; &lt;/ div&gt; &lt;iframe scrolling =" no "f rameborder = "0" src = "about: blank" style = "display: none;"&gt; &lt;/ iframe&gt; &lt;div tabindex = "- 1" class = "airy-controls-container" style = "opacity: 0; visibility: hidden; "&gt; &lt;div tabindex =" - 1 "class =" airy-screen-size-toggle airy-fullscreen "&gt; &lt;/ div&gt; &lt;div tabindex =" - 1 "class =" airy-container-bottom " &gt; &lt;div tabindex = "- 1" class = "airy-track-bar-spacer-left" style = "width: 11px;"&gt; &lt;/ div&gt; &lt;div tabindex = "- 1" class = "airy-play- airy toggle-play "style =" width: 12px; margin-right: 12px; "&gt; &lt;/ div&gt; &lt;div tabindex =" - 1 "class =" airy-audio-elements "style =" float: right; width: 34px; "&gt; &lt;div tabindex =" - 1 "class =" airy-audio-toggle airy-on "&gt; &lt;/ div&gt; &lt;div tabindex =" - 1 "class =" airy-audio-container "style = "opacity: 0; visibility: hidden; "&gt; &lt;div tabindex =" - 1 "class =" airy-audio-track-bar "style =" height: 80%; "&gt; &lt;div tabindex =" - 1 "class =" airy-audio- Scrubber-bar "style =" height: 85%; "&gt; &lt;/ div&gt; &lt;div tabindex =" - 1 "class =" airy-audio-scrubber "style =" height: 12px; bottom 85% "&gt; &lt;/ div&gt; &lt;/ div&gt; &lt;/ div&gt; &lt;/ div&gt; &lt;div tabindex =" - 1 "class =" airy-duration-label "style =" float: right; width: 26px; margin-right: 4px; text-align: center; "&gt; 0:00 &lt;/ div&gt; &lt;div tabindex =" - 1 "class =" airy-track-bar-spacer-right "style =" float: right; width: 11px; "&gt; &lt;/ div&gt; &lt;div tabindex =" - 1 "class =" airy-track-bar-container "style =" margin-left: 35px; margin-right: 75px; "&gt; &lt;div tabindex =" - 1 "class =" airy-airy-track-bar vertically-centering-table "&gt; &lt;div tabindex =" - 1 "class =" airy-Vertical-centering- table-cell "&gt; &lt;div tabindex =" - 1 "class =" airy-track-bar-elements "&gt; &lt;div tabindex =" - 1 "class =" airy-progress-bar "&gt; &lt;/ div&gt; &lt;div tabindex = "- 1" class = "airy-scrubber-bar"&gt; &lt;/ div&gt; &lt;div tabindex = "- 1" class = "airy-scrubber"&gt; &lt;div tabindex = "- 1" class = "airy-scrubber- icon "&gt; &lt;/ div&gt; &lt;div tabindex =" - 1 "class =" airy-adjusted-AUI-tooltip "style =" opacity: 0; visibility: hidden; "&gt; &lt;div tabindex =" - 1 "class =" airy-adjusted-aui-tooltip-inner "&gt; &lt;div tabindex =" - 1 "class =" airy-current-time-label "&gt; 0: 00 &lt;/ div&gt; &lt;/ div&gt; &lt;div tabindex = "- 1" class = "airy-adjusted-AUI-arrow-border"&gt; &lt;div tabindex = "- 1" class = "airy-adjusted-AUI-arrow" &gt; &lt;/ div&gt; &lt;/ div&gt; &lt;/ div&gt; &lt;/ div&gt; &lt;/ div&gt; &lt;/ div&gt; &lt;/ div&gt; &lt;/ div&gt; &lt;/ div&gt; &lt;/ div&gt; &lt;div tabindex = "- 1" class = "airy-age-gate airy-stage airy-Vertical-centering-table airy-dialog" style = "opacity: 0; visibility: hidden; "&gt; &lt;div tabindex =" - 1 "class =" airy-age-gate-Vertical-centering-table-cell airy-Vertical-centering-table-cell "&gt; &lt;div tabindex =" - 1 "class = "airy-Vertical-centering-wrapper airy-age-gate-elements-wrapper"&gt; &lt;div tabindex = "- 1" class = "airy-age-gate-elements airy-dialog-elements"&gt; &lt;div tabindex = " -1 "class =" airy-age-gate-prompt "&gt; This video is not Intended for all audiences What date were you born &lt;/ div&gt; &lt;div tabindex =.?" - 1 "class =" airy-age-gate -inputs airy-dialog-inner-elements "&gt; &lt;select tabindex =" - 1 "class =" airy-age-gate-month "&gt; &lt;option value =" 1 "&gt; January &lt;/ option&gt; &lt;option value =" 2 "&gt; February &lt;/ option&gt; &lt;option value =" 3 "&gt; March &lt;/ option&gt; &lt;option value =" 4 "&gt; April &lt;/ option&gt; &lt;option value =" 5 "&gt; May &lt;/ option&gt; &lt;option value = "6"&gt; June &lt;/ option&gt; &lt;option value = "7"&gt; July &lt;/ option&gt; &lt;option value = "8"&gt; August &lt;/ option&gt; &lt;option value = "9"&gt; September &lt;/ option&gt; &lt;option value = "10"&gt; October &lt;/ option&gt; &lt;option value = "11"&gt; November &lt;/ option&gt; &lt;option value = "12"&gt; December &lt;/ option&gt; &lt;/ select&gt; &lt;select tabindex = "- 1" class = "airy-age-gate-day"&gt; &lt;opti on value = "1"&gt; 1 &lt;/ option&gt; &lt;option value = "2"&gt; 2 &lt;/ option&gt; &lt;option value = "3"&gt; 3 &lt;/ option&gt; &lt;option value = "4"&gt; 4 &lt;/ option &gt; &lt;option value = "5"&gt; 5 &lt;/ option&gt; &lt;option value = "6"&gt; 6 &lt;/ option&gt; &lt;option value = "7"&gt; 7 &lt;/ option&gt; &lt;option value = "8"&gt; 8 &lt; / option&gt; &lt;option value = "9"&gt; 9 &lt;/ option&gt; &lt;option value = "10"&gt; 10 &lt;/ option&gt; &lt;option value = "11"&gt; 11 &lt;/ option&gt; &lt;option value = "12"&gt; 12 &lt;/ option&gt; &lt;option value = "13"&gt; 13 &lt;/ option&gt; &lt;option value = "14"&gt; 14 &lt;/ option&gt; &lt;option value = "15"&gt; 15 &lt;/ option&gt; &lt;option value = "16 "&gt; 16 &lt;/ option&gt; &lt;option value =" 17 "&gt; 17 &lt;/ option&gt; &lt;option value =" 18 "&gt; 18 &lt;/ option&gt; &lt;option value =" 19 "&gt; 19 &lt;/ option&gt; &lt;option value = "20"&gt; 20 &lt;/ option&gt; &lt;option value = "21"&gt; 21 &lt;/ option&gt; &lt;option value = "22"&gt; 22 &lt;/ option&gt; &lt;option value = "23"&gt; 23 &lt;/ option&gt; &lt;option value = "24"&gt; 24 &lt;/ option&gt; &lt;option value = "25"&gt; 25 &lt;/ option&gt; &lt;option value = "26"&gt; 26 &lt;/ option&gt; &lt;option value = "27"&gt; 27 &lt;/ option&gt; &lt;option value = "28"&gt; 28 &lt;/ option&gt; &lt;option value = "29"&gt; 29 &lt;/ option&gt; &lt;option value = "30"&gt; 30 &lt;/ option&gt; &lt;option value = "31"&gt; 31 &lt;/ option&gt; &lt;/ select&gt; &lt;select tabindex = "- 1" class = "airy-age-gate-year"&gt; &lt;option value = "2019"&gt; 2019 &lt;/ option&gt; &lt; option value = "2018"&gt; 2018 &lt;/ option&gt; &lt;option value = "2017"&gt; 2017 &lt;/ option&gt; &lt;option value = "2016"&gt; ​​2016 &lt;/ option&gt; &lt;option value = "2015"&gt; 2015 &lt;/ option &gt; &lt;option value = "2014"&gt; 2014 &lt;/ option&gt; &lt;option value = "2013"&gt; 2013 &lt;/ option&gt; &lt;option value = "2012"&gt; 2012 &lt;/ option&gt; &lt;option value = "2011"&gt; 2011 &lt; / option&gt; &lt;option value = "2010"&gt; 2010 &lt;/ option&gt; &lt;option value = "2009"&gt; 2009 &lt;/ option&gt; &lt;option value = "2008"&gt; 2008 &lt;/ option&gt; &lt;option value = "2007"&gt; 2007 &lt;/ option&gt; &lt;option value = "2006"&gt; 2006 &lt;/ option&gt; &lt;option value = "2005"&gt; 2005 &lt;/ option&gt; &lt;option value = "2004"&gt; 2004 &lt;/ option&gt; &lt;option value = "2003 "&gt; 2003 &lt;/ option&gt; &lt;option value =" 2002 "&gt; 2002 &lt;/ option&gt; &lt;option value =" 2001 "&gt; 2001 &lt;/ option&gt; &lt;option value =" 2000 "&gt; 2000 &lt;/ option&gt; &lt;option value = "1999"&gt; 1999 &lt;/ option&gt; &lt;option value = "1998"&gt; 1998 &lt;/ option&gt; &lt;option value = "1997"&gt; 1997 &lt;/ option&gt; &lt;option value = "1996"&gt; 1996 &lt;/ option&gt; &lt;option value = "1995"&gt; 1995 &lt;/ option&gt; &lt;option value = "1994"&gt; 1994 &lt;/ option&gt; &lt;option value = "1993"&gt; 1993 &lt;/ option&gt; &lt;option value = "1992"&gt; 1992 &lt;/ option&gt; &lt;option value = "1991"&gt; 1991 &lt;/ option&gt; &lt;option value = "1990"&gt; 1990 &lt;/ option&gt; &lt;option value = " 1989 "&gt; 1989 &lt;/ option&gt; &lt;option value =" 1988 "&gt; 1988 &lt;/ option&gt; &lt;option value =" 1987 "&gt; 1987 &lt;/ option&gt; &lt;option value =" 1986 "&gt; 1986 &lt;/ option&gt; &lt;value option = "1985"&gt; 1985 &lt;/ option&gt; &lt;option value = "1984"&gt; 1984 &lt;/ option&gt; &lt;option value = "1983"&gt; 1983 &lt;/ option&gt; &lt;option value = "1982"&gt; 1982 &lt;/ option&gt; &lt; option value = "1981"&gt; 1981 &lt;/ option&gt; &lt;option value = "1980"&gt; 1980 &lt;/ option&gt; &lt;option value = "1979"&gt; 1979 &lt;/ option&gt; &lt;option value = "1978"&gt; 1978 &lt;/ option &gt; &lt;option value = "1977"&gt; 1977 &lt;/ option&gt; &lt;option value = "1976"&gt; 1976 &lt;/ option&gt; &lt;option value = "1975"&gt; 1975 &lt;/ option&gt; &lt;option value = "1974"&gt; 1974 &lt; / option&gt; &lt;option value = "1973"&gt; 1973 &lt;/ option&gt; &lt;option value = "1972"&gt; 1972 &lt;/ option&gt; &lt;option value = "1971"&gt; 1971 &lt;/ option&gt; &lt;option value = "1970"&gt; 1970 &lt;/ option&gt; &lt;option value = "1969"&gt; 1969 &lt;/ option&gt; &lt;option value = "1968"&gt; 1968 &lt;/ option&gt; &lt;option value = "1967"&gt; 1967 &lt;/ option&gt; &lt;option value = "1966 "&gt; 1966 &lt;/ option&gt; &lt;option value =" 1965 "&gt; 1965 &lt;/ option&gt; &lt;option value =" 1964 "&gt; 1964 &lt;/ option&gt; &lt;option value =" 1963 "&gt; 1963 &lt;/ option&gt; &lt;option value = "1962"&gt; 1962 &lt;/ option&gt; &lt;option value = "1961"&gt; 1961 &lt;/ option&gt; &lt;option value = "1960"&gt; 1960 &lt;/ op tion&gt; &lt;option value = "1959"&gt; 1959 &lt;/ option&gt; &lt;option value = "1958"&gt; 1958 &lt;/ option&gt; &lt;option value = "1957"&gt; 1957 &lt;/ option&gt; &lt;option value = "1956"&gt; 1956 &lt;/ option&gt; &lt;option value = "1955"&gt; 1955 &lt;/ option&gt; &lt;option value = "1954"&gt; 1954 &lt;/ option&gt; &lt;option value = "1953"&gt; 1953 &lt;/ option&gt; &lt;option value = "1952" &gt; 1952 &lt;/ option&gt; &lt;option value = "1951"&gt; 1951 &lt;/ option&gt; &lt;option value = "1950"&gt; 1950 &lt;/ option&gt; &lt;option value = "1949"&gt; 1949 &lt;/ option&gt; &lt;option value = " 1948 "&gt; 1948 &lt;/ option&gt; &lt;option value =" 1947 "&gt; 1947 &lt;/ option&gt; &lt;option value =" 1946 "&gt; 1946 &lt;/ option&gt; &lt;option value =" 1945 "&gt; 1945 &lt;/ option&gt; &lt;value option = "1944"&gt; 1944 &lt;/ option&gt; &lt;option value = "1943"&gt; 1943 &lt;/ option&gt; &lt;option value = "1942"&gt; 1942 &lt;/ option&gt; &lt;option value = "1941"&gt; 1941 &lt;/ option&gt; &lt; option value = "1940"&gt; 1940 &lt;/ option&gt; &lt;option value = "1939"&gt; 1939 &lt;/ option&gt; &lt;option value = "1938"&gt; 1938 &lt;/ option&gt; &lt;option value = "1937"&gt; 1937 &lt;/ option &gt; &lt;option value = "1936"&gt; 1936 &lt;/ option&gt; &lt;option value = "1935"&gt; 1935 &lt;/ option&gt; &lt;option value = "1934"&gt; 1934 &lt;/ option&gt; &lt;option value = "1933"&gt; 1933 &lt; / option&gt; &lt;option value = "1932"&gt; 1932 &lt;/ option&gt; &lt;option value = "1931"&gt; 1931 &lt;/ option&gt; &lt;option v alue = "1930"&gt; 1930 &lt;/ option&gt; &lt;option value = "1929"&gt; 1929 &lt;/ option&gt; &lt;option value = "1928"&gt; 1928 &lt;/ option&gt; &lt;option value = "1927"&gt; 1927 &lt;/ option&gt; &lt;option value = "1926"&gt; 1926 &lt;/ option&gt; &lt;option value = "1925"&gt; 1925 &lt;/ option&gt; &lt;option value = "1924"&gt; 1924 &lt;/ option&gt; &lt;option value = "1923"&gt; 1923 &lt;/ option&gt; &lt;option value = "1922"&gt; 1922 &lt;/ option&gt; &lt;option value = "1921"&gt; 1921 &lt;/ option&gt; &lt;option value = "1920"&gt; 1920 &lt;/ option&gt; &lt;option value = "1919"&gt; 1919 &lt;/ option&gt; &lt;option value = "1918"&gt; 1918 &lt;/ option&gt; &lt;option value = "1917"&gt; 1917 &lt;/ option&gt; &lt;option value = "1916"&gt; 1916 &lt;/ option&gt; &lt;option value = "1915" &gt; 1915 &lt;/ option&gt; &lt;option value = "1914"&gt; 1914 &lt;/ option&gt; &lt;option value = "1913"&gt; 1913 &lt;/ option&gt; &lt;option value = "1912"&gt; 1912 &lt;/ option&gt; &lt;option value = " 1911 "&gt; 1911 &lt;/ option&gt; &lt;option value =" 1910 "&gt; 1910 &lt;/ option&gt; &lt;option value =" 1909 "&gt; 1909 &lt;/ option&gt; &lt;option value =" 1908 "&gt; 1908 &lt;/ option&gt; &lt;value option = "1907"&gt; 1907 &lt;/ option&gt; &lt;option value = "1906"&gt; 1906 &lt;/ option&gt; &lt;option value = "1905"&gt; 1905 &lt;/ option&gt; &lt;option value = "1904"&gt; 1904 &lt;/ option&gt; &lt; option value = "1903"&gt; 1903 &lt;/ option&gt; &lt;option value = "1902"&gt; 1902 &lt;/ option&gt; &lt;option value = "1901"&gt; 19 01 &lt;/ option&gt; &lt;option value = "1900"&gt; 1900 &lt;/ option&gt; &lt;/ select&gt; &lt;div tabindex = "- 1" class = "airy-age-gate-submit airy-submit-button airy airy-submit- disabled "&gt; Submit &lt;/ div&gt; &lt;/ div&gt; &lt;/ div&gt; &lt;/ div&gt; &lt;/ div&gt; &lt;/ div&gt; &lt;div tabindex =" - 1 "class =" airy-install-flash-dialog airy-stage airy -vertical-centering-table-dialog airy airy-denied "style =" opacity: 0; visibility: hidden; "&gt; &lt;div tabindex =" - 1 "class =" airy-install-flash-Vertical-centering-table-cell airy-Vertical-centering-table-cell "&gt; &lt;div tabindex =" - 1 "class = "airy-Vertical-centering-wrapper airy-install-flash-elements-wrapper"&gt; &lt;div tabindex = "- 1" class = "airy-install-flash-elements airy-dialog-elements"&gt; &lt;div tabindex = " -1 "class =" airy-install-flash-prompt "&gt; Adobe Flash Player is required to watch this video &lt;/ div&gt; &lt;div tabindex =." - 1 "class =" airy-install-flash-button-wrapper airy -dialog-inner-elements "&gt; &lt;div tabindex =" - 1 "class =" airy-install-flash-button airy-button "&gt; install Flash Player &lt;/ div&gt; &lt;/ div&gt; &lt;/ div&gt; &lt;/ div&gt; &lt;/ div&gt; &lt;/ div&gt; &lt;div tabindex = "- 1" class = "airy-video-unsupported-dialog airy-stage airy-Vertical-centering-table airy-dialog airy-denied" style = "opacity: 0; visibility: hidden; "&gt; &lt;div tabindex =" - 1 "class =" airy-video-unsupported-Vertical-centering-table-cell airy-Vertical-centering-table-cell "&gt; &lt;div tabindex =" - 1 "class = "airy-Vertical-centering-wrapper airy-video-unsupported-elements-wrapper"&gt; &lt;div tabindex = "- 1" class = "airy-video-unsupported-elements airy-dialog-elements"&gt; &lt;div tabindex = " -1 "class =" airy-video-unsupported-prompt "&gt; &lt;/ div&gt; &lt;/ div&gt; &lt;/ div&gt; &lt;/ div&gt; &lt;/ div&gt; &lt;div tabindex =" - 1 "class =" airy-loading- spinner-stage airy-stage "&gt; &lt;div tabindex =" - 1 "class =" airy-loading-spinner-Vertical-centering-table-cell airy-Vertical-centering-table-cell "&gt; &lt;div tabindex =" - 1 "class =" airy-loading-spinner-container airy-scalable-hint-container "&gt; &lt;div tabindex =" - 1 "class =" airy-loading-spinner-dummy airy-scalable-dummy "&gt; &lt;/ div&gt; &lt; div tabindex = "- 1" class = "airy-loading-spinner airy-hint" style = "visibility: hidden;"&gt; &lt;/ div&gt; &lt;/ div&gt; &lt;/ div&gt; &lt;/ div&gt; &lt;div tabindex = "- 1 "class =" airy-ads-screen-size-toggle airy-screen-size-toggle-fullscreen airy "style =" visibility: hidden; "&gt; &lt;/ div&gt; &lt;div tabindex = "-1" class = "airy-ad-prompt-container" style = "visibility: hidden;"&gt; &lt;div tabindex = "- 1" class = "airy-ad-prompt-Vertical-centering-table-vertically airy centering-table "&gt; &lt;div tabindex =" - 1 "class =" airy-ad-prompt-Vertical-centering-table-cell airy-Vertical-centering-table-cell "&gt; &lt;div tabindex =" - 1 "class = "airy-ad-prompt-label"&gt; &lt;/ div&gt; &lt;/ div&gt; &lt;/ div&gt; &lt;/ div&gt; &lt;div tabindex = "- 1" class = "airy-ads-controls-container" style = "visibility: hidden; "&gt; &lt;div tabindex =" - 1 "class =" airy-ads-audio-toggle airy-audio-toggle airy-on "style =" visibility: hidden; "&gt; &lt;/ div&gt; &lt;div tabindex =" - 1 "class =" airy-time-remaining-label-container "&gt; &lt;div tabindex =" - 1 "class =" airy-time-remaining-Vertical-centering-table airy-Vertical-centering-table "&gt; &lt;div tabindex = "- 1" class = "airy-time-remaining-Vertical-centering-table-cell airy-Vertical-centering-table-cell"&gt; &lt;div tabindex = "- 1" class = "airy-Vertical-centering-wrapper airy-time-remaining-label-wrapper "&gt; &lt;div tabindex =" - 1 "class =" airy-time-remaining-label "style =" visibility: hidden; "&gt; &lt;/ div&gt; &lt;div tabi ndex = "- 1" class = "airy-ad-skip" style = "visibility: hidden;"&gt; &lt;/ div&gt; &lt;div tabindex = "- 1" class = "airy-ad-end" style = "visibility: hidden "&gt; &lt;/ div&gt; &lt;/ div&gt; &lt;/ div&gt; &lt;/ div&gt; &lt;/ div&gt; &lt;div tabindex =" - 1 "class =" airy-learn-more "style =" visibility: hidden; "&gt; &lt;/ div&gt; &lt;/ div&gt; &lt;div tabindex = "- 1" class = "airy-play-toggle-hint-stage airy-stage airy-cursor"&gt; &lt;div tabindex = "- 1" class = "airy-play -toggle-hint-Vertical-centering-table-cell airy-Vertical-centering-table-cell airy-cursor "&gt; &lt;div tabindex =" - 1 "class =" airy-play-toggle-hint-container airy-scalable- Hint-container "&gt; &lt;div tabindex =" - 1 "class =" airy-play-toggle-hint-dummy airy-scalable-dummy "&gt; &lt;/ div&gt; &lt;div tabindex =" - 1 "class =" airy-play -toggle-hint hint airy-airy-play-hint "style =" opacity: 1; visibility: visible; "&gt; &lt;/ div&gt; &lt;/ div&gt; &lt;/ div&gt; &lt;/ div&gt; &lt;div tabindex =" - 1 "class =" airy-replay-hint-stage airy-stage "style =" visibility: hidden ; "&gt; &lt;div tabindex =" - 1 "class =" airy-replay-hint-Vertical-centering-table-cell airy-Vertical-centering-table-cell airy-cursor "&gt; &lt;div tabindex =" - 1 "class = "airy-replay-hint-container airy-scalable-hint-container"&gt; &lt;div tabindex = "- 1" class = "airy-replay-hint-dummy airy-scalable-dummy"&gt; &lt;/ div&gt; &lt;div tabindex = "- 1" class = "airy-replay-hint airy-hint"&gt; &lt;/ div&gt; &lt;/ div&gt; &lt;/ div&gt; &lt;/ div&gt; &lt;div tabindex = "- 1" class = "airy-autoplay-hint -stage airy-stage "style =" visibility: hidden; "&gt; &lt;div tabindex =" - 1 "class =" airy-autoplay-hint-Vertical-centering-table-cell airy-Vertical-centering-table-cell airy- cursor "&gt; &lt;div tabindex =" - 1 "class =" autoplay airy-airy-hint-container-scalable-hint-container "&gt; &lt;div tabindex =" - 1 "class =" airy-autoplay-hint-dummy airy- scalable-dummy "&gt; &lt;/ div&gt; &lt;/ div&gt; &lt;/ div&gt; &lt;/ div&gt; &lt;/ div&gt; &lt;/ div&gt; &lt;input type =" hidden "name =" "value =" https: // images-eu .ssl-images-amazon.com / images / I / 91rSXqzoMNS.mp4 "Class =" video-url "&gt; &lt;input type =" hidden "name =" "value =" https://images-eu.ssl-images-amazon.com/images/I/71ddvnnysqS.png "class =" video-slate-img-url "&gt; &amp; nbsp; the hand weight is perfect, it will not be heavy, it is very powerful, it's easy, it's easy to beat the eggs. The most important thing is that the price is very affordable. Worth it</v>
      </c>
    </row>
    <row r="95">
      <c r="A95" s="1">
        <v>5.0</v>
      </c>
      <c r="B95" s="1" t="s">
        <v>96</v>
      </c>
      <c r="C95" t="str">
        <f>IFERROR(__xludf.DUMMYFUNCTION("GOOGLETRANSLATE(B95, ""es"", ""en"")"),"Good product bought them to hide the wires at the bottom of the table and the truth that the weight of the cables will perfect the duct tape that brings, if I take some serious hits that put two to hold a large strip and the end is just taking off, but th"&amp;"at seemed to come and weighing his own good parts these have a hole in the center to put a screw so everything perfect.")</f>
        <v>Good product bought them to hide the wires at the bottom of the table and the truth that the weight of the cables will perfect the duct tape that brings, if I take some serious hits that put two to hold a large strip and the end is just taking off, but that seemed to come and weighing his own good parts these have a hole in the center to put a screw so everything perfect.</v>
      </c>
    </row>
    <row r="96">
      <c r="A96" s="1">
        <v>5.0</v>
      </c>
      <c r="B96" s="1" t="s">
        <v>97</v>
      </c>
      <c r="C96" t="str">
        <f>IFERROR(__xludf.DUMMYFUNCTION("GOOGLETRANSLATE(B96, ""es"", ""en"")"),"quality manufactured by Seagate I was torn between this and other Seagate HDD (slightly more expensive). In the receive it, see the instructions, warranty and firmware of the product indicate that Seagate really is. So pleased with purchase. He had anothe"&amp;"r album before the same but 500Gb. I have it from several years ago and zero problems.")</f>
        <v>quality manufactured by Seagate I was torn between this and other Seagate HDD (slightly more expensive). In the receive it, see the instructions, warranty and firmware of the product indicate that Seagate really is. So pleased with purchase. He had another album before the same but 500Gb. I have it from several years ago and zero problems.</v>
      </c>
    </row>
    <row r="97">
      <c r="A97" s="1">
        <v>5.0</v>
      </c>
      <c r="B97" s="1" t="s">
        <v>98</v>
      </c>
      <c r="C97" t="str">
        <f>IFERROR(__xludf.DUMMYFUNCTION("GOOGLETRANSLATE(B97, ""es"", ""en"")"),"Value Relationship perfect quality perfect weight. Has weight so not moving to the cutting zeal. Highly recommended use.")</f>
        <v>Value Relationship perfect quality perfect weight. Has weight so not moving to the cutting zeal. Highly recommended use.</v>
      </c>
    </row>
    <row r="98">
      <c r="A98" s="1">
        <v>5.0</v>
      </c>
      <c r="B98" s="1" t="s">
        <v>99</v>
      </c>
      <c r="C98" t="str">
        <f>IFERROR(__xludf.DUMMYFUNCTION("GOOGLETRANSLATE(B98, ""es"", ""en"")"),"Very happy, good product. It is quite effective, has taken up the glue that remains when we take off one adhesiva.Lo tape used in a workshop of bread and to my surprise is suitable for food use which is a permitted health product for cleaning food establi"&amp;"shments. we have used and use it without lowering lowering him with water.")</f>
        <v>Very happy, good product. It is quite effective, has taken up the glue that remains when we take off one adhesiva.Lo tape used in a workshop of bread and to my surprise is suitable for food use which is a permitted health product for cleaning food establishments. we have used and use it without lowering lowering him with water.</v>
      </c>
    </row>
    <row r="99">
      <c r="A99" s="1">
        <v>5.0</v>
      </c>
      <c r="B99" s="1" t="s">
        <v>100</v>
      </c>
      <c r="C99" t="str">
        <f>IFERROR(__xludf.DUMMYFUNCTION("GOOGLETRANSLATE(B99, ""es"", ""en"")"),"Ideal for trail. Quality, good touch and good fit for the trail.")</f>
        <v>Ideal for trail. Quality, good touch and good fit for the trail.</v>
      </c>
    </row>
    <row r="100">
      <c r="A100" s="1">
        <v>5.0</v>
      </c>
      <c r="B100" s="1" t="s">
        <v>101</v>
      </c>
      <c r="C100" t="str">
        <f>IFERROR(__xludf.DUMMYFUNCTION("GOOGLETRANSLATE(B100, ""es"", ""en"")"),"pefectos fit withstand washing and do not go pellets, are very cool and do not smell much sudarlos after buying them again")</f>
        <v>pefectos fit withstand washing and do not go pellets, are very cool and do not smell much sudarlos after buying them again</v>
      </c>
    </row>
    <row r="101">
      <c r="A101" s="1">
        <v>5.0</v>
      </c>
      <c r="B101" s="1" t="s">
        <v>102</v>
      </c>
      <c r="C101" t="str">
        <f>IFERROR(__xludf.DUMMYFUNCTION("GOOGLETRANSLATE(B101, ""es"", ""en"")"),"Perfect! beautiful")</f>
        <v>Perfect! beautiful</v>
      </c>
    </row>
    <row r="102">
      <c r="A102" s="1">
        <v>5.0</v>
      </c>
      <c r="B102" s="1" t="s">
        <v>103</v>
      </c>
      <c r="C102" t="str">
        <f>IFERROR(__xludf.DUMMYFUNCTION("GOOGLETRANSLATE(B102, ""es"", ""en"")"),"Great buy. High quality materials, does not break sweat. Good buy!")</f>
        <v>Great buy. High quality materials, does not break sweat. Good buy!</v>
      </c>
    </row>
    <row r="103">
      <c r="A103" s="1">
        <v>5.0</v>
      </c>
      <c r="B103" s="1" t="s">
        <v>104</v>
      </c>
      <c r="C103" t="str">
        <f>IFERROR(__xludf.DUMMYFUNCTION("GOOGLETRANSLATE(B103, ""es"", ""en"")"),"New Computer If you want a new computer, no need to change all the pieces that you put this SSD will notice you have a new computer. You start the PC in 5 seconds, and all applications load 10 times faster. If you install the game on this hard drive, load"&amp;" times are reduced a thousand times. Not recommended purchase necessary!")</f>
        <v>New Computer If you want a new computer, no need to change all the pieces that you put this SSD will notice you have a new computer. You start the PC in 5 seconds, and all applications load 10 times faster. If you install the game on this hard drive, load times are reduced a thousand times. Not recommended purchase necessary!</v>
      </c>
    </row>
    <row r="104">
      <c r="A104" s="1">
        <v>5.0</v>
      </c>
      <c r="B104" s="1" t="s">
        <v>105</v>
      </c>
      <c r="C104" t="str">
        <f>IFERROR(__xludf.DUMMYFUNCTION("GOOGLETRANSLATE(B104, ""es"", ""en"")"),"Very comfortable")</f>
        <v>Very comfortable</v>
      </c>
    </row>
    <row r="105">
      <c r="A105" s="1">
        <v>2.0</v>
      </c>
      <c r="B105" s="1" t="s">
        <v>106</v>
      </c>
      <c r="C105" t="str">
        <f>IFERROR(__xludf.DUMMYFUNCTION("GOOGLETRANSLATE(B105, ""es"", ""en"")"),"Massage? Meets minimum under its function. I have been somewhat disappointed, I expected a better product. If you improve your product would prove")</f>
        <v>Massage? Meets minimum under its function. I have been somewhat disappointed, I expected a better product. If you improve your product would prove</v>
      </c>
    </row>
    <row r="106">
      <c r="A106" s="1">
        <v>3.0</v>
      </c>
      <c r="B106" s="1" t="s">
        <v>107</v>
      </c>
      <c r="C106" t="str">
        <f>IFERROR(__xludf.DUMMYFUNCTION("GOOGLETRANSLATE(B106, ""es"", ""en"")"),"For those looking for a pen drive for daily is a good pen drive, I bought it because I wanted to upgrade my old 2GB DataTraveler G1. Comply properly with what is expected of a pen drive with USB 3.0 being added albeit with lower rates transfer offer. If y"&amp;"ou seek speed, this is not the one. If you seek reliability and durability 100% recommended")</f>
        <v>For those looking for a pen drive for daily is a good pen drive, I bought it because I wanted to upgrade my old 2GB DataTraveler G1. Comply properly with what is expected of a pen drive with USB 3.0 being added albeit with lower rates transfer offer. If you seek speed, this is not the one. If you seek reliability and durability 100% recommended</v>
      </c>
    </row>
    <row r="107">
      <c r="A107" s="1">
        <v>1.0</v>
      </c>
      <c r="B107" s="1" t="s">
        <v>108</v>
      </c>
      <c r="C107" t="str">
        <f>IFERROR(__xludf.DUMMYFUNCTION("GOOGLETRANSLATE(B107, ""es"", ""en"")"),"Suspense. Large glass broken axle. In less than 6 months it has broken the axis of the large glass, so it no longer serves to almost nothing, can only use the small glass. If it were not for that, I would be happy, peroooo ... SUSPENSE.")</f>
        <v>Suspense. Large glass broken axle. In less than 6 months it has broken the axis of the large glass, so it no longer serves to almost nothing, can only use the small glass. If it were not for that, I would be happy, peroooo ... SUSPENSE.</v>
      </c>
    </row>
    <row r="108">
      <c r="A108" s="1">
        <v>1.0</v>
      </c>
      <c r="B108" s="1" t="s">
        <v>109</v>
      </c>
      <c r="C108" t="str">
        <f>IFERROR(__xludf.DUMMYFUNCTION("GOOGLETRANSLATE(B108, ""es"", ""en"")"),"For me an imitation in the hand is painful endings and general appearance")</f>
        <v>For me an imitation in the hand is painful endings and general appearance</v>
      </c>
    </row>
    <row r="109">
      <c r="A109" s="1">
        <v>1.0</v>
      </c>
      <c r="B109" s="1" t="s">
        <v>110</v>
      </c>
      <c r="C109" t="str">
        <f>IFERROR(__xludf.DUMMYFUNCTION("GOOGLETRANSLATE(B109, ""es"", ""en"")"),"Plastic very bad decision very poor quality. Spend much more money in a blender ""PRO"" and you find better yields on 30 €. Bad attention to the customer, know that using poor quality plastics and excluded from the warranty. Very bad choice promise you a "&amp;"professional blender and come across a blender heap gold price. Never more.")</f>
        <v>Plastic very bad decision very poor quality. Spend much more money in a blender "PRO" and you find better yields on 30 €. Bad attention to the customer, know that using poor quality plastics and excluded from the warranty. Very bad choice promise you a professional blender and come across a blender heap gold price. Never more.</v>
      </c>
    </row>
    <row r="110">
      <c r="A110" s="1">
        <v>4.0</v>
      </c>
      <c r="B110" s="1" t="s">
        <v>111</v>
      </c>
      <c r="C110" t="str">
        <f>IFERROR(__xludf.DUMMYFUNCTION("GOOGLETRANSLATE(B110, ""es"", ""en"")"),"Casio watch Good quality and good price, the Casio brand is generally a good success, all unaware mini packing carton and is a bit poor when it comes to a gift; D")</f>
        <v>Casio watch Good quality and good price, the Casio brand is generally a good success, all unaware mini packing carton and is a bit poor when it comes to a gift; D</v>
      </c>
    </row>
    <row r="111">
      <c r="A111" s="1">
        <v>4.0</v>
      </c>
      <c r="B111" s="1" t="s">
        <v>112</v>
      </c>
      <c r="C111" t="str">
        <f>IFERROR(__xludf.DUMMYFUNCTION("GOOGLETRANSLATE(B111, ""es"", ""en"")"),"PLEASED WITH PURCHASE VERY ARE AS EXPECTED, AND CAME TO TIME DA SCKECHER LESS THAN A SIZE THAT OTHER BRANDS SLIPPERS ARE PERFECT FOR SPRING AUTUMN AND NO OTHER MODELS AS FRESH AS, FABRIC AND APPARENTLY repels water")</f>
        <v>PLEASED WITH PURCHASE VERY ARE AS EXPECTED, AND CAME TO TIME DA SCKECHER LESS THAN A SIZE THAT OTHER BRANDS SLIPPERS ARE PERFECT FOR SPRING AUTUMN AND NO OTHER MODELS AS FRESH AS, FABRIC AND APPARENTLY repels water</v>
      </c>
    </row>
    <row r="112">
      <c r="A112" s="1">
        <v>4.0</v>
      </c>
      <c r="B112" s="1" t="s">
        <v>113</v>
      </c>
      <c r="C112" t="str">
        <f>IFERROR(__xludf.DUMMYFUNCTION("GOOGLETRANSLATE(B112, ""es"", ""en"")"),"Good but .. All right, it's a nice and sturdy relog but has one drawback q can not see either the digital part because it is too light and sometimes needles plug it and you can not see the date or q is q want to see")</f>
        <v>Good but .. All right, it's a nice and sturdy relog but has one drawback q can not see either the digital part because it is too light and sometimes needles plug it and you can not see the date or q is q want to see</v>
      </c>
    </row>
    <row r="113">
      <c r="A113" s="1">
        <v>4.0</v>
      </c>
      <c r="B113" s="1" t="s">
        <v>114</v>
      </c>
      <c r="C113" t="str">
        <f>IFERROR(__xludf.DUMMYFUNCTION("GOOGLETRANSLATE(B113, ""es"", ""en"")"),"Good and price is going well")</f>
        <v>Good and price is going well</v>
      </c>
    </row>
    <row r="114">
      <c r="A114" s="1">
        <v>5.0</v>
      </c>
      <c r="B114" s="1" t="s">
        <v>115</v>
      </c>
      <c r="C114" t="str">
        <f>IFERROR(__xludf.DUMMYFUNCTION("GOOGLETRANSLATE(B114, ""es"", ""en"")"),"Joaquin I used to cut wood 8 large beams that were very black, and has performed well, it is perfect for occasional DIY.")</f>
        <v>Joaquin I used to cut wood 8 large beams that were very black, and has performed well, it is perfect for occasional DIY.</v>
      </c>
    </row>
    <row r="115">
      <c r="A115" s="1">
        <v>5.0</v>
      </c>
      <c r="B115" s="1" t="s">
        <v>116</v>
      </c>
      <c r="C115" t="str">
        <f>IFERROR(__xludf.DUMMYFUNCTION("GOOGLETRANSLATE(B115, ""es"", ""en"")"),"Great Good gift")</f>
        <v>Great Good gift</v>
      </c>
    </row>
    <row r="116">
      <c r="A116" s="1">
        <v>5.0</v>
      </c>
      <c r="B116" s="1" t="s">
        <v>117</v>
      </c>
      <c r="C116" t="str">
        <f>IFERROR(__xludf.DUMMYFUNCTION("GOOGLETRANSLATE(B116, ""es"", ""en"")"),"Vacuums Great, really good quality.")</f>
        <v>Vacuums Great, really good quality.</v>
      </c>
    </row>
    <row r="117">
      <c r="A117" s="1">
        <v>5.0</v>
      </c>
      <c r="B117" s="1" t="s">
        <v>118</v>
      </c>
      <c r="C117" t="str">
        <f>IFERROR(__xludf.DUMMYFUNCTION("GOOGLETRANSLATE(B117, ""es"", ""en"")"),"All perfect perfect all coming ahead of time")</f>
        <v>All perfect perfect all coming ahead of time</v>
      </c>
    </row>
    <row r="118">
      <c r="A118" s="1">
        <v>5.0</v>
      </c>
      <c r="B118" s="1" t="s">
        <v>119</v>
      </c>
      <c r="C118" t="str">
        <f>IFERROR(__xludf.DUMMYFUNCTION("GOOGLETRANSLATE(B118, ""es"", ""en"")"),"Excelete great, exceeded my expectations.")</f>
        <v>Excelete great, exceeded my expectations.</v>
      </c>
    </row>
    <row r="119">
      <c r="A119" s="1">
        <v>5.0</v>
      </c>
      <c r="B119" s="1" t="s">
        <v>120</v>
      </c>
      <c r="C119" t="str">
        <f>IFERROR(__xludf.DUMMYFUNCTION("GOOGLETRANSLATE(B119, ""es"", ""en"")"),"Good price works perfectly, is quick to transfer photos to the computer. I use a SLR camera and time without problems. Product highly recommended")</f>
        <v>Good price works perfectly, is quick to transfer photos to the computer. I use a SLR camera and time without problems. Product highly recommended</v>
      </c>
    </row>
    <row r="120">
      <c r="A120" s="1">
        <v>5.0</v>
      </c>
      <c r="B120" s="1" t="s">
        <v>121</v>
      </c>
      <c r="C120" t="str">
        <f>IFERROR(__xludf.DUMMYFUNCTION("GOOGLETRANSLATE(B120, ""es"", ""en"")"),"Mac pr 2013 (cylinder) is not detected, neither with nor Mojave High Sierra, a greeting.")</f>
        <v>Mac pr 2013 (cylinder) is not detected, neither with nor Mojave High Sierra, a greeting.</v>
      </c>
    </row>
    <row r="121">
      <c r="A121" s="1">
        <v>5.0</v>
      </c>
      <c r="B121" s="1" t="s">
        <v>122</v>
      </c>
      <c r="C121" t="str">
        <f>IFERROR(__xludf.DUMMYFUNCTION("GOOGLETRANSLATE(B121, ""es"", ""en"")"),"ATH-M50X Vs V-Moda M100 (Incomparables) Purchase two !! Excellent. Studio Reference helmets. If you will use to produce music forward. Sound level, precise, realistic and unexciting but with a level of detail really surprising. Subwoofers have some emphas"&amp;"is on it is appreciated if used with electronic music but not smudge or harm other frequencies. Acoustic music are amazing and are at an excellent price. They are causing some fatigue after long periods of listening because quite crowded (there are people"&amp;" who open positions left to rest in a box to soften slightly) In contrast are not the most suitable outside the scope of a study. If you want to use to prick or especially listening to electronic music then the best option is the V-Moda M100 which have a "&amp;"more exciting sound with more ""punch"" and sound more V but with a level of unparalleled quality and you can take them to their full potential even with mobile devices in addition to hardware professional. (Ni Beats or stories, are on another level) also"&amp;" I think people comparing these Audio Technica with M100 not due to hear the two together in the same conditions that are incomparable sounds for different things. It must be clear. So these helmets cost are wonderful.")</f>
        <v>ATH-M50X Vs V-Moda M100 (Incomparables) Purchase two !! Excellent. Studio Reference helmets. If you will use to produce music forward. Sound level, precise, realistic and unexciting but with a level of detail really surprising. Subwoofers have some emphasis on it is appreciated if used with electronic music but not smudge or harm other frequencies. Acoustic music are amazing and are at an excellent price. They are causing some fatigue after long periods of listening because quite crowded (there are people who open positions left to rest in a box to soften slightly) In contrast are not the most suitable outside the scope of a study. If you want to use to prick or especially listening to electronic music then the best option is the V-Moda M100 which have a more exciting sound with more "punch" and sound more V but with a level of unparalleled quality and you can take them to their full potential even with mobile devices in addition to hardware professional. (Ni Beats or stories, are on another level) also I think people comparing these Audio Technica with M100 not due to hear the two together in the same conditions that are incomparable sounds for different things. It must be clear. So these helmets cost are wonderful.</v>
      </c>
    </row>
    <row r="122">
      <c r="A122" s="1">
        <v>5.0</v>
      </c>
      <c r="B122" s="1" t="s">
        <v>123</v>
      </c>
      <c r="C122" t="str">
        <f>IFERROR(__xludf.DUMMYFUNCTION("GOOGLETRANSLATE(B122, ""es"", ""en"")"),"card or external audio interface sound sending came to me three days ago and after trying this Beringher UMC204 HD am more than satisfied because it offers for home studio very good performance more than acceptable audio for your recording own models, you"&amp;" can use both to record your music, to hear sound on your PC with speakers studio or want you plugging in headphones to avoid disturbing features 2 mono inputs to plug bass guitar or string instrument, 2 XLR walk or canonpara microphone and back has two o"&amp;"utputs xlr 4 outputs stereo RCA plug plus the phatasma connector 48 volts for condenser microphones")</f>
        <v>card or external audio interface sound sending came to me three days ago and after trying this Beringher UMC204 HD am more than satisfied because it offers for home studio very good performance more than acceptable audio for your recording own models, you can use both to record your music, to hear sound on your PC with speakers studio or want you plugging in headphones to avoid disturbing features 2 mono inputs to plug bass guitar or string instrument, 2 XLR walk or canonpara microphone and back has two outputs xlr 4 outputs stereo RCA plug plus the phatasma connector 48 volts for condenser microphones</v>
      </c>
    </row>
    <row r="123">
      <c r="A123" s="1">
        <v>5.0</v>
      </c>
      <c r="B123" s="1" t="s">
        <v>124</v>
      </c>
      <c r="C123" t="str">
        <f>IFERROR(__xludf.DUMMYFUNCTION("GOOGLETRANSLATE(B123, ""es"", ""en"")"),"positive complement. It is a perfect complement to the microphone, especially to greatly reduce street noises, focusing on the main tone of voice.")</f>
        <v>positive complement. It is a perfect complement to the microphone, especially to greatly reduce street noises, focusing on the main tone of voice.</v>
      </c>
    </row>
    <row r="124">
      <c r="A124" s="1">
        <v>5.0</v>
      </c>
      <c r="B124" s="1" t="s">
        <v>125</v>
      </c>
      <c r="C124" t="str">
        <f>IFERROR(__xludf.DUMMYFUNCTION("GOOGLETRANSLATE(B124, ""es"", ""en"")"),"Ok Ok")</f>
        <v>Ok Ok</v>
      </c>
    </row>
    <row r="125">
      <c r="A125" s="1">
        <v>5.0</v>
      </c>
      <c r="B125" s="1" t="s">
        <v>126</v>
      </c>
      <c r="C125" t="str">
        <f>IFERROR(__xludf.DUMMYFUNCTION("GOOGLETRANSLATE(B125, ""es"", ""en"")"),"Very comfortable. I recommend shipping the scheduled day. It's for my mother (83 years) with lots of osteoarthritis in hands. He said q is very comfortable. It is pleased with the forward closure. You will buy more")</f>
        <v>Very comfortable. I recommend shipping the scheduled day. It's for my mother (83 years) with lots of osteoarthritis in hands. He said q is very comfortable. It is pleased with the forward closure. You will buy more</v>
      </c>
    </row>
    <row r="126">
      <c r="A126" s="1">
        <v>5.0</v>
      </c>
      <c r="B126" s="1" t="s">
        <v>127</v>
      </c>
      <c r="C126" t="str">
        <f>IFERROR(__xludf.DUMMYFUNCTION("GOOGLETRANSLATE(B126, ""es"", ""en"")"),"Perfect finish functionality and very well compartmentalized money you straight ten")</f>
        <v>Perfect finish functionality and very well compartmentalized money you straight ten</v>
      </c>
    </row>
    <row r="127">
      <c r="A127" s="1">
        <v>5.0</v>
      </c>
      <c r="B127" s="1" t="s">
        <v>128</v>
      </c>
      <c r="C127" t="str">
        <f>IFERROR(__xludf.DUMMYFUNCTION("GOOGLETRANSLATE(B127, ""es"", ""en"")"),"So autonomous mode radio. Bluetooth headset with micro SD slot, hands-free Phone and FM radio without necesidas mobile connection ... the truth is that it offers a lot of things to a more than reasonable price. I bought them to give them to my father, alt"&amp;"hough I've used a few days before to see how they were and great. My father very contento..los buy because they carry radio and he likes listening to the radio when you go out to paint and did not want one that apretasen much or being introduced into the "&amp;"ear, he says that bother you ... these are coupled well and are subject above the ear and the back of the head / neck. To me acolan me well and my father who has the slightly larger head también..así I guess it will engage or to anyone. Just squeeze the e"&amp;"ar with what they are comfortable. As for sound quality, plenty far as atrial cuanquier hear decent. And the radio does not lose the signal, at least in the city where I live. The gift has liked a lot, so I happy with the purchase.")</f>
        <v>So autonomous mode radio. Bluetooth headset with micro SD slot, hands-free Phone and FM radio without necesidas mobile connection ... the truth is that it offers a lot of things to a more than reasonable price. I bought them to give them to my father, although I've used a few days before to see how they were and great. My father very contento..los buy because they carry radio and he likes listening to the radio when you go out to paint and did not want one that apretasen much or being introduced into the ear, he says that bother you ... these are coupled well and are subject above the ear and the back of the head / neck. To me acolan me well and my father who has the slightly larger head también..así I guess it will engage or to anyone. Just squeeze the ear with what they are comfortable. As for sound quality, plenty far as atrial cuanquier hear decent. And the radio does not lose the signal, at least in the city where I live. The gift has liked a lot, so I happy with the purchase.</v>
      </c>
    </row>
    <row r="128">
      <c r="A128" s="1">
        <v>5.0</v>
      </c>
      <c r="B128" s="1" t="s">
        <v>129</v>
      </c>
      <c r="C128" t="str">
        <f>IFERROR(__xludf.DUMMYFUNCTION("GOOGLETRANSLATE(B128, ""es"", ""en"")"),"super fast order and as I hoped you liked the speed and quality of sports")</f>
        <v>super fast order and as I hoped you liked the speed and quality of sports</v>
      </c>
    </row>
    <row r="129">
      <c r="A129" s="1">
        <v>5.0</v>
      </c>
      <c r="B129" s="1" t="s">
        <v>130</v>
      </c>
      <c r="C129" t="str">
        <f>IFERROR(__xludf.DUMMYFUNCTION("GOOGLETRANSLATE(B129, ""es"", ""en"")"),"Very practical and quality. I've had this same model in another house where he shared a room. In the move to my own I did not hesitate to buy one. It is quite large and with quality materials.")</f>
        <v>Very practical and quality. I've had this same model in another house where he shared a room. In the move to my own I did not hesitate to buy one. It is quite large and with quality materials.</v>
      </c>
    </row>
    <row r="130">
      <c r="A130" s="1">
        <v>5.0</v>
      </c>
      <c r="B130" s="1" t="s">
        <v>131</v>
      </c>
      <c r="C130" t="str">
        <f>IFERROR(__xludf.DUMMYFUNCTION("GOOGLETRANSLATE(B130, ""es"", ""en"")"),"I wanted a good command and control for presentations college and I can say I'm happy to use the least I'll meet him too well, one minute was connected and running. The pointer looks good day on the projector screen, all other functions that go well imagi"&amp;"ne also the detail of the battery included is appreciated.")</f>
        <v>I wanted a good command and control for presentations college and I can say I'm happy to use the least I'll meet him too well, one minute was connected and running. The pointer looks good day on the projector screen, all other functions that go well imagine also the detail of the battery included is appreciated.</v>
      </c>
    </row>
    <row r="131">
      <c r="A131" s="1">
        <v>5.0</v>
      </c>
      <c r="B131" s="1" t="s">
        <v>132</v>
      </c>
      <c r="C131" t="str">
        <f>IFERROR(__xludf.DUMMYFUNCTION("GOOGLETRANSLATE(B131, ""es"", ""en"")"),"Great from q q born is used, and never gave him or had colic gases. It's great!!")</f>
        <v>Great from q q born is used, and never gave him or had colic gases. It's great!!</v>
      </c>
    </row>
    <row r="132">
      <c r="A132" s="1">
        <v>5.0</v>
      </c>
      <c r="B132" s="1" t="s">
        <v>133</v>
      </c>
      <c r="C132" t="str">
        <f>IFERROR(__xludf.DUMMYFUNCTION("GOOGLETRANSLATE(B132, ""es"", ""en"")"),"year hard drive Very happy with this hard drive, we actually bought several like this, very fast both in writing and reading, considering it is a hard drive liquid.The good durability for now we'll see in a few years. If you have to buy a hard drive stora"&amp;"ge seek no other, this is perfect.")</f>
        <v>year hard drive Very happy with this hard drive, we actually bought several like this, very fast both in writing and reading, considering it is a hard drive liquid.The good durability for now we'll see in a few years. If you have to buy a hard drive storage seek no other, this is perfect.</v>
      </c>
    </row>
    <row r="133">
      <c r="A133" s="1">
        <v>2.0</v>
      </c>
      <c r="B133" s="1" t="s">
        <v>134</v>
      </c>
      <c r="C133" t="str">
        <f>IFERROR(__xludf.DUMMYFUNCTION("GOOGLETRANSLATE(B133, ""es"", ""en"")"),"Regular, low speed is a card depending for what use it will serve. Its speed recording and reading is slow for today's devices, the same mobile it warns, ditto with the recording from the computer, so if you need fast service, not your card. If you just w"&amp;"ant storage regardless of speed, then ok, good price for storage offering.")</f>
        <v>Regular, low speed is a card depending for what use it will serve. Its speed recording and reading is slow for today's devices, the same mobile it warns, ditto with the recording from the computer, so if you need fast service, not your card. If you just want storage regardless of speed, then ok, good price for storage offering.</v>
      </c>
    </row>
    <row r="134">
      <c r="A134" s="1">
        <v>3.0</v>
      </c>
      <c r="B134" s="1" t="s">
        <v>135</v>
      </c>
      <c r="C134" t="str">
        <f>IFERROR(__xludf.DUMMYFUNCTION("GOOGLETRANSLATE(B134, ""es"", ""en"")"),"Ideal I bought to try my little cogia not any bottle and this is going great.")</f>
        <v>Ideal I bought to try my little cogia not any bottle and this is going great.</v>
      </c>
    </row>
    <row r="135">
      <c r="A135" s="1">
        <v>3.0</v>
      </c>
      <c r="B135" s="1" t="s">
        <v>136</v>
      </c>
      <c r="C135" t="str">
        <f>IFERROR(__xludf.DUMMYFUNCTION("GOOGLETRANSLATE(B135, ""es"", ""en"")"),"As seen in the picture is good")</f>
        <v>As seen in the picture is good</v>
      </c>
    </row>
    <row r="136">
      <c r="A136" s="1">
        <v>1.0</v>
      </c>
      <c r="B136" s="1" t="s">
        <v>137</v>
      </c>
      <c r="C136" t="str">
        <f>IFERROR(__xludf.DUMMYFUNCTION("GOOGLETRANSLATE(B136, ""es"", ""en"")"),"worthless. interference only heard, I've tried all channels and at different sound levels. I will return.")</f>
        <v>worthless. interference only heard, I've tried all channels and at different sound levels. I will return.</v>
      </c>
    </row>
    <row r="137">
      <c r="A137" s="1">
        <v>4.0</v>
      </c>
      <c r="B137" s="1" t="s">
        <v>138</v>
      </c>
      <c r="C137" t="str">
        <f>IFERROR(__xludf.DUMMYFUNCTION("GOOGLETRANSLATE(B137, ""es"", ""en"")"),"Good quality I like to have many departments and several zippered, no I especially like the color. The intended use is to store the value we bring to the beach, for walks ...")</f>
        <v>Good quality I like to have many departments and several zippered, no I especially like the color. The intended use is to store the value we bring to the beach, for walks ...</v>
      </c>
    </row>
    <row r="138">
      <c r="A138" s="1">
        <v>4.0</v>
      </c>
      <c r="B138" s="1" t="s">
        <v>139</v>
      </c>
      <c r="C138" t="str">
        <f>IFERROR(__xludf.DUMMYFUNCTION("GOOGLETRANSLATE(B138, ""es"", ""en"")"),"Ok soap sparse but well")</f>
        <v>Ok soap sparse but well</v>
      </c>
    </row>
    <row r="139">
      <c r="A139" s="1">
        <v>4.0</v>
      </c>
      <c r="B139" s="1" t="s">
        <v>140</v>
      </c>
      <c r="C139" t="str">
        <f>IFERROR(__xludf.DUMMYFUNCTION("GOOGLETRANSLATE(B139, ""es"", ""en"")"),"It's okay! It is comfortable, although I had requested a full size.")</f>
        <v>It's okay! It is comfortable, although I had requested a full size.</v>
      </c>
    </row>
    <row r="140">
      <c r="A140" s="1">
        <v>4.0</v>
      </c>
      <c r="B140" s="1" t="s">
        <v>141</v>
      </c>
      <c r="C140" t="str">
        <f>IFERROR(__xludf.DUMMYFUNCTION("GOOGLETRANSLATE(B140, ""es"", ""en"")"),"Light and comfortable Ja had some of the same brand but with cords, so they dare to buy without. Are very light and comfortable and has a slightly glossy effect that give elegance and even a touch of zapado dress. Very happy with them ...")</f>
        <v>Light and comfortable Ja had some of the same brand but with cords, so they dare to buy without. Are very light and comfortable and has a slightly glossy effect that give elegance and even a touch of zapado dress. Very happy with them ...</v>
      </c>
    </row>
    <row r="141">
      <c r="A141" s="1">
        <v>4.0</v>
      </c>
      <c r="B141" s="1" t="s">
        <v>142</v>
      </c>
      <c r="C141" t="str">
        <f>IFERROR(__xludf.DUMMYFUNCTION("GOOGLETRANSLATE(B141, ""es"", ""en"")"),"Convenient and comfortable, simple and comfortable, not having to carry weight in his pockets. Very handy for summer, you can even wash ..")</f>
        <v>Convenient and comfortable, simple and comfortable, not having to carry weight in his pockets. Very handy for summer, you can even wash ..</v>
      </c>
    </row>
    <row r="142">
      <c r="A142" s="1">
        <v>5.0</v>
      </c>
      <c r="B142" s="1" t="s">
        <v>143</v>
      </c>
      <c r="C142" t="str">
        <f>IFERROR(__xludf.DUMMYFUNCTION("GOOGLETRANSLATE(B142, ""es"", ""en"")"),"High quality and very good sound headphones good quality and sound. They come with a hard case to protect and easily connect via Bluetooth. I use them for work for many hours and the battery holds very well. A wise buying this product")</f>
        <v>High quality and very good sound headphones good quality and sound. They come with a hard case to protect and easily connect via Bluetooth. I use them for work for many hours and the battery holds very well. A wise buying this product</v>
      </c>
    </row>
    <row r="143">
      <c r="A143" s="1">
        <v>5.0</v>
      </c>
      <c r="B143" s="1" t="s">
        <v>144</v>
      </c>
      <c r="C143" t="str">
        <f>IFERROR(__xludf.DUMMYFUNCTION("GOOGLETRANSLATE(B143, ""es"", ""en"")"),"Class 10 in all ... We found a SD Card + Adapter ""Class 10"" in all its aspects. Read rates and high writing that eliminate any delay making use of it. Accompanies the price certainly since we took a master purchase price difficult to find on market. Aft"&amp;"er months of use in a redmi Xiaomi Note 2, its performance is at the level of the first day, being able to enjoy any multimedia content without any problem or delay. Recomendadísima buy any electronic equipment that you need these small memory cards.")</f>
        <v>Class 10 in all ... We found a SD Card + Adapter "Class 10" in all its aspects. Read rates and high writing that eliminate any delay making use of it. Accompanies the price certainly since we took a master purchase price difficult to find on market. After months of use in a redmi Xiaomi Note 2, its performance is at the level of the first day, being able to enjoy any multimedia content without any problem or delay. Recomendadísima buy any electronic equipment that you need these small memory cards.</v>
      </c>
    </row>
    <row r="144">
      <c r="A144" s="1">
        <v>5.0</v>
      </c>
      <c r="B144" s="1" t="s">
        <v>145</v>
      </c>
      <c r="C144" t="str">
        <f>IFERROR(__xludf.DUMMYFUNCTION("GOOGLETRANSLATE(B144, ""es"", ""en"")"),"As expected Very good product")</f>
        <v>As expected Very good product</v>
      </c>
    </row>
    <row r="145">
      <c r="A145" s="1">
        <v>5.0</v>
      </c>
      <c r="B145" s="1" t="s">
        <v>146</v>
      </c>
      <c r="C145" t="str">
        <f>IFERROR(__xludf.DUMMYFUNCTION("GOOGLETRANSLATE(B145, ""es"", ""en"")"),"Great for milkshakes I love it, I use it for fruit smoothies and chop ice without problem. Fá yl use and clean. It is not silent.")</f>
        <v>Great for milkshakes I love it, I use it for fruit smoothies and chop ice without problem. Fá yl use and clean. It is not silent.</v>
      </c>
    </row>
    <row r="146">
      <c r="A146" s="1">
        <v>5.0</v>
      </c>
      <c r="B146" s="1" t="s">
        <v>147</v>
      </c>
      <c r="C146" t="str">
        <f>IFERROR(__xludf.DUMMYFUNCTION("GOOGLETRANSLATE(B146, ""es"", ""en"")"),"All perfect perfect all")</f>
        <v>All perfect perfect all</v>
      </c>
    </row>
    <row r="147">
      <c r="A147" s="1">
        <v>5.0</v>
      </c>
      <c r="B147" s="1" t="s">
        <v>148</v>
      </c>
      <c r="C147" t="str">
        <f>IFERROR(__xludf.DUMMYFUNCTION("GOOGLETRANSLATE(B147, ""es"", ""en"")"),"Satisfied with my purchase it is as expected. I like the way it is. It is true that the sound principle, but as ulitizando will stop making that noise. I liked it a lot.")</f>
        <v>Satisfied with my purchase it is as expected. I like the way it is. It is true that the sound principle, but as ulitizando will stop making that noise. I liked it a lot.</v>
      </c>
    </row>
    <row r="148">
      <c r="A148" s="1">
        <v>5.0</v>
      </c>
      <c r="B148" s="1" t="s">
        <v>149</v>
      </c>
      <c r="C148" t="str">
        <f>IFERROR(__xludf.DUMMYFUNCTION("GOOGLETRANSLATE(B148, ""es"", ""en"")"),"Product and attention to the customer I bought these headphones last Amazon Prime Day and I was using for about two months, very happy with them very well put up with the sport and chewing (the got really tested). I fell a few times not to place the good "&amp;"of all, but smooth and perfect. The sound quality is good thanks to a cancellation of noise made involuntarily. I've tested the microphone and it sounds pretty good, for that price well worth it. Have touch controls many functions: Stop and play music, go"&amp;" back and music / video, voice assistant, answer calls, end calls and not if I leave something else. (You can not go up and down volume). The base box gives for several hours and not have to worry much battery. The right headset can function independently"&amp;", but the left dependent on the right. And in design they are nice and do not take up much space, fit in a pocket to spare. The cargo box is inmantada, although probably more than once have to give the finger to get caught while the load. I had a problem "&amp;"with them, within two months of estarlos using the left soundpeat stopped ringing (sound only), and eventually I was the same with the right. For read luck in one of the roles of the box is 21 months warranty and contact the service to the customer, who u"&amp;"nderstood my probablema and offered refund or sending other headphones. Although he has had a problem with the headphones remain quite satisfied with the product, (although they stop working), and especially with the treatment received by the company, whi"&amp;"ch was quite sympathetic. Cheers")</f>
        <v>Product and attention to the customer I bought these headphones last Amazon Prime Day and I was using for about two months, very happy with them very well put up with the sport and chewing (the got really tested). I fell a few times not to place the good of all, but smooth and perfect. The sound quality is good thanks to a cancellation of noise made involuntarily. I've tested the microphone and it sounds pretty good, for that price well worth it. Have touch controls many functions: Stop and play music, go back and music / video, voice assistant, answer calls, end calls and not if I leave something else. (You can not go up and down volume). The base box gives for several hours and not have to worry much battery. The right headset can function independently, but the left dependent on the right. And in design they are nice and do not take up much space, fit in a pocket to spare. The cargo box is inmantada, although probably more than once have to give the finger to get caught while the load. I had a problem with them, within two months of estarlos using the left soundpeat stopped ringing (sound only), and eventually I was the same with the right. For read luck in one of the roles of the box is 21 months warranty and contact the service to the customer, who understood my probablema and offered refund or sending other headphones. Although he has had a problem with the headphones remain quite satisfied with the product, (although they stop working), and especially with the treatment received by the company, which was quite sympathetic. Cheers</v>
      </c>
    </row>
    <row r="149">
      <c r="A149" s="1">
        <v>5.0</v>
      </c>
      <c r="B149" s="1" t="s">
        <v>150</v>
      </c>
      <c r="C149" t="str">
        <f>IFERROR(__xludf.DUMMYFUNCTION("GOOGLETRANSLATE(B149, ""es"", ""en"")"),"Exclente clock was looking for a watch of a brand that has prestige and what better casio, watch the meets my expectations a nice design, SOBER, is not heavy, recommended")</f>
        <v>Exclente clock was looking for a watch of a brand that has prestige and what better casio, watch the meets my expectations a nice design, SOBER, is not heavy, recommended</v>
      </c>
    </row>
    <row r="150">
      <c r="A150" s="1">
        <v>5.0</v>
      </c>
      <c r="B150" s="1" t="s">
        <v>151</v>
      </c>
      <c r="C150" t="str">
        <f>IFERROR(__xludf.DUMMYFUNCTION("GOOGLETRANSLATE(B150, ""es"", ""en"")"),"Good watch. Good watch. Good Quality Materials case in fact need to buckle metal belt is otherwise well. There is a heavy or too bulky watch.")</f>
        <v>Good watch. Good watch. Good Quality Materials case in fact need to buckle metal belt is otherwise well. There is a heavy or too bulky watch.</v>
      </c>
    </row>
    <row r="151">
      <c r="A151" s="1">
        <v>5.0</v>
      </c>
      <c r="B151" s="1" t="s">
        <v>152</v>
      </c>
      <c r="C151" t="str">
        <f>IFERROR(__xludf.DUMMYFUNCTION("GOOGLETRANSLATE(B151, ""es"", ""en"")"),"Beautiful and powerful very satisfied. At the moment I'm happy with everything I do. perfect texture.")</f>
        <v>Beautiful and powerful very satisfied. At the moment I'm happy with everything I do. perfect texture.</v>
      </c>
    </row>
    <row r="152">
      <c r="A152" s="1">
        <v>5.0</v>
      </c>
      <c r="B152" s="1" t="s">
        <v>153</v>
      </c>
      <c r="C152" t="str">
        <f>IFERROR(__xludf.DUMMYFUNCTION("GOOGLETRANSLATE(B152, ""es"", ""en"")"),"Good pretty and cheap. Very pretty")</f>
        <v>Good pretty and cheap. Very pretty</v>
      </c>
    </row>
    <row r="153">
      <c r="A153" s="1">
        <v>5.0</v>
      </c>
      <c r="B153" s="1" t="s">
        <v>154</v>
      </c>
      <c r="C153" t="str">
        <f>IFERROR(__xludf.DUMMYFUNCTION("GOOGLETRANSLATE(B153, ""es"", ""en"")"),"The perfect size and quality is perfect to size I use l and not to seek or bigger or smaller just your size fabric is of high quality and we totalmenten colors correspond delighted with the mark")</f>
        <v>The perfect size and quality is perfect to size I use l and not to seek or bigger or smaller just your size fabric is of high quality and we totalmenten colors correspond delighted with the mark</v>
      </c>
    </row>
    <row r="154">
      <c r="A154" s="1">
        <v>5.0</v>
      </c>
      <c r="B154" s="1" t="s">
        <v>155</v>
      </c>
      <c r="C154" t="str">
        <f>IFERROR(__xludf.DUMMYFUNCTION("GOOGLETRANSLATE(B154, ""es"", ""en"")"),"The most important thing is that it does no ruido.A I love the colors and also works great for small spaces, small is perfect, it makes no noise and the lights are todas.Osea had in two words, is perfect")</f>
        <v>The most important thing is that it does no ruido.A I love the colors and also works great for small spaces, small is perfect, it makes no noise and the lights are todas.Osea had in two words, is perfect</v>
      </c>
    </row>
    <row r="155">
      <c r="A155" s="1">
        <v>5.0</v>
      </c>
      <c r="B155" s="1" t="s">
        <v>156</v>
      </c>
      <c r="C155" t="str">
        <f>IFERROR(__xludf.DUMMYFUNCTION("GOOGLETRANSLATE(B155, ""es"", ""en"")"),"Very good came from another Bapi, the 850W that spoiled after a long trot. I chose the same brand and I was right. In addition they have become more powerful and more compact. The only downside is that the connection of some accessories (arm or adapter fo"&amp;"r mincing or Barillas) has changed and I could not reuse all")</f>
        <v>Very good came from another Bapi, the 850W that spoiled after a long trot. I chose the same brand and I was right. In addition they have become more powerful and more compact. The only downside is that the connection of some accessories (arm or adapter for mincing or Barillas) has changed and I could not reuse all</v>
      </c>
    </row>
    <row r="156">
      <c r="A156" s="1">
        <v>5.0</v>
      </c>
      <c r="B156" s="1" t="s">
        <v>157</v>
      </c>
      <c r="C156" t="str">
        <f>IFERROR(__xludf.DUMMYFUNCTION("GOOGLETRANSLATE(B156, ""es"", ""en"")"),"Would buy it is easy to use, not loud and beautiful to decorate and give. A practical gift. Haunted")</f>
        <v>Would buy it is easy to use, not loud and beautiful to decorate and give. A practical gift. Haunted</v>
      </c>
    </row>
    <row r="157">
      <c r="A157" s="1">
        <v>5.0</v>
      </c>
      <c r="B157" s="1" t="s">
        <v>158</v>
      </c>
      <c r="C157" t="str">
        <f>IFERROR(__xludf.DUMMYFUNCTION("GOOGLETRANSLATE(B157, ""es"", ""en"")"),"correct and good price Shipping For my size, best price on the market by far. They are the toughest water of all I've tried. And acabdo quality of materials is very good")</f>
        <v>correct and good price Shipping For my size, best price on the market by far. They are the toughest water of all I've tried. And acabdo quality of materials is very good</v>
      </c>
    </row>
    <row r="158">
      <c r="A158" s="1">
        <v>5.0</v>
      </c>
      <c r="B158" s="1" t="s">
        <v>159</v>
      </c>
      <c r="C158" t="str">
        <f>IFERROR(__xludf.DUMMYFUNCTION("GOOGLETRANSLATE(B158, ""es"", ""en"")"),"Very comfortable I love beautiful love me like a jousting tad size")</f>
        <v>Very comfortable I love beautiful love me like a jousting tad size</v>
      </c>
    </row>
    <row r="159">
      <c r="A159" s="1">
        <v>5.0</v>
      </c>
      <c r="B159" s="1" t="s">
        <v>160</v>
      </c>
      <c r="C159" t="str">
        <f>IFERROR(__xludf.DUMMYFUNCTION("GOOGLETRANSLATE(B159, ""es"", ""en"")"),"Good cable I use it daily along with a Focusrite Scarlett 2i4 and a microphone akg p120 and perfect truth without interference and good anchorage, not dance anything. construction looks good for its price. Thoroughly recommended.")</f>
        <v>Good cable I use it daily along with a Focusrite Scarlett 2i4 and a microphone akg p120 and perfect truth without interference and good anchorage, not dance anything. construction looks good for its price. Thoroughly recommended.</v>
      </c>
    </row>
    <row r="160">
      <c r="A160" s="1">
        <v>5.0</v>
      </c>
      <c r="B160" s="1" t="s">
        <v>161</v>
      </c>
      <c r="C160" t="str">
        <f>IFERROR(__xludf.DUMMYFUNCTION("GOOGLETRANSLATE(B160, ""es"", ""en"")"),"Feel the power in your hands to be a vacuum sucks battery like a cable. It is true that the battery life of ""up to 60min"" is with the suction speed 1 but for now I have not seen the need to go up to 2 or to the turbo. I recommend it")</f>
        <v>Feel the power in your hands to be a vacuum sucks battery like a cable. It is true that the battery life of "up to 60min" is with the suction speed 1 but for now I have not seen the need to go up to 2 or to the turbo. I recommend it</v>
      </c>
    </row>
    <row r="161">
      <c r="A161" s="1">
        <v>2.0</v>
      </c>
      <c r="B161" s="1" t="s">
        <v>162</v>
      </c>
      <c r="C161" t="str">
        <f>IFERROR(__xludf.DUMMYFUNCTION("GOOGLETRANSLATE(B161, ""es"", ""en"")"),"Sea Very fine. His appearance is not pleasant. I do not like. It is very thin and looks like a transparent rope. I do not recommend it.")</f>
        <v>Sea Very fine. His appearance is not pleasant. I do not like. It is very thin and looks like a transparent rope. I do not recommend it.</v>
      </c>
    </row>
    <row r="162">
      <c r="A162" s="1">
        <v>3.0</v>
      </c>
      <c r="B162" s="1" t="s">
        <v>163</v>
      </c>
      <c r="C162" t="str">
        <f>IFERROR(__xludf.DUMMYFUNCTION("GOOGLETRANSLATE(B162, ""es"", ""en"")"),"I ... is not leather, but are either not leather are as follows, and others do not seem resistant ... that if you are very comfortable to put on and remove and leather not being fit faster.")</f>
        <v>I ... is not leather, but are either not leather are as follows, and others do not seem resistant ... that if you are very comfortable to put on and remove and leather not being fit faster.</v>
      </c>
    </row>
    <row r="163">
      <c r="A163" s="1">
        <v>1.0</v>
      </c>
      <c r="B163" s="1" t="s">
        <v>164</v>
      </c>
      <c r="C163" t="str">
        <f>IFERROR(__xludf.DUMMYFUNCTION("GOOGLETRANSLATE(B163, ""es"", ""en"")"),"Alberto Discontent, biene in a case that does not match, this being broken so they can enter the square and bevel and the latter is damaged at one end, which is not surprising to the loose coming in a broken plastic.")</f>
        <v>Alberto Discontent, biene in a case that does not match, this being broken so they can enter the square and bevel and the latter is damaged at one end, which is not surprising to the loose coming in a broken plastic.</v>
      </c>
    </row>
    <row r="164">
      <c r="A164" s="1">
        <v>1.0</v>
      </c>
      <c r="B164" s="1" t="s">
        <v>165</v>
      </c>
      <c r="C164" t="str">
        <f>IFERROR(__xludf.DUMMYFUNCTION("GOOGLETRANSLATE(B164, ""es"", ""en"")"),"It not for locking up the pen drive is of very poor quality, not able to pass without blocking 200MB or interrupted, very low")</f>
        <v>It not for locking up the pen drive is of very poor quality, not able to pass without blocking 200MB or interrupted, very low</v>
      </c>
    </row>
    <row r="165">
      <c r="A165" s="1">
        <v>1.0</v>
      </c>
      <c r="B165" s="1" t="s">
        <v>166</v>
      </c>
      <c r="C165" t="str">
        <f>IFERROR(__xludf.DUMMYFUNCTION("GOOGLETRANSLATE(B165, ""es"", ""en"")"),"Javier deceived Ni for papers steps, I did not wet it after reading comments from other buyers, but the second day off, you replace the battery that is worth the watch, and not walk Enjoy it and spend it on antacid")</f>
        <v>Javier deceived Ni for papers steps, I did not wet it after reading comments from other buyers, but the second day off, you replace the battery that is worth the watch, and not walk Enjoy it and spend it on antacid</v>
      </c>
    </row>
    <row r="166">
      <c r="A166" s="1">
        <v>4.0</v>
      </c>
      <c r="B166" s="1" t="s">
        <v>167</v>
      </c>
      <c r="C166" t="str">
        <f>IFERROR(__xludf.DUMMYFUNCTION("GOOGLETRANSLATE(B166, ""es"", ""en"")"),"Blender always on hand, very últil and easy to clean. I like for comfort in use, occupy little space and easy cleaning. Smoothies out great.")</f>
        <v>Blender always on hand, very últil and easy to clean. I like for comfort in use, occupy little space and easy cleaning. Smoothies out great.</v>
      </c>
    </row>
    <row r="167">
      <c r="A167" s="1">
        <v>4.0</v>
      </c>
      <c r="B167" s="1" t="s">
        <v>168</v>
      </c>
      <c r="C167" t="str">
        <f>IFERROR(__xludf.DUMMYFUNCTION("GOOGLETRANSLATE(B167, ""es"", ""en"")"),"Good Stapler good value for money")</f>
        <v>Good Stapler good value for money</v>
      </c>
    </row>
    <row r="168">
      <c r="A168" s="1">
        <v>4.0</v>
      </c>
      <c r="B168" s="1" t="s">
        <v>169</v>
      </c>
      <c r="C168" t="str">
        <f>IFERROR(__xludf.DUMMYFUNCTION("GOOGLETRANSLATE(B168, ""es"", ""en"")"),"_The Manufacturer love we send a cart, a bucket, a broom, a mop and dustpan. _Conclusiones: A cleaning kit is logically one toy, but at first glance gives the trick. From here everything is already critical. The collector does not hold standing, mop has s"&amp;"ix flaps (literally), brush / broom is stiff bristle that in what may be some drag / sweep :-) and bucket with wringer built is the only thing I see "" good"". The car is plastic, so do not expect anything from the other world, they are all plastic utensi"&amp;"ls, which no longer toy. They could have a little more careful at the ends of the product. _Pros: Nothing noteworthy. _Contras: Mop could ""improve"". All plastic. Saludos By Flype")</f>
        <v>_The Manufacturer love we send a cart, a bucket, a broom, a mop and dustpan. _Conclusiones: A cleaning kit is logically one toy, but at first glance gives the trick. From here everything is already critical. The collector does not hold standing, mop has six flaps (literally), brush / broom is stiff bristle that in what may be some drag / sweep :-) and bucket with wringer built is the only thing I see " good". The car is plastic, so do not expect anything from the other world, they are all plastic utensils, which no longer toy. They could have a little more careful at the ends of the product. _Pros: Nothing noteworthy. _Contras: Mop could "improve". All plastic. Saludos By Flype</v>
      </c>
    </row>
    <row r="169">
      <c r="A169" s="1">
        <v>4.0</v>
      </c>
      <c r="B169" s="1" t="s">
        <v>170</v>
      </c>
      <c r="C169" t="str">
        <f>IFERROR(__xludf.DUMMYFUNCTION("GOOGLETRANSLATE(B169, ""es"", ""en"")"),"While it has come sooner than expected. Quite consistent with photo")</f>
        <v>While it has come sooner than expected. Quite consistent with photo</v>
      </c>
    </row>
    <row r="170">
      <c r="A170" s="1">
        <v>4.0</v>
      </c>
      <c r="B170" s="1" t="s">
        <v>171</v>
      </c>
      <c r="C170" t="str">
        <f>IFERROR(__xludf.DUMMYFUNCTION("GOOGLETRANSLATE(B170, ""es"", ""en"")"),"Comfortable but without laces Overall good. It is perhaps the most comfortable shoe brand. I do not give 5 stars because it has no laces. Those seen in the photo are ornamental, but you can not buckle, so the foot is something loose")</f>
        <v>Comfortable but without laces Overall good. It is perhaps the most comfortable shoe brand. I do not give 5 stars because it has no laces. Those seen in the photo are ornamental, but you can not buckle, so the foot is something loose</v>
      </c>
    </row>
    <row r="171">
      <c r="A171" s="1">
        <v>5.0</v>
      </c>
      <c r="B171" s="1" t="s">
        <v>172</v>
      </c>
      <c r="C171" t="str">
        <f>IFERROR(__xludf.DUMMYFUNCTION("GOOGLETRANSLATE(B171, ""es"", ""en"")"),"Perfect Perfect! Super nice and very retro design. the truth is q I love and always use ground. The only bad thing I encounter is q q no light")</f>
        <v>Perfect Perfect! Super nice and very retro design. the truth is q I love and always use ground. The only bad thing I encounter is q q no light</v>
      </c>
    </row>
    <row r="172">
      <c r="A172" s="1">
        <v>5.0</v>
      </c>
      <c r="B172" s="1" t="s">
        <v>173</v>
      </c>
      <c r="C172" t="str">
        <f>IFERROR(__xludf.DUMMYFUNCTION("GOOGLETRANSLATE(B172, ""es"", ""en"")"),"It is good purchase lime in the bass part, but it is normal to the heating water at that temperature. Very good price.")</f>
        <v>It is good purchase lime in the bass part, but it is normal to the heating water at that temperature. Very good price.</v>
      </c>
    </row>
    <row r="173">
      <c r="A173" s="1">
        <v>5.0</v>
      </c>
      <c r="B173" s="1" t="s">
        <v>174</v>
      </c>
      <c r="C173" t="str">
        <f>IFERROR(__xludf.DUMMYFUNCTION("GOOGLETRANSLATE(B173, ""es"", ""en"")"),"comfortable and soft very soft and comfortable material. nice design. It fits perfectly.")</f>
        <v>comfortable and soft very soft and comfortable material. nice design. It fits perfectly.</v>
      </c>
    </row>
    <row r="174">
      <c r="A174" s="1">
        <v>5.0</v>
      </c>
      <c r="B174" s="1" t="s">
        <v>175</v>
      </c>
      <c r="C174" t="str">
        <f>IFERROR(__xludf.DUMMYFUNCTION("GOOGLETRANSLATE(B174, ""es"", ""en"")"),"The cap classic metallic plastic but I chose these plugs that they should play with chrome rims and I am satisfied with the choice. They fit perfectly and resemble classical plastic plugs but chrome metal. They have a set price and arrived in just 11 days"&amp;".")</f>
        <v>The cap classic metallic plastic but I chose these plugs that they should play with chrome rims and I am satisfied with the choice. They fit perfectly and resemble classical plastic plugs but chrome metal. They have a set price and arrived in just 11 days.</v>
      </c>
    </row>
    <row r="175">
      <c r="A175" s="1">
        <v>5.0</v>
      </c>
      <c r="B175" s="1" t="s">
        <v>176</v>
      </c>
      <c r="C175" t="str">
        <f>IFERROR(__xludf.DUMMYFUNCTION("GOOGLETRANSLATE(B175, ""es"", ""en"")"),"Beyer gives you what you want after time looking for a headset that were good and not fire my budget, no doubt these have been a very good choice and really listen to maravilla.Se I advise anyone because they are not going to disappoint, in material quali"&amp;"ty and especially sound.")</f>
        <v>Beyer gives you what you want after time looking for a headset that were good and not fire my budget, no doubt these have been a very good choice and really listen to maravilla.Se I advise anyone because they are not going to disappoint, in material quality and especially sound.</v>
      </c>
    </row>
    <row r="176">
      <c r="A176" s="1">
        <v>5.0</v>
      </c>
      <c r="B176" s="1" t="s">
        <v>177</v>
      </c>
      <c r="C176" t="str">
        <f>IFERROR(__xludf.DUMMYFUNCTION("GOOGLETRANSLATE(B176, ""es"", ""en"")"),"Very satisfied with purchase We use it daily and several times ... we are a big fan of infusions. It seems a highly recommendable product !!!")</f>
        <v>Very satisfied with purchase We use it daily and several times ... we are a big fan of infusions. It seems a highly recommendable product !!!</v>
      </c>
    </row>
    <row r="177">
      <c r="A177" s="1">
        <v>5.0</v>
      </c>
      <c r="B177" s="1" t="s">
        <v>178</v>
      </c>
      <c r="C177" t="str">
        <f>IFERROR(__xludf.DUMMYFUNCTION("GOOGLETRANSLATE(B177, ""es"", ""en"")"),"Normal price mixer at incredible thought the price would be a mixer for very little use, but it works very well, not much hotter than any other, and I use it for all kinds of meals. Too bad you can not remove the arm, but the engine is not spoiled by him "&amp;"between some water to the scrub.")</f>
        <v>Normal price mixer at incredible thought the price would be a mixer for very little use, but it works very well, not much hotter than any other, and I use it for all kinds of meals. Too bad you can not remove the arm, but the engine is not spoiled by him between some water to the scrub.</v>
      </c>
    </row>
    <row r="178">
      <c r="A178" s="1">
        <v>5.0</v>
      </c>
      <c r="B178" s="1" t="s">
        <v>179</v>
      </c>
      <c r="C178" t="str">
        <f>IFERROR(__xludf.DUMMYFUNCTION("GOOGLETRANSLATE(B178, ""es"", ""en"")"),"Ycomodo elegant watch very comfortable, fits belt perfeca and has good touch. buttons work very well. In a very classy person watch looks with black and rojo.Recomiendo")</f>
        <v>Ycomodo elegant watch very comfortable, fits belt perfeca and has good touch. buttons work very well. In a very classy person watch looks with black and rojo.Recomiendo</v>
      </c>
    </row>
    <row r="179">
      <c r="A179" s="1">
        <v>5.0</v>
      </c>
      <c r="B179" s="1" t="s">
        <v>180</v>
      </c>
      <c r="C179" t="str">
        <f>IFERROR(__xludf.DUMMYFUNCTION("GOOGLETRANSLATE(B179, ""es"", ""en"")"),"Wireless Headphones Super comfortable and lightweight. The battery lasts long enough and the housing gives to three loads. Very good quality sound. The use in the gym, running for the dead times on the way to work .... very happy with the purchase.")</f>
        <v>Wireless Headphones Super comfortable and lightweight. The battery lasts long enough and the housing gives to three loads. Very good quality sound. The use in the gym, running for the dead times on the way to work .... very happy with the purchase.</v>
      </c>
    </row>
    <row r="180">
      <c r="A180" s="1">
        <v>5.0</v>
      </c>
      <c r="B180" s="1" t="s">
        <v>181</v>
      </c>
      <c r="C180" t="str">
        <f>IFERROR(__xludf.DUMMYFUNCTION("GOOGLETRANSLATE(B180, ""es"", ""en"")"),"beautiful and elegant nice, I get very fast,")</f>
        <v>beautiful and elegant nice, I get very fast,</v>
      </c>
    </row>
    <row r="181">
      <c r="A181" s="1">
        <v>5.0</v>
      </c>
      <c r="B181" s="1" t="s">
        <v>182</v>
      </c>
      <c r="C181" t="str">
        <f>IFERROR(__xludf.DUMMYFUNCTION("GOOGLETRANSLATE(B181, ""es"", ""en"")"),"Standard quality product smoothly Well")</f>
        <v>Standard quality product smoothly Well</v>
      </c>
    </row>
    <row r="182">
      <c r="A182" s="1">
        <v>5.0</v>
      </c>
      <c r="B182" s="1" t="s">
        <v>183</v>
      </c>
      <c r="C182" t="str">
        <f>IFERROR(__xludf.DUMMYFUNCTION("GOOGLETRANSLATE(B182, ""es"", ""en"")"),"Inna is perfect since you've had all winter, grabs the entire bed. perfect temperature. I recommend it 100%.")</f>
        <v>Inna is perfect since you've had all winter, grabs the entire bed. perfect temperature. I recommend it 100%.</v>
      </c>
    </row>
    <row r="183">
      <c r="A183" s="1">
        <v>5.0</v>
      </c>
      <c r="B183" s="1" t="s">
        <v>184</v>
      </c>
      <c r="C183" t="str">
        <f>IFERROR(__xludf.DUMMYFUNCTION("GOOGLETRANSLATE(B183, ""es"", ""en"")"),"As is the description Slippers comfortable and sturdy shoes despite being low. Leather Interior to consider for summer temperatures.")</f>
        <v>As is the description Slippers comfortable and sturdy shoes despite being low. Leather Interior to consider for summer temperatures.</v>
      </c>
    </row>
    <row r="184">
      <c r="A184" s="1">
        <v>5.0</v>
      </c>
      <c r="B184" s="1" t="s">
        <v>185</v>
      </c>
      <c r="C184" t="str">
        <f>IFERROR(__xludf.DUMMYFUNCTION("GOOGLETRANSLATE(B184, ""es"", ""en"")"),"Subject and is comfortable once since. The color is different and striking. It is placed over the head, and having chest is not as comfortable to put it on, adding that there are the rings which makes it a bit difficult but for me it is not as cumbersome "&amp;"as not advise him or not give a good score. And the size coincides with normally use.")</f>
        <v>Subject and is comfortable once since. The color is different and striking. It is placed over the head, and having chest is not as comfortable to put it on, adding that there are the rings which makes it a bit difficult but for me it is not as cumbersome as not advise him or not give a good score. And the size coincides with normally use.</v>
      </c>
    </row>
    <row r="185">
      <c r="A185" s="1">
        <v>5.0</v>
      </c>
      <c r="B185" s="1" t="s">
        <v>186</v>
      </c>
      <c r="C185" t="str">
        <f>IFERROR(__xludf.DUMMYFUNCTION("GOOGLETRANSLATE(B185, ""es"", ""en"")"),"Clean well. He looked bigger one, but this perfectly clean and the shower is no limescale.")</f>
        <v>Clean well. He looked bigger one, but this perfectly clean and the shower is no limescale.</v>
      </c>
    </row>
    <row r="186">
      <c r="A186" s="1">
        <v>5.0</v>
      </c>
      <c r="B186" s="1" t="s">
        <v>187</v>
      </c>
      <c r="C186" t="str">
        <f>IFERROR(__xludf.DUMMYFUNCTION("GOOGLETRANSLATE(B186, ""es"", ""en"")"),"Excellent shoes I bought for my husband who has dificultat to put on ... are super comfortable, wide toe and easy to poner.Llegaron before the scheduled date, 100% recommend")</f>
        <v>Excellent shoes I bought for my husband who has dificultat to put on ... are super comfortable, wide toe and easy to poner.Llegaron before the scheduled date, 100% recommend</v>
      </c>
    </row>
    <row r="187">
      <c r="A187" s="1">
        <v>5.0</v>
      </c>
      <c r="B187" s="1" t="s">
        <v>188</v>
      </c>
      <c r="C187" t="str">
        <f>IFERROR(__xludf.DUMMYFUNCTION("GOOGLETRANSLATE(B187, ""es"", ""en"")"),"Very comfortable comfortable. They are not heavy so it is an ideal for everyday footwear.")</f>
        <v>Very comfortable comfortable. They are not heavy so it is an ideal for everyday footwear.</v>
      </c>
    </row>
    <row r="188">
      <c r="A188" s="1">
        <v>5.0</v>
      </c>
      <c r="B188" s="1" t="s">
        <v>189</v>
      </c>
      <c r="C188" t="str">
        <f>IFERROR(__xludf.DUMMYFUNCTION("GOOGLETRANSLATE(B188, ""es"", ""en"")"),"flawless article submission corresponds to the photograph of the seller, good presence and good material. Fulfills its mission to bring bag in the chest with enough space to store items. Delivery date as promised.")</f>
        <v>flawless article submission corresponds to the photograph of the seller, good presence and good material. Fulfills its mission to bring bag in the chest with enough space to store items. Delivery date as promised.</v>
      </c>
    </row>
    <row r="189">
      <c r="A189" s="1">
        <v>2.0</v>
      </c>
      <c r="B189" s="1" t="s">
        <v>190</v>
      </c>
      <c r="C189" t="str">
        <f>IFERROR(__xludf.DUMMYFUNCTION("GOOGLETRANSLATE(B189, ""es"", ""en"")"),"The blender makes a lot of noise so much noise. 0 decibels as what not.")</f>
        <v>The blender makes a lot of noise so much noise. 0 decibels as what not.</v>
      </c>
    </row>
    <row r="190">
      <c r="A190" s="1">
        <v>3.0</v>
      </c>
      <c r="B190" s="1" t="s">
        <v>191</v>
      </c>
      <c r="C190" t="str">
        <f>IFERROR(__xludf.DUMMYFUNCTION("GOOGLETRANSLATE(B190, ""es"", ""en"")"),"Okay but ... Okay arm, but the arm is ""Chinese"", at the end I bought a condenser microphone that comes all mounted in a pack and I'll leave this for my family to make me xD choirs.")</f>
        <v>Okay but ... Okay arm, but the arm is "Chinese", at the end I bought a condenser microphone that comes all mounted in a pack and I'll leave this for my family to make me xD choirs.</v>
      </c>
    </row>
    <row r="191">
      <c r="A191" s="1">
        <v>3.0</v>
      </c>
      <c r="B191" s="1" t="s">
        <v>192</v>
      </c>
      <c r="C191" t="str">
        <f>IFERROR(__xludf.DUMMYFUNCTION("GOOGLETRANSLATE(B191, ""es"", ""en"")"),"small size, it falls short. It is too small in size. There is much force gums and also brings clamping the connector can become annoying. Should do to approach the size of a standard bed is usually 0.90 x 1.90. Otherwise well.")</f>
        <v>small size, it falls short. It is too small in size. There is much force gums and also brings clamping the connector can become annoying. Should do to approach the size of a standard bed is usually 0.90 x 1.90. Otherwise well.</v>
      </c>
    </row>
    <row r="192">
      <c r="A192" s="1">
        <v>1.0</v>
      </c>
      <c r="B192" s="1" t="s">
        <v>193</v>
      </c>
      <c r="C192" t="str">
        <f>IFERROR(__xludf.DUMMYFUNCTION("GOOGLETRANSLATE(B192, ""es"", ""en"")"),"Bad bad shoes .le a star because I can not give cero.no the can and put your foot goes for all lados.la sole rubber is poor goes for all lados.no recomiendo.dinero tirado.no them back by q go to vuelta.me the use.sino would feel ripped off this shoe.")</f>
        <v>Bad bad shoes .le a star because I can not give cero.no the can and put your foot goes for all lados.la sole rubber is poor goes for all lados.no recomiendo.dinero tirado.no them back by q go to vuelta.me the use.sino would feel ripped off this shoe.</v>
      </c>
    </row>
    <row r="193">
      <c r="A193" s="1">
        <v>1.0</v>
      </c>
      <c r="B193" s="1" t="s">
        <v>194</v>
      </c>
      <c r="C193" t="str">
        <f>IFERROR(__xludf.DUMMYFUNCTION("GOOGLETRANSLATE(B193, ""es"", ""en"")"),"It does not work, open box will be very good mixer but came open box and products inside the box were as if they had already used. And most importantly the mixer directly or working, no lights or do anything. I had to return and ask for another. This time"&amp;" the case went well, but does not work.")</f>
        <v>It does not work, open box will be very good mixer but came open box and products inside the box were as if they had already used. And most importantly the mixer directly or working, no lights or do anything. I had to return and ask for another. This time the case went well, but does not work.</v>
      </c>
    </row>
    <row r="194">
      <c r="A194" s="1">
        <v>4.0</v>
      </c>
      <c r="B194" s="1" t="s">
        <v>195</v>
      </c>
      <c r="C194" t="str">
        <f>IFERROR(__xludf.DUMMYFUNCTION("GOOGLETRANSLATE(B194, ""es"", ""en"")"),"Really works I bought a little suspicious, because these devices promise much and then are not as effective, but it really is relaxing and massage well, look like fingers giving massage, has enough strength in its three positions and the only downside is "&amp;"that it is a little heavy and power buttons and march, should be more on hand, but as massager worth.")</f>
        <v>Really works I bought a little suspicious, because these devices promise much and then are not as effective, but it really is relaxing and massage well, look like fingers giving massage, has enough strength in its three positions and the only downside is that it is a little heavy and power buttons and march, should be more on hand, but as massager worth.</v>
      </c>
    </row>
    <row r="195">
      <c r="A195" s="1">
        <v>4.0</v>
      </c>
      <c r="B195" s="1" t="s">
        <v>196</v>
      </c>
      <c r="C195" t="str">
        <f>IFERROR(__xludf.DUMMYFUNCTION("GOOGLETRANSLATE(B195, ""es"", ""en"")"),"Great micro, best price for that price is the best micro I've had, and I've had micro of all prices and qualities, but as it is in terms of building materials and functions is the best")</f>
        <v>Great micro, best price for that price is the best micro I've had, and I've had micro of all prices and qualities, but as it is in terms of building materials and functions is the best</v>
      </c>
    </row>
    <row r="196">
      <c r="A196" s="1">
        <v>4.0</v>
      </c>
      <c r="B196" s="1" t="s">
        <v>197</v>
      </c>
      <c r="C196" t="str">
        <f>IFERROR(__xludf.DUMMYFUNCTION("GOOGLETRANSLATE(B196, ""es"", ""en"")"),"Ask your usual size There are very comfortable")</f>
        <v>Ask your usual size There are very comfortable</v>
      </c>
    </row>
    <row r="197">
      <c r="A197" s="1">
        <v>4.0</v>
      </c>
      <c r="B197" s="1" t="s">
        <v>198</v>
      </c>
      <c r="C197" t="str">
        <f>IFERROR(__xludf.DUMMYFUNCTION("GOOGLETRANSLATE(B197, ""es"", ""en"")"),"Valence'm good product and proximity to the sea makes an incredible humidity, maybe not as much as in cities such Andalucía but rare is the day that you do not get to 85% moisture in the atmosphere. In addition, I have especially fine hair frizz of what i"&amp;"t has always been inevitable. One after month of receiving argan oil in which I've used it about 4 times I can say that the effect on the hair is remarkable, looks brighter, fuller and healthier especially at the tips in addition to effectively combat the"&amp;" aforementioned effect frizz / frizzy. It is truly a reliable and recommended product also use it as save after after shaving and is quite noticeable that extra hydration that gives the skin.")</f>
        <v>Valence'm good product and proximity to the sea makes an incredible humidity, maybe not as much as in cities such Andalucía but rare is the day that you do not get to 85% moisture in the atmosphere. In addition, I have especially fine hair frizz of what it has always been inevitable. One after month of receiving argan oil in which I've used it about 4 times I can say that the effect on the hair is remarkable, looks brighter, fuller and healthier especially at the tips in addition to effectively combat the aforementioned effect frizz / frizzy. It is truly a reliable and recommended product also use it as save after after shaving and is quite noticeable that extra hydration that gives the skin.</v>
      </c>
    </row>
    <row r="198">
      <c r="A198" s="1">
        <v>4.0</v>
      </c>
      <c r="B198" s="1" t="s">
        <v>199</v>
      </c>
      <c r="C198" t="str">
        <f>IFERROR(__xludf.DUMMYFUNCTION("GOOGLETRANSLATE(B198, ""es"", ""en"")"),"It seems pretty perfect plump and warm. Mido 1.75 and weight 75 kilos and I've taken the M and is the perfect size. Neither wide nor narrow. If someone serves reference.")</f>
        <v>It seems pretty perfect plump and warm. Mido 1.75 and weight 75 kilos and I've taken the M and is the perfect size. Neither wide nor narrow. If someone serves reference.</v>
      </c>
    </row>
    <row r="199">
      <c r="A199" s="1">
        <v>5.0</v>
      </c>
      <c r="B199" s="1" t="s">
        <v>200</v>
      </c>
      <c r="C199" t="str">
        <f>IFERROR(__xludf.DUMMYFUNCTION("GOOGLETRANSLATE(B199, ""es"", ""en"")"),"Very good I am always need any of these, so watching the price decided to go big. quite thick and quality are noticeable. Nothing to do with others that seem paper.")</f>
        <v>Very good I am always need any of these, so watching the price decided to go big. quite thick and quality are noticeable. Nothing to do with others that seem paper.</v>
      </c>
    </row>
    <row r="200">
      <c r="A200" s="1">
        <v>5.0</v>
      </c>
      <c r="B200" s="1" t="s">
        <v>201</v>
      </c>
      <c r="C200" t="str">
        <f>IFERROR(__xludf.DUMMYFUNCTION("GOOGLETRANSLATE(B200, ""es"", ""en"")"),"Super good quality of the product. Very comfortable.")</f>
        <v>Super good quality of the product. Very comfortable.</v>
      </c>
    </row>
    <row r="201">
      <c r="A201" s="1">
        <v>5.0</v>
      </c>
      <c r="B201" s="1" t="s">
        <v>202</v>
      </c>
      <c r="C201" t="str">
        <f>IFERROR(__xludf.DUMMYFUNCTION("GOOGLETRANSLATE(B201, ""es"", ""en"")"),"Easily it folds convenient and fits into any corner of the house, as saying paste the fund slips a bit, so be careful when you bathe a child.")</f>
        <v>Easily it folds convenient and fits into any corner of the house, as saying paste the fund slips a bit, so be careful when you bathe a child.</v>
      </c>
    </row>
    <row r="202">
      <c r="A202" s="1">
        <v>5.0</v>
      </c>
      <c r="B202" s="1" t="s">
        <v>203</v>
      </c>
      <c r="C202" t="str">
        <f>IFERROR(__xludf.DUMMYFUNCTION("GOOGLETRANSLATE(B202, ""es"", ""en"")"),"Comfort, quality and price. A strong and comfortable shoes security, price / quality ratio terrific. They came the day planned well packaged. I am very happy with this purchase, I recommend!")</f>
        <v>Comfort, quality and price. A strong and comfortable shoes security, price / quality ratio terrific. They came the day planned well packaged. I am very happy with this purchase, I recommend!</v>
      </c>
    </row>
    <row r="203">
      <c r="A203" s="1">
        <v>5.0</v>
      </c>
      <c r="B203" s="1" t="s">
        <v>204</v>
      </c>
      <c r="C203" t="str">
        <f>IFERROR(__xludf.DUMMYFUNCTION("GOOGLETRANSLATE(B203, ""es"", ""en"")"),"Very good! Very good, simple and does the job!")</f>
        <v>Very good! Very good, simple and does the job!</v>
      </c>
    </row>
    <row r="204">
      <c r="A204" s="1">
        <v>5.0</v>
      </c>
      <c r="B204" s="1" t="s">
        <v>205</v>
      </c>
      <c r="C204" t="str">
        <f>IFERROR(__xludf.DUMMYFUNCTION("GOOGLETRANSLATE(B204, ""es"", ""en"")"),"Nice and good quality and had bought earlier. They are nice and very good quality. Service delivery time, which all perfect.")</f>
        <v>Nice and good quality and had bought earlier. They are nice and very good quality. Service delivery time, which all perfect.</v>
      </c>
    </row>
    <row r="205">
      <c r="A205" s="1">
        <v>5.0</v>
      </c>
      <c r="B205" s="1" t="s">
        <v>206</v>
      </c>
      <c r="C205" t="str">
        <f>IFERROR(__xludf.DUMMYFUNCTION("GOOGLETRANSLATE(B205, ""es"", ""en"")"),"Perfect Perfect, I expected")</f>
        <v>Perfect Perfect, I expected</v>
      </c>
    </row>
    <row r="206">
      <c r="A206" s="1">
        <v>5.0</v>
      </c>
      <c r="B206" s="1" t="s">
        <v>207</v>
      </c>
      <c r="C206" t="str">
        <f>IFERROR(__xludf.DUMMYFUNCTION("GOOGLETRANSLATE(B206, ""es"", ""en"")"),"Unbeatable value Perfect")</f>
        <v>Unbeatable value Perfect</v>
      </c>
    </row>
    <row r="207">
      <c r="A207" s="1">
        <v>5.0</v>
      </c>
      <c r="B207" s="1" t="s">
        <v>208</v>
      </c>
      <c r="C207" t="str">
        <f>IFERROR(__xludf.DUMMYFUNCTION("GOOGLETRANSLATE(B207, ""es"", ""en"")"),"But I met had always used for my ""moments DIY"" old shoe that is being out there and as a result, I've had several shocks from falls or blows by not heeding the recommendations of experts ... "" use appropriate footwear. "" I bought these boots and I'm d"&amp;"elighted. They are quite robust, have good protection in the toe and heel and are very comfortable. I recommend absolutely. Delivery, as always on Amazon ... A 10 !!")</f>
        <v>But I met had always used for my "moments DIY" old shoe that is being out there and as a result, I've had several shocks from falls or blows by not heeding the recommendations of experts ... " use appropriate footwear. " I bought these boots and I'm delighted. They are quite robust, have good protection in the toe and heel and are very comfortable. I recommend absolutely. Delivery, as always on Amazon ... A 10 !!</v>
      </c>
    </row>
    <row r="208">
      <c r="A208" s="1">
        <v>5.0</v>
      </c>
      <c r="B208" s="1" t="s">
        <v>209</v>
      </c>
      <c r="C208" t="str">
        <f>IFERROR(__xludf.DUMMYFUNCTION("GOOGLETRANSLATE(B208, ""es"", ""en"")"),"Good product good but big but big")</f>
        <v>Good product good but big but big</v>
      </c>
    </row>
    <row r="209">
      <c r="A209" s="1">
        <v>5.0</v>
      </c>
      <c r="B209" s="1" t="s">
        <v>210</v>
      </c>
      <c r="C209" t="str">
        <f>IFERROR(__xludf.DUMMYFUNCTION("GOOGLETRANSLATE(B209, ""es"", ""en"")"),"ok clock")</f>
        <v>ok clock</v>
      </c>
    </row>
    <row r="210">
      <c r="A210" s="1">
        <v>5.0</v>
      </c>
      <c r="B210" s="1" t="s">
        <v>211</v>
      </c>
      <c r="C210" t="str">
        <f>IFERROR(__xludf.DUMMYFUNCTION("GOOGLETRANSLATE(B210, ""es"", ""en"")"),"Shoe very comfortable and very light very good buy")</f>
        <v>Shoe very comfortable and very light very good buy</v>
      </c>
    </row>
    <row r="211">
      <c r="A211" s="1">
        <v>5.0</v>
      </c>
      <c r="B211" s="1" t="s">
        <v>212</v>
      </c>
      <c r="C211" t="str">
        <f>IFERROR(__xludf.DUMMYFUNCTION("GOOGLETRANSLATE(B211, ""es"", ""en"")"),"Great buy very satisfied, very beautiful, looks very strong and if not waterproof least fairly resistant to water, medium-small capacity, is what he wanted. Capacity for large tablets and notebooks DIN-A4. Ability to handle one or the other band and adjus"&amp;"table, and is treated with a product to repel water, which leaves her with a hard texture but I do not dislike and I guess k will eventually softening. The concept of anti-theft I would not wear it, if you want pk can open up the zipper if problem, you ca"&amp;"n place it ahead to avoid risks and is very comfortable.")</f>
        <v>Great buy very satisfied, very beautiful, looks very strong and if not waterproof least fairly resistant to water, medium-small capacity, is what he wanted. Capacity for large tablets and notebooks DIN-A4. Ability to handle one or the other band and adjustable, and is treated with a product to repel water, which leaves her with a hard texture but I do not dislike and I guess k will eventually softening. The concept of anti-theft I would not wear it, if you want pk can open up the zipper if problem, you can place it ahead to avoid risks and is very comfortable.</v>
      </c>
    </row>
    <row r="212">
      <c r="A212" s="1">
        <v>5.0</v>
      </c>
      <c r="B212" s="1" t="s">
        <v>213</v>
      </c>
      <c r="C212" t="str">
        <f>IFERROR(__xludf.DUMMYFUNCTION("GOOGLETRANSLATE(B212, ""es"", ""en"")"),"Lovely lovely and very well packaged.")</f>
        <v>Lovely lovely and very well packaged.</v>
      </c>
    </row>
    <row r="213">
      <c r="A213" s="1">
        <v>5.0</v>
      </c>
      <c r="B213" s="1" t="s">
        <v>214</v>
      </c>
      <c r="C213" t="str">
        <f>IFERROR(__xludf.DUMMYFUNCTION("GOOGLETRANSLATE(B213, ""es"", ""en"")"),"Good product Despite being a simple card, goes smoothly mobile since I've incorporated the card. In addition, the delivery service has been excellent, receiving the product soon.")</f>
        <v>Good product Despite being a simple card, goes smoothly mobile since I've incorporated the card. In addition, the delivery service has been excellent, receiving the product soon.</v>
      </c>
    </row>
    <row r="214">
      <c r="A214" s="1">
        <v>5.0</v>
      </c>
      <c r="B214" s="1" t="s">
        <v>42</v>
      </c>
      <c r="C214" t="str">
        <f>IFERROR(__xludf.DUMMYFUNCTION("GOOGLETRANSLATE(B214, ""es"", ""en"")"),"Well well")</f>
        <v>Well well</v>
      </c>
    </row>
    <row r="215">
      <c r="A215" s="1">
        <v>5.0</v>
      </c>
      <c r="B215" s="1" t="s">
        <v>215</v>
      </c>
      <c r="C215" t="str">
        <f>IFERROR(__xludf.DUMMYFUNCTION("GOOGLETRANSLATE(B215, ""es"", ""en"")"),"FLEECE FLEECE tight and comfortable adjusted to comfortably move around the boat in sailing, lightweight and comfortable.")</f>
        <v>FLEECE FLEECE tight and comfortable adjusted to comfortably move around the boat in sailing, lightweight and comfortable.</v>
      </c>
    </row>
    <row r="216">
      <c r="A216" s="1">
        <v>5.0</v>
      </c>
      <c r="B216" s="1" t="s">
        <v>216</v>
      </c>
      <c r="C216" t="str">
        <f>IFERROR(__xludf.DUMMYFUNCTION("GOOGLETRANSLATE(B216, ""es"", ""en"")"),"Very useful. Previously bought another brand and the first day ... They were oxidized if they are stainless steel and are doing very well. Fully recommended.")</f>
        <v>Very useful. Previously bought another brand and the first day ... They were oxidized if they are stainless steel and are doing very well. Fully recommended.</v>
      </c>
    </row>
    <row r="217">
      <c r="A217" s="1">
        <v>5.0</v>
      </c>
      <c r="B217" s="1" t="s">
        <v>217</v>
      </c>
      <c r="C217" t="str">
        <f>IFERROR(__xludf.DUMMYFUNCTION("GOOGLETRANSLATE(B217, ""es"", ""en"")"),"Very good vitamins are very good. Use the pregnancy and now you are breastfeeding.")</f>
        <v>Very good vitamins are very good. Use the pregnancy and now you are breastfeeding.</v>
      </c>
    </row>
    <row r="218">
      <c r="A218" s="1">
        <v>2.0</v>
      </c>
      <c r="B218" s="1" t="s">
        <v>218</v>
      </c>
      <c r="C218" t="str">
        <f>IFERROR(__xludf.DUMMYFUNCTION("GOOGLETRANSLATE(B218, ""es"", ""en"")"),"Q is not expected not work well my humidor also leaves all around wet. Steam exits and no water is dispersed around the apparatus and wets all.")</f>
        <v>Q is not expected not work well my humidor also leaves all around wet. Steam exits and no water is dispersed around the apparatus and wets all.</v>
      </c>
    </row>
    <row r="219">
      <c r="A219" s="1">
        <v>3.0</v>
      </c>
      <c r="B219" s="1" t="s">
        <v>219</v>
      </c>
      <c r="C219" t="str">
        <f>IFERROR(__xludf.DUMMYFUNCTION("GOOGLETRANSLATE(B219, ""es"", ""en"")"),"Mal Mal carved carved one S is like a L")</f>
        <v>Mal Mal carved carved one S is like a L</v>
      </c>
    </row>
    <row r="220">
      <c r="A220" s="1">
        <v>3.0</v>
      </c>
      <c r="B220" s="1" t="s">
        <v>220</v>
      </c>
      <c r="C220" t="str">
        <f>IFERROR(__xludf.DUMMYFUNCTION("GOOGLETRANSLATE(B220, ""es"", ""en"")"),"Too strong smell was a gift. Bring variety of oils, I have not had chance to try them as having asthma to affect me too strong odors.")</f>
        <v>Too strong smell was a gift. Bring variety of oils, I have not had chance to try them as having asthma to affect me too strong odors.</v>
      </c>
    </row>
    <row r="221">
      <c r="A221" s="1">
        <v>1.0</v>
      </c>
      <c r="B221" s="1" t="s">
        <v>221</v>
      </c>
      <c r="C221" t="str">
        <f>IFERROR(__xludf.DUMMYFUNCTION("GOOGLETRANSLATE(B221, ""es"", ""en"")"),"I lasted one year whole year of use, accessories are breaking slowly. Of the first tube comes out and falls to the floor hard with what parquets careful with that brand. Then the wheel and filter out and have to be taped American and even with those. It's"&amp;" a shame because I think what is the great engine but the finishing works are painful. He was looking to buy a robot vacuum cleaner and having that brand seem worse because of this great vacuum cleaner brand I buy another insurance. Regards.")</f>
        <v>I lasted one year whole year of use, accessories are breaking slowly. Of the first tube comes out and falls to the floor hard with what parquets careful with that brand. Then the wheel and filter out and have to be taped American and even with those. It's a shame because I think what is the great engine but the finishing works are painful. He was looking to buy a robot vacuum cleaner and having that brand seem worse because of this great vacuum cleaner brand I buy another insurance. Regards.</v>
      </c>
    </row>
    <row r="222">
      <c r="A222" s="1">
        <v>1.0</v>
      </c>
      <c r="B222" s="1" t="s">
        <v>222</v>
      </c>
      <c r="C222" t="str">
        <f>IFERROR(__xludf.DUMMYFUNCTION("GOOGLETRANSLATE(B222, ""es"", ""en"")"),"unexpected surprise I bought a bottle through this platform because I had one just like it (bought in a hypermarket). My surprise has come when I'll give the girl and did not come nipple pierced. I tried to make him with a needle but it has been impossibl"&amp;"e to make the same role that I already had. I am quite dissatisfied, to the end I spared no time buying online, I have to go to the supermarket to buy baby bottle nipples or other.")</f>
        <v>unexpected surprise I bought a bottle through this platform because I had one just like it (bought in a hypermarket). My surprise has come when I'll give the girl and did not come nipple pierced. I tried to make him with a needle but it has been impossible to make the same role that I already had. I am quite dissatisfied, to the end I spared no time buying online, I have to go to the supermarket to buy baby bottle nipples or other.</v>
      </c>
    </row>
    <row r="223">
      <c r="A223" s="1">
        <v>1.0</v>
      </c>
      <c r="B223" s="1" t="s">
        <v>223</v>
      </c>
      <c r="C223" t="str">
        <f>IFERROR(__xludf.DUMMYFUNCTION("GOOGLETRANSLATE(B223, ""es"", ""en"")"),"It's just for aches remove, not to strengthen or exercise I bought it because he said the announcement was good for both pain removed as exercise but it is only the first, because in the instructions there is no way to strengthen or anything. I returned")</f>
        <v>It's just for aches remove, not to strengthen or exercise I bought it because he said the announcement was good for both pain removed as exercise but it is only the first, because in the instructions there is no way to strengthen or anything. I returned</v>
      </c>
    </row>
    <row r="224">
      <c r="A224" s="1">
        <v>4.0</v>
      </c>
      <c r="B224" s="1" t="s">
        <v>224</v>
      </c>
      <c r="C224" t="str">
        <f>IFERROR(__xludf.DUMMYFUNCTION("GOOGLETRANSLATE(B224, ""es"", ""en"")"),"A great product very comfortable and beautiful shoes. Eye, used a size 38 and a size 37 bought on purpose. It does not take the 5 stars for the mess of sizes (with a return through) and the elastic strands, not just them.")</f>
        <v>A great product very comfortable and beautiful shoes. Eye, used a size 38 and a size 37 bought on purpose. It does not take the 5 stars for the mess of sizes (with a return through) and the elastic strands, not just them.</v>
      </c>
    </row>
    <row r="225">
      <c r="A225" s="1">
        <v>4.0</v>
      </c>
      <c r="B225" s="1" t="s">
        <v>225</v>
      </c>
      <c r="C225" t="str">
        <f>IFERROR(__xludf.DUMMYFUNCTION("GOOGLETRANSLATE(B225, ""es"", ""en"")"),"Watch am very happy with the watch I like and I get along just one catch, is that the bracelet should go to the watchmaker to adjust")</f>
        <v>Watch am very happy with the watch I like and I get along just one catch, is that the bracelet should go to the watchmaker to adjust</v>
      </c>
    </row>
    <row r="226">
      <c r="A226" s="1">
        <v>4.0</v>
      </c>
      <c r="B226" s="1" t="s">
        <v>226</v>
      </c>
      <c r="C226" t="str">
        <f>IFERROR(__xludf.DUMMYFUNCTION("GOOGLETRANSLATE(B226, ""es"", ""en"")"),"Relaxing! At the beginning it is uncomfortable, but after 5 minutes is relaxing! I do not regret I bought it and I have really advising a friend who is happy at the moment!")</f>
        <v>Relaxing! At the beginning it is uncomfortable, but after 5 minutes is relaxing! I do not regret I bought it and I have really advising a friend who is happy at the moment!</v>
      </c>
    </row>
    <row r="227">
      <c r="A227" s="1">
        <v>4.0</v>
      </c>
      <c r="B227" s="1" t="s">
        <v>227</v>
      </c>
      <c r="C227" t="str">
        <f>IFERROR(__xludf.DUMMYFUNCTION("GOOGLETRANSLATE(B227, ""es"", ""en"")"),"Quality good quality at a good price. Very comfortable.")</f>
        <v>Quality good quality at a good price. Very comfortable.</v>
      </c>
    </row>
    <row r="228">
      <c r="A228" s="1">
        <v>5.0</v>
      </c>
      <c r="B228" s="1" t="s">
        <v>228</v>
      </c>
      <c r="C228" t="str">
        <f>IFERROR(__xludf.DUMMYFUNCTION("GOOGLETRANSLATE(B228, ""es"", ""en"")"),"Very nice very nice and they come in the box.")</f>
        <v>Very nice very nice and they come in the box.</v>
      </c>
    </row>
    <row r="229">
      <c r="A229" s="1">
        <v>5.0</v>
      </c>
      <c r="B229" s="1" t="s">
        <v>229</v>
      </c>
      <c r="C229" t="str">
        <f>IFERROR(__xludf.DUMMYFUNCTION("GOOGLETRANSLATE(B229, ""es"", ""en"")"),"everything ok everything ok")</f>
        <v>everything ok everything ok</v>
      </c>
    </row>
    <row r="230">
      <c r="A230" s="1">
        <v>5.0</v>
      </c>
      <c r="B230" s="1" t="s">
        <v>230</v>
      </c>
      <c r="C230" t="str">
        <f>IFERROR(__xludf.DUMMYFUNCTION("GOOGLETRANSLATE(B230, ""es"", ""en"")"),"Spectacular Very good size and performance. Dual spectacular. Sandisk is recommended brand and the price accordingly. Okay")</f>
        <v>Spectacular Very good size and performance. Dual spectacular. Sandisk is recommended brand and the price accordingly. Okay</v>
      </c>
    </row>
    <row r="231">
      <c r="A231" s="1">
        <v>5.0</v>
      </c>
      <c r="B231" s="1" t="s">
        <v>231</v>
      </c>
      <c r="C231" t="str">
        <f>IFERROR(__xludf.DUMMYFUNCTION("GOOGLETRANSLATE(B231, ""es"", ""en"")"),"Fully recommended Good product value, does little noise and has a lot of capacity, plus the bonus of the remote control.")</f>
        <v>Fully recommended Good product value, does little noise and has a lot of capacity, plus the bonus of the remote control.</v>
      </c>
    </row>
    <row r="232">
      <c r="A232" s="1">
        <v>5.0</v>
      </c>
      <c r="B232" s="1" t="s">
        <v>232</v>
      </c>
      <c r="C232" t="str">
        <f>IFERROR(__xludf.DUMMYFUNCTION("GOOGLETRANSLATE(B232, ""es"", ""en"")"),"Design, quality and speed of service Designs")</f>
        <v>Design, quality and speed of service Designs</v>
      </c>
    </row>
    <row r="233">
      <c r="A233" s="1">
        <v>5.0</v>
      </c>
      <c r="B233" s="1" t="s">
        <v>233</v>
      </c>
      <c r="C233" t="str">
        <f>IFERROR(__xludf.DUMMYFUNCTION("GOOGLETRANSLATE(B233, ""es"", ""en"")"),"A good alternative to the old skool Van thin! Carve and washed well without problem, the gray dirty truth that easy")</f>
        <v>A good alternative to the old skool Van thin! Carve and washed well without problem, the gray dirty truth that easy</v>
      </c>
    </row>
    <row r="234">
      <c r="A234" s="1">
        <v>5.0</v>
      </c>
      <c r="B234" s="1" t="s">
        <v>234</v>
      </c>
      <c r="C234" t="str">
        <f>IFERROR(__xludf.DUMMYFUNCTION("GOOGLETRANSLATE(B234, ""es"", ""en"")"),"Arnica massage cream is fine, cream spreads well, quite calm pains because they are very strong and difficult to remove. It goes very well priced relative quality and quantity of product. I recommend buyer.")</f>
        <v>Arnica massage cream is fine, cream spreads well, quite calm pains because they are very strong and difficult to remove. It goes very well priced relative quality and quantity of product. I recommend buyer.</v>
      </c>
    </row>
    <row r="235">
      <c r="A235" s="1">
        <v>5.0</v>
      </c>
      <c r="B235" s="1" t="s">
        <v>235</v>
      </c>
      <c r="C235" t="str">
        <f>IFERROR(__xludf.DUMMYFUNCTION("GOOGLETRANSLATE(B235, ""es"", ""en"")"),"Super comfortable shoes. I love!!! Waitressing job at the least 8h a day and are really comfortable. Recommended to 100%")</f>
        <v>Super comfortable shoes. I love!!! Waitressing job at the least 8h a day and are really comfortable. Recommended to 100%</v>
      </c>
    </row>
    <row r="236">
      <c r="A236" s="1">
        <v>5.0</v>
      </c>
      <c r="B236" s="1" t="s">
        <v>236</v>
      </c>
      <c r="C236" t="str">
        <f>IFERROR(__xludf.DUMMYFUNCTION("GOOGLETRANSLATE(B236, ""es"", ""en"")"),"Perfec is perfect as directed and description of the product. So all good packaging, presentation. Okay")</f>
        <v>Perfec is perfect as directed and description of the product. So all good packaging, presentation. Okay</v>
      </c>
    </row>
    <row r="237">
      <c r="A237" s="1">
        <v>5.0</v>
      </c>
      <c r="B237" s="1" t="s">
        <v>237</v>
      </c>
      <c r="C237" t="str">
        <f>IFERROR(__xludf.DUMMYFUNCTION("GOOGLETRANSLATE(B237, ""es"", ""en"")"),"Very good Excellent purchase")</f>
        <v>Very good Excellent purchase</v>
      </c>
    </row>
    <row r="238">
      <c r="A238" s="1">
        <v>5.0</v>
      </c>
      <c r="B238" s="1" t="s">
        <v>238</v>
      </c>
      <c r="C238" t="str">
        <f>IFERROR(__xludf.DUMMYFUNCTION("GOOGLETRANSLATE(B238, ""es"", ""en"")"),"perfect perfect")</f>
        <v>perfect perfect</v>
      </c>
    </row>
    <row r="239">
      <c r="A239" s="1">
        <v>5.0</v>
      </c>
      <c r="B239" s="1" t="s">
        <v>239</v>
      </c>
      <c r="C239" t="str">
        <f>IFERROR(__xludf.DUMMYFUNCTION("GOOGLETRANSLATE(B239, ""es"", ""en"")"),"Good value for money Very nice and good quality. A perfect gift for children because it makes them very excited and entertained a lot of painting it. I gave it to the children in my daughter's birthday instead of sweets bag and triumphed.")</f>
        <v>Good value for money Very nice and good quality. A perfect gift for children because it makes them very excited and entertained a lot of painting it. I gave it to the children in my daughter's birthday instead of sweets bag and triumphed.</v>
      </c>
    </row>
    <row r="240">
      <c r="A240" s="1">
        <v>5.0</v>
      </c>
      <c r="B240" s="1" t="s">
        <v>240</v>
      </c>
      <c r="C240" t="str">
        <f>IFERROR(__xludf.DUMMYFUNCTION("GOOGLETRANSLATE(B240, ""es"", ""en"")"),"Good buy. I did not expect such quality and comfort, good buy. Correct shipping service.")</f>
        <v>Good buy. I did not expect such quality and comfort, good buy. Correct shipping service.</v>
      </c>
    </row>
    <row r="241">
      <c r="A241" s="1">
        <v>5.0</v>
      </c>
      <c r="B241" s="1" t="s">
        <v>241</v>
      </c>
      <c r="C241" t="str">
        <f>IFERROR(__xludf.DUMMYFUNCTION("GOOGLETRANSLATE(B241, ""es"", ""en"")"),"FUNDAS for plasticizing I love them, I use them a lot and are already the sixths I ask, always perfect and great")</f>
        <v>FUNDAS for plasticizing I love them, I use them a lot and are already the sixths I ask, always perfect and great</v>
      </c>
    </row>
    <row r="242">
      <c r="A242" s="1">
        <v>5.0</v>
      </c>
      <c r="B242" s="1" t="s">
        <v>242</v>
      </c>
      <c r="C242" t="str">
        <f>IFERROR(__xludf.DUMMYFUNCTION("GOOGLETRANSLATE(B242, ""es"", ""en"")"),"Q haha ​​TLV was broken and I did not help")</f>
        <v>Q haha ​​TLV was broken and I did not help</v>
      </c>
    </row>
    <row r="243">
      <c r="A243" s="1">
        <v>5.0</v>
      </c>
      <c r="B243" s="1" t="s">
        <v>243</v>
      </c>
      <c r="C243" t="str">
        <f>IFERROR(__xludf.DUMMYFUNCTION("GOOGLETRANSLATE(B243, ""es"", ""en"")"),"Very good choice. Fully recommended. I use it to mix powdered milk my child and porridge and is perfect. The fact that it has different rods makes it much better buy than any other product in the market.")</f>
        <v>Very good choice. Fully recommended. I use it to mix powdered milk my child and porridge and is perfect. The fact that it has different rods makes it much better buy than any other product in the market.</v>
      </c>
    </row>
    <row r="244">
      <c r="A244" s="1">
        <v>5.0</v>
      </c>
      <c r="B244" s="1" t="s">
        <v>244</v>
      </c>
      <c r="C244" t="str">
        <f>IFERROR(__xludf.DUMMYFUNCTION("GOOGLETRANSLATE(B244, ""es"", ""en"")"),"Very good very good. Ideal which go together with a ring")</f>
        <v>Very good very good. Ideal which go together with a ring</v>
      </c>
    </row>
    <row r="245">
      <c r="A245" s="1">
        <v>5.0</v>
      </c>
      <c r="B245" s="1" t="s">
        <v>245</v>
      </c>
      <c r="C245" t="str">
        <f>IFERROR(__xludf.DUMMYFUNCTION("GOOGLETRANSLATE(B245, ""es"", ""en"")"),"Super comfortable excellent stay and super comfortable")</f>
        <v>Super comfortable excellent stay and super comfortable</v>
      </c>
    </row>
    <row r="246">
      <c r="A246" s="1">
        <v>5.0</v>
      </c>
      <c r="B246" s="1" t="s">
        <v>246</v>
      </c>
      <c r="C246" t="str">
        <f>IFERROR(__xludf.DUMMYFUNCTION("GOOGLETRANSLATE(B246, ""es"", ""en"")"),"Cash! Muchísmo sweat and very hygienic, because then rinsed with water and there is no smell of sweat. Good materials and comes to me almost under the breast. Phenomenal burning thighs, ass and waist .... yes .... you have to do sport !!!")</f>
        <v>Cash! Muchísmo sweat and very hygienic, because then rinsed with water and there is no smell of sweat. Good materials and comes to me almost under the breast. Phenomenal burning thighs, ass and waist .... yes .... you have to do sport !!!</v>
      </c>
    </row>
    <row r="247">
      <c r="A247" s="1">
        <v>2.0</v>
      </c>
      <c r="B247" s="1" t="s">
        <v>247</v>
      </c>
      <c r="C247" t="str">
        <f>IFERROR(__xludf.DUMMYFUNCTION("GOOGLETRANSLATE(B247, ""es"", ""en"")"),"Headphones incredible price, but battery to a minimum. I was hesitant to headphones so good price, and I knew that could not be very good ... but the impression is very good because the sound has impressed me, I have associated with a transmitter that sen"&amp;"ds the audio signal of a old TV and power is good. The design is simple and clean and simple materials but sounds great music that sends mobile and to watch TV without disturbing are very good choice. The only but is that logically this price the battery "&amp;"lasts little more than an hour, the first time I seemed to prove short-lived, but I repeat the test and battery lasts an hour. Scrap.")</f>
        <v>Headphones incredible price, but battery to a minimum. I was hesitant to headphones so good price, and I knew that could not be very good ... but the impression is very good because the sound has impressed me, I have associated with a transmitter that sends the audio signal of a old TV and power is good. The design is simple and clean and simple materials but sounds great music that sends mobile and to watch TV without disturbing are very good choice. The only but is that logically this price the battery lasts little more than an hour, the first time I seemed to prove short-lived, but I repeat the test and battery lasts an hour. Scrap.</v>
      </c>
    </row>
    <row r="248">
      <c r="A248" s="1">
        <v>3.0</v>
      </c>
      <c r="B248" s="1" t="s">
        <v>248</v>
      </c>
      <c r="C248" t="str">
        <f>IFERROR(__xludf.DUMMYFUNCTION("GOOGLETRANSLATE(B248, ""es"", ""en"")"),"defective item. I went to try and restraint cords was not properly secured and released. The reparare, no more.")</f>
        <v>defective item. I went to try and restraint cords was not properly secured and released. The reparare, no more.</v>
      </c>
    </row>
    <row r="249">
      <c r="A249" s="1">
        <v>3.0</v>
      </c>
      <c r="B249" s="1" t="s">
        <v>249</v>
      </c>
      <c r="C249" t="str">
        <f>IFERROR(__xludf.DUMMYFUNCTION("GOOGLETRANSLATE(B249, ""es"", ""en"")"),"I should have caught a size less shoes are nice, as is the photo. But I can not say anything about comfort, because I have this big. I should have caught one size smaller.")</f>
        <v>I should have caught a size less shoes are nice, as is the photo. But I can not say anything about comfort, because I have this big. I should have caught one size smaller.</v>
      </c>
    </row>
    <row r="250">
      <c r="A250" s="1">
        <v>1.0</v>
      </c>
      <c r="B250" s="1" t="s">
        <v>250</v>
      </c>
      <c r="C250" t="str">
        <f>IFERROR(__xludf.DUMMYFUNCTION("GOOGLETRANSLATE(B250, ""es"", ""en"")"),"Fake not spoil quickly buy some")</f>
        <v>Fake not spoil quickly buy some</v>
      </c>
    </row>
    <row r="251">
      <c r="A251" s="1">
        <v>4.0</v>
      </c>
      <c r="B251" s="1" t="s">
        <v>251</v>
      </c>
      <c r="C251" t="str">
        <f>IFERROR(__xludf.DUMMYFUNCTION("GOOGLETRANSLATE(B251, ""es"", ""en"")"),"They are like the picture as expected")</f>
        <v>They are like the picture as expected</v>
      </c>
    </row>
    <row r="252">
      <c r="A252" s="1">
        <v>4.0</v>
      </c>
      <c r="B252" s="1" t="s">
        <v>252</v>
      </c>
      <c r="C252" t="str">
        <f>IFERROR(__xludf.DUMMYFUNCTION("GOOGLETRANSLATE(B252, ""es"", ""en"")"),"As expected it has lots of power. At the moment I am very happy")</f>
        <v>As expected it has lots of power. At the moment I am very happy</v>
      </c>
    </row>
    <row r="253">
      <c r="A253" s="1">
        <v>4.0</v>
      </c>
      <c r="B253" s="1" t="s">
        <v>253</v>
      </c>
      <c r="C253" t="str">
        <f>IFERROR(__xludf.DUMMYFUNCTION("GOOGLETRANSLATE(B253, ""es"", ""en"")"),"I arrive at recommended time easy to use a few clunkers clean but good standard but works fine")</f>
        <v>I arrive at recommended time easy to use a few clunkers clean but good standard but works fine</v>
      </c>
    </row>
    <row r="254">
      <c r="A254" s="1">
        <v>4.0</v>
      </c>
      <c r="B254" s="1" t="s">
        <v>254</v>
      </c>
      <c r="C254" t="str">
        <f>IFERROR(__xludf.DUMMYFUNCTION("GOOGLETRANSLATE(B254, ""es"", ""en"")"),"Elegant is very pretty and summery")</f>
        <v>Elegant is very pretty and summery</v>
      </c>
    </row>
    <row r="255">
      <c r="A255" s="1">
        <v>4.0</v>
      </c>
      <c r="B255" s="1" t="s">
        <v>255</v>
      </c>
      <c r="C255" t="str">
        <f>IFERROR(__xludf.DUMMYFUNCTION("GOOGLETRANSLATE(B255, ""es"", ""en"")"),"It sticks well is fine, but cut bad. Thin sheets are used to coat a wall pierced with thumbtacks, although it is finite and do not enter skewers the whole, but is pretty good.")</f>
        <v>It sticks well is fine, but cut bad. Thin sheets are used to coat a wall pierced with thumbtacks, although it is finite and do not enter skewers the whole, but is pretty good.</v>
      </c>
    </row>
    <row r="256">
      <c r="A256" s="1">
        <v>5.0</v>
      </c>
      <c r="B256" s="1" t="s">
        <v>256</v>
      </c>
      <c r="C256" t="str">
        <f>IFERROR(__xludf.DUMMYFUNCTION("GOOGLETRANSLATE(B256, ""es"", ""en"")"),"ABSOLUTE COMFORT TO CLEAN HOUSE IN A FEW MINUTES For now very happy with the product. It handles very easily. Suctioned without difficulty all kinds of dirt on any surface, including carpets. Convenient base for deposit without difficulty and have it read"&amp;"y for a new use in a few hours. Value for money very good.")</f>
        <v>ABSOLUTE COMFORT TO CLEAN HOUSE IN A FEW MINUTES For now very happy with the product. It handles very easily. Suctioned without difficulty all kinds of dirt on any surface, including carpets. Convenient base for deposit without difficulty and have it ready for a new use in a few hours. Value for money very good.</v>
      </c>
    </row>
    <row r="257">
      <c r="A257" s="1">
        <v>5.0</v>
      </c>
      <c r="B257" s="1" t="s">
        <v>257</v>
      </c>
      <c r="C257" t="str">
        <f>IFERROR(__xludf.DUMMYFUNCTION("GOOGLETRANSLATE(B257, ""es"", ""en"")"),"Excellent oil I loved, and I'm super happy with this purchase: the quality of the product presentation in container dark d glass and of course the competitive price, when I run out to buy it back, certainly a success")</f>
        <v>Excellent oil I loved, and I'm super happy with this purchase: the quality of the product presentation in container dark d glass and of course the competitive price, when I run out to buy it back, certainly a success</v>
      </c>
    </row>
    <row r="258">
      <c r="A258" s="1">
        <v>5.0</v>
      </c>
      <c r="B258" s="1" t="s">
        <v>258</v>
      </c>
      <c r="C258" t="str">
        <f>IFERROR(__xludf.DUMMYFUNCTION("GOOGLETRANSLATE(B258, ""es"", ""en"")"),"Great for the office I liked everything, bring 6 units, very nice and very bright colors. Just as I expected. I use them to carry identification hung at work and is comfortable and does the job. Very happy.")</f>
        <v>Great for the office I liked everything, bring 6 units, very nice and very bright colors. Just as I expected. I use them to carry identification hung at work and is comfortable and does the job. Very happy.</v>
      </c>
    </row>
    <row r="259">
      <c r="A259" s="1">
        <v>5.0</v>
      </c>
      <c r="B259" s="1" t="s">
        <v>259</v>
      </c>
      <c r="C259" t="str">
        <f>IFERROR(__xludf.DUMMYFUNCTION("GOOGLETRANSLATE(B259, ""es"", ""en"")"),"The results are noticeable with three applications the results are noticed, an outline much brighter and smooth. Easy application and do not move the eye contour. They are perfect for makeup before and if you want greater anti-puffiness results can be put"&amp;" in the refrigerator. Recommended for sensitive skin. My wife delighted with the product 👍")</f>
        <v>The results are noticeable with three applications the results are noticed, an outline much brighter and smooth. Easy application and do not move the eye contour. They are perfect for makeup before and if you want greater anti-puffiness results can be put in the refrigerator. Recommended for sensitive skin. My wife delighted with the product 👍</v>
      </c>
    </row>
    <row r="260">
      <c r="A260" s="1">
        <v>5.0</v>
      </c>
      <c r="B260" s="1" t="s">
        <v>260</v>
      </c>
      <c r="C260" t="str">
        <f>IFERROR(__xludf.DUMMYFUNCTION("GOOGLETRANSLATE(B260, ""es"", ""en"")"),"EXCELLENT cream. Within three minutes the skin absorbs cream, DAILY USE AND GO BACK TO PHENOMENAL.")</f>
        <v>EXCELLENT cream. Within three minutes the skin absorbs cream, DAILY USE AND GO BACK TO PHENOMENAL.</v>
      </c>
    </row>
    <row r="261">
      <c r="A261" s="1">
        <v>5.0</v>
      </c>
      <c r="B261" s="1" t="s">
        <v>261</v>
      </c>
      <c r="C261" t="str">
        <f>IFERROR(__xludf.DUMMYFUNCTION("GOOGLETRANSLATE(B261, ""es"", ""en"")"),"Light and powerful quality and super lightweight. I used the Athlete of Bosch and this weighs half with a lot more power. I recommend it!")</f>
        <v>Light and powerful quality and super lightweight. I used the Athlete of Bosch and this weighs half with a lot more power. I recommend it!</v>
      </c>
    </row>
    <row r="262">
      <c r="A262" s="1">
        <v>5.0</v>
      </c>
      <c r="B262" s="1" t="s">
        <v>262</v>
      </c>
      <c r="C262" t="str">
        <f>IFERROR(__xludf.DUMMYFUNCTION("GOOGLETRANSLATE(B262, ""es"", ""en"")"),"Beautiful. It was a gift for my mother and loved is lovely, perfect size. Bright finish care. Perfectly packaged in padded box jewelry. I bought a gift and was a complete success!")</f>
        <v>Beautiful. It was a gift for my mother and loved is lovely, perfect size. Bright finish care. Perfectly packaged in padded box jewelry. I bought a gift and was a complete success!</v>
      </c>
    </row>
    <row r="263">
      <c r="A263" s="1">
        <v>5.0</v>
      </c>
      <c r="B263" s="1" t="s">
        <v>263</v>
      </c>
      <c r="C263" t="str">
        <f>IFERROR(__xludf.DUMMYFUNCTION("GOOGLETRANSLATE(B263, ""es"", ""en"")"),"Value ok're fine")</f>
        <v>Value ok're fine</v>
      </c>
    </row>
    <row r="264">
      <c r="A264" s="1">
        <v>5.0</v>
      </c>
      <c r="B264" s="1" t="s">
        <v>264</v>
      </c>
      <c r="C264" t="str">
        <f>IFERROR(__xludf.DUMMYFUNCTION("GOOGLETRANSLATE(B264, ""es"", ""en"")"),"I'm still in love after much time using these shoes and are like new. I use daily and I went to concerts and festivals that bring many with fatigue and dirt for shoes. Recommended hundred hundred")</f>
        <v>I'm still in love after much time using these shoes and are like new. I use daily and I went to concerts and festivals that bring many with fatigue and dirt for shoes. Recommended hundred hundred</v>
      </c>
    </row>
    <row r="265">
      <c r="A265" s="1">
        <v>5.0</v>
      </c>
      <c r="B265" s="1" t="s">
        <v>265</v>
      </c>
      <c r="C265" t="str">
        <f>IFERROR(__xludf.DUMMYFUNCTION("GOOGLETRANSLATE(B265, ""es"", ""en"")"),"Hit a gift and sizing was good, quality very well.")</f>
        <v>Hit a gift and sizing was good, quality very well.</v>
      </c>
    </row>
    <row r="266">
      <c r="A266" s="1">
        <v>5.0</v>
      </c>
      <c r="B266" s="1" t="s">
        <v>266</v>
      </c>
      <c r="C266" t="str">
        <f>IFERROR(__xludf.DUMMYFUNCTION("GOOGLETRANSLATE(B266, ""es"", ""en"")"),"They are perfect as the description says and very good quality")</f>
        <v>They are perfect as the description says and very good quality</v>
      </c>
    </row>
    <row r="267">
      <c r="A267" s="1">
        <v>5.0</v>
      </c>
      <c r="B267" s="1" t="s">
        <v>267</v>
      </c>
      <c r="C267" t="str">
        <f>IFERROR(__xludf.DUMMYFUNCTION("GOOGLETRANSLATE(B267, ""es"", ""en"")"),"Braun stalwart The second I use in 20 years, I have tried other brands and returned to my braun. It's fast, all crushed leaves and splashes. A marvel")</f>
        <v>Braun stalwart The second I use in 20 years, I have tried other brands and returned to my braun. It's fast, all crushed leaves and splashes. A marvel</v>
      </c>
    </row>
    <row r="268">
      <c r="A268" s="1">
        <v>5.0</v>
      </c>
      <c r="B268" s="1" t="s">
        <v>268</v>
      </c>
      <c r="C268" t="str">
        <f>IFERROR(__xludf.DUMMYFUNCTION("GOOGLETRANSLATE(B268, ""es"", ""en"")"),"Better than expected is the first time that a use Asics and I was surprised how little you weigh, I use a 46'5, and then wear them very comfortable. They can be used all day and not notice exhaustion feet. Highly recommended purchase")</f>
        <v>Better than expected is the first time that a use Asics and I was surprised how little you weigh, I use a 46'5, and then wear them very comfortable. They can be used all day and not notice exhaustion feet. Highly recommended purchase</v>
      </c>
    </row>
    <row r="269">
      <c r="A269" s="1">
        <v>5.0</v>
      </c>
      <c r="B269" s="1" t="s">
        <v>269</v>
      </c>
      <c r="C269" t="str">
        <f>IFERROR(__xludf.DUMMYFUNCTION("GOOGLETRANSLATE(B269, ""es"", ""en"")"),"Socks are good as expected. Chock 40 and I will perfect and still give of himself. Good value for money.")</f>
        <v>Socks are good as expected. Chock 40 and I will perfect and still give of himself. Good value for money.</v>
      </c>
    </row>
    <row r="270">
      <c r="A270" s="1">
        <v>5.0</v>
      </c>
      <c r="B270" s="1" t="s">
        <v>270</v>
      </c>
      <c r="C270" t="str">
        <f>IFERROR(__xludf.DUMMYFUNCTION("GOOGLETRANSLATE(B270, ""es"", ""en"")"),"Very comfortable Loved!")</f>
        <v>Very comfortable Loved!</v>
      </c>
    </row>
    <row r="271">
      <c r="A271" s="1">
        <v>5.0</v>
      </c>
      <c r="B271" s="1" t="s">
        <v>271</v>
      </c>
      <c r="C271" t="str">
        <f>IFERROR(__xludf.DUMMYFUNCTION("GOOGLETRANSLATE(B271, ""es"", ""en"")"),"Super cool and comfortable Very good")</f>
        <v>Super cool and comfortable Very good</v>
      </c>
    </row>
    <row r="272">
      <c r="A272" s="1">
        <v>5.0</v>
      </c>
      <c r="B272" s="1" t="s">
        <v>272</v>
      </c>
      <c r="C272" t="str">
        <f>IFERROR(__xludf.DUMMYFUNCTION("GOOGLETRANSLATE(B272, ""es"", ""en"")"),"Very nice nice and shiny and bright. They are the size of a coin of 20 cents or so.")</f>
        <v>Very nice nice and shiny and bright. They are the size of a coin of 20 cents or so.</v>
      </c>
    </row>
    <row r="273">
      <c r="A273" s="1">
        <v>5.0</v>
      </c>
      <c r="B273" s="1" t="s">
        <v>273</v>
      </c>
      <c r="C273" t="str">
        <f>IFERROR(__xludf.DUMMYFUNCTION("GOOGLETRANSLATE(B273, ""es"", ""en"")"),"Very correct bluetooth headphones I bought these headphones for a gift and I liked having a very simple design, elegant, beautiful and super practical, without cable. Despite not having lead the person to which I have given said posts are super good and n"&amp;"ot fall off even if you move or do sport. The package is very correct, very well presented. The quality of the sound, very good, has enough volume. It did not cost us anything sync. Bring instructions in Spanish, very useful. I liked the value for money. "&amp;"Amazing what battery lasts them and the box (which is loaded) gives to charge many times headphones, about 8, I had other headphones and just carried me 4 times. Currently there is nothing that we do not have liked.")</f>
        <v>Very correct bluetooth headphones I bought these headphones for a gift and I liked having a very simple design, elegant, beautiful and super practical, without cable. Despite not having lead the person to which I have given said posts are super good and not fall off even if you move or do sport. The package is very correct, very well presented. The quality of the sound, very good, has enough volume. It did not cost us anything sync. Bring instructions in Spanish, very useful. I liked the value for money. Amazing what battery lasts them and the box (which is loaded) gives to charge many times headphones, about 8, I had other headphones and just carried me 4 times. Currently there is nothing that we do not have liked.</v>
      </c>
    </row>
    <row r="274">
      <c r="A274" s="1">
        <v>2.0</v>
      </c>
      <c r="B274" s="1" t="s">
        <v>274</v>
      </c>
      <c r="C274" t="str">
        <f>IFERROR(__xludf.DUMMYFUNCTION("GOOGLETRANSLATE(B274, ""es"", ""en"")"),"The shoe soles slippery is beautiful, the fabric is very durable and easy to clean but watch as rain or a little step on a floor a bit slippery, you go to the ground. I do not know if it is a manufacturing fault in my shoes, but I have already fallen twic"&amp;"e.")</f>
        <v>The shoe soles slippery is beautiful, the fabric is very durable and easy to clean but watch as rain or a little step on a floor a bit slippery, you go to the ground. I do not know if it is a manufacturing fault in my shoes, but I have already fallen twice.</v>
      </c>
    </row>
    <row r="275">
      <c r="A275" s="1">
        <v>3.0</v>
      </c>
      <c r="B275" s="1" t="s">
        <v>275</v>
      </c>
      <c r="C275" t="str">
        <f>IFERROR(__xludf.DUMMYFUNCTION("GOOGLETRANSLATE(B275, ""es"", ""en"")"),"It conforms to the announcement. I like to work.")</f>
        <v>It conforms to the announcement. I like to work.</v>
      </c>
    </row>
    <row r="276">
      <c r="A276" s="1">
        <v>1.0</v>
      </c>
      <c r="B276" s="1" t="s">
        <v>276</v>
      </c>
      <c r="C276" t="str">
        <f>IFERROR(__xludf.DUMMYFUNCTION("GOOGLETRANSLATE(B276, ""es"", ""en"")"),"I bought the first failed experiment and returned it because it worked only reverse and could not find the charging base for coupling. They restocked me and sent me a second robot that did not work well. Contacted with the technical service iRobot, they t"&amp;"old me it was a new product that was causing problems. I finally returned to the second iRobot I will not buy more.")</f>
        <v>I bought the first failed experiment and returned it because it worked only reverse and could not find the charging base for coupling. They restocked me and sent me a second robot that did not work well. Contacted with the technical service iRobot, they told me it was a new product that was causing problems. I finally returned to the second iRobot I will not buy more.</v>
      </c>
    </row>
    <row r="277">
      <c r="A277" s="1">
        <v>1.0</v>
      </c>
      <c r="B277" s="1" t="s">
        <v>277</v>
      </c>
      <c r="C277" t="str">
        <f>IFERROR(__xludf.DUMMYFUNCTION("GOOGLETRANSLATE(B277, ""es"", ""en"")"),"Sleazy I lasted exactly 6 months. I do not understand how a brand like Assics can afford that. I suspect that they were actually an imitation, which say very little for Amazon.")</f>
        <v>Sleazy I lasted exactly 6 months. I do not understand how a brand like Assics can afford that. I suspect that they were actually an imitation, which say very little for Amazon.</v>
      </c>
    </row>
    <row r="278">
      <c r="A278" s="1">
        <v>1.0</v>
      </c>
      <c r="B278" s="1" t="s">
        <v>278</v>
      </c>
      <c r="C278" t="str">
        <f>IFERROR(__xludf.DUMMYFUNCTION("GOOGLETRANSLATE(B278, ""es"", ""en"")"),"It is in poor condition or has touched m China? I really like the size xq I can put on the key work and not lose it. But when I've used on different devices either do not recognize or restart the computers. Furthermore it heated loads when connected to an"&amp;"y system. I xq a shame I really like.")</f>
        <v>It is in poor condition or has touched m China? I really like the size xq I can put on the key work and not lose it. But when I've used on different devices either do not recognize or restart the computers. Furthermore it heated loads when connected to any system. I xq a shame I really like.</v>
      </c>
    </row>
    <row r="279">
      <c r="A279" s="1">
        <v>4.0</v>
      </c>
      <c r="B279" s="1" t="s">
        <v>279</v>
      </c>
      <c r="C279" t="str">
        <f>IFERROR(__xludf.DUMMYFUNCTION("GOOGLETRANSLATE(B279, ""es"", ""en"")"),"10. A 7'5 expected and at a good price. To go unnoticed among other books.")</f>
        <v>10. A 7'5 expected and at a good price. To go unnoticed among other books.</v>
      </c>
    </row>
    <row r="280">
      <c r="A280" s="1">
        <v>4.0</v>
      </c>
      <c r="B280" s="1" t="s">
        <v>280</v>
      </c>
      <c r="C280" t="str">
        <f>IFERROR(__xludf.DUMMYFUNCTION("GOOGLETRANSLATE(B280, ""es"", ""en"")"),"It's okay. With the price it is not the fastest. There are others who surpass him in reading, writing or both. But when you put it and do work, you appreciate it more. Gives a change to your old laptop. Windows boot in less than 30 seconds to 8 seconds .."&amp;". linux with the mechanic was 4 or 5 times longer.")</f>
        <v>It's okay. With the price it is not the fastest. There are others who surpass him in reading, writing or both. But when you put it and do work, you appreciate it more. Gives a change to your old laptop. Windows boot in less than 30 seconds to 8 seconds ... linux with the mechanic was 4 or 5 times longer.</v>
      </c>
    </row>
    <row r="281">
      <c r="A281" s="1">
        <v>4.0</v>
      </c>
      <c r="B281" s="1" t="s">
        <v>281</v>
      </c>
      <c r="C281" t="str">
        <f>IFERROR(__xludf.DUMMYFUNCTION("GOOGLETRANSLATE(B281, ""es"", ""en"")"),"Watch RFR simple, thin, discreet and functional. Excellent value for money. I use it daily to take him to work.")</f>
        <v>Watch RFR simple, thin, discreet and functional. Excellent value for money. I use it daily to take him to work.</v>
      </c>
    </row>
    <row r="282">
      <c r="A282" s="1">
        <v>4.0</v>
      </c>
      <c r="B282" s="1" t="s">
        <v>282</v>
      </c>
      <c r="C282" t="str">
        <f>IFERROR(__xludf.DUMMYFUNCTION("GOOGLETRANSLATE(B282, ""es"", ""en"")"),"It is perfect as shown")</f>
        <v>It is perfect as shown</v>
      </c>
    </row>
    <row r="283">
      <c r="A283" s="1">
        <v>4.0</v>
      </c>
      <c r="B283" s="1" t="s">
        <v>283</v>
      </c>
      <c r="C283" t="str">
        <f>IFERROR(__xludf.DUMMYFUNCTION("GOOGLETRANSLATE(B283, ""es"", ""en"")"),"Proteje of falls fits well on the hard disk, it seems fairly safe to avoid damaging falls. Closes with zip, has a pocket for cable and documentation. Also it has a conta to engage in the wrist when you transport and a carabiner")</f>
        <v>Proteje of falls fits well on the hard disk, it seems fairly safe to avoid damaging falls. Closes with zip, has a pocket for cable and documentation. Also it has a conta to engage in the wrist when you transport and a carabiner</v>
      </c>
    </row>
    <row r="284">
      <c r="A284" s="1">
        <v>5.0</v>
      </c>
      <c r="B284" s="1" t="s">
        <v>284</v>
      </c>
      <c r="C284" t="str">
        <f>IFERROR(__xludf.DUMMYFUNCTION("GOOGLETRANSLATE(B284, ""es"", ""en"")"),"Recommendable. &lt;Div id = ""video-block-R2WRAI0CDY71RE"" class = ""section a-a-a-spacing-small spacing-top-video mini-block""&gt; &lt;div tabindex = ""0"" class = ""airy airy-svg vmin- unsupported airy-skin-beacon ""style ="" background-color: rgb (0, 0, 0) posi"&amp;"tion: relative; width: 100%; height: 100%; font-size: 0px; overflow: hidden; outline: none ; ""&gt; &lt;div class ="" airy-renderer-container ""style ="" position: relative; height: 100%; width: 100%; ""&gt; &lt;video id ="" 7 ""preload ="" auto ""src ="" https: //im"&amp;"ages-eu.ssl-images-amazon.com/images/I/910jts3v2OS.mp4 ""style ="" position: absolute; left: 0px; top: 0px; overflow: hidden; height: 1px; width: 1px; "" &gt; &lt;/ video&gt; &lt;/ div&gt; &lt;div id = ""airy-slate-preload"" style = ""background-color: rgb (0, 0, 0); backg"&amp;"round-image: url (&amp; quot; https: // images- eu.ssl-images-amazon.com/images/I/A1tP9pX8NFS.png&amp;quot;); background-size: Contain; background-position: center center; background-repeat: no-repeat; position: absolute; top: 0px; left : 0px; visibility: visible"&amp;"; width: 100%; height: 100%; ""&gt; &lt;/ div&gt; &lt;iframe scrolling ="" no ""frameborde r = ""0"" src = ""about: blank"" style = ""display: none;""&gt; &lt;/ iframe&gt; &lt;div tabindex = ""- 1"" class = ""airy-controls-container"" style = ""opacity: 0; visibility: hidden; """&amp;"&gt; &lt;div tabindex ="" - 1 ""class ="" airy-screen-size-toggle airy-fullscreen ""&gt; &lt;/ div&gt; &lt;div tabindex ="" - 1 ""class ="" airy-container-bottom "" &gt; &lt;div tabindex = ""- 1"" class = ""airy-track-bar-spacer-left"" style = ""width: 11px;""&gt; &lt;/ div&gt; &lt;div tabi"&amp;"ndex = ""- 1"" class = ""airy-play- airy toggle-play ""style ="" width: 12px; margin-right: 12px; ""&gt; &lt;/ div&gt; &lt;div tabindex ="" - 1 ""class ="" airy-audio-elements ""style ="" float: right; width: 34px; ""&gt; &lt;div tabindex ="" - 1 ""class ="" airy-audio-tog"&amp;"gle airy-on ""&gt; &lt;/ div&gt; &lt;div tabindex ="" - 1 ""class ="" airy-audio-container ""style = ""opacity: 0; visibility: hidden; ""&gt; &lt;div tabindex ="" - 1 ""class ="" airy-audio-track-bar ""style ="" height: 80%; ""&gt; &lt;div tabindex ="" - 1 ""class ="" airy-audio"&amp;"- Scrubber-bar ""style ="" height: 85%; ""&gt; &lt;/ div&gt; &lt;div tabindex ="" - 1 ""class ="" airy-audio-scrubber ""style ="" height: 12px; bottom 85% ""&gt; &lt;/ div&gt; &lt;/ div&gt; &lt;/ div&gt; &lt;/ div&gt; &lt;div tabindex ="" - 1 ""class ="" airy-duration-label ""style ="" float: rig"&amp;"ht; width: 26px; margin-right: 4px; text-align: center; ""&gt; 0:00 &lt;/ div&gt; &lt;div tabindex ="" - 1 ""class ="" airy-track-bar-spacer-right ""style ="" float: right; width: 11px; ""&gt; &lt;/ div&gt; &lt;div tabindex ="" - 1 ""class ="" airy-track-bar-container ""style ="&amp;""" margin-left: 35px; margin-right: 75px; ""&gt; &lt;div tabindex ="" - 1 ""class ="" airy-airy-track-bar vertically-centering-table ""&gt; &lt;div tabindex ="" - 1 ""class ="" airy-Vertical-centering- table-cell ""&gt; &lt;div tabindex ="" - 1 ""class ="" airy-track-bar-e"&amp;"lements ""&gt; &lt;div tabindex ="" - 1 ""class ="" airy-progress-bar ""&gt; &lt;/ div&gt; &lt;div tabindex = ""- 1"" class = ""airy-scrubber-bar""&gt; &lt;/ div&gt; &lt;div tabindex = ""- 1"" class = ""airy-scrubber""&gt; &lt;div tabindex = ""- 1"" class = ""airy-scrubber- icon ""&gt; &lt;/ div&gt;"&amp;" &lt;div tabindex ="" - 1 ""class ="" airy-adjusted-AUI-tooltip ""style ="" opacity: 0; visibility: hidden; ""&gt; &lt;div tabindex ="" - 1 ""class ="" airy-adjusted-aui-tooltip-inner ""&gt; &lt;div tabindex ="" - 1 ""class ="" airy-current-time-label ""&gt; 0: 00 &lt;/ div&gt; "&amp;"&lt;/ div&gt; &lt;div tabindex = ""- 1"" class = ""airy-adjusted-AUI-arrow-border""&gt; &lt;div tabindex = ""- 1"" class = ""airy-adjusted-AUI-arrow"" &gt; &lt;/ div&gt; &lt;/ div&gt; &lt;/ div&gt; &lt;/ div&gt; &lt;/ div&gt; &lt;/ div&gt; &lt;/ div&gt; &lt;/ div&gt; &lt;/ div&gt; &lt;/ div&gt; &lt;div tabindex = ""- 1"" class = ""air"&amp;"y-age-gate airy-stage airy-Vertical-centering-table airy-dialog"" style = ""opacity: 0; visibility: hidden; ""&gt; &lt;div tabindex ="" - 1 ""class ="" airy-age-gate-Vertical-centering-table-cell airy-Vertical-centering-table-cell ""&gt; &lt;div tabindex ="" - 1 ""cl"&amp;"ass = ""airy-Vertical-centering-wrapper airy-age-gate-elements-wrapper""&gt; &lt;div tabindex = ""- 1"" class = ""airy-age-gate-elements airy-dialog-elements""&gt; &lt;div tabindex = "" -1 ""class ="" airy-age-gate-prompt ""&gt; This video is not Intended for all audien"&amp;"ces What date were you born &lt;/ div&gt; &lt;div tabindex =.?"" - 1 ""class ="" airy-age-gate -inputs airy-dialog-inner-elements ""&gt; &lt;select tabindex ="" - 1 ""class ="" airy-age-gate-month ""&gt; &lt;option value ="" 1 ""&gt; January &lt;/ option&gt; &lt;option value ="" 2 ""&gt; Fe"&amp;"bruary &lt;/ option&gt; &lt;option value ="" 3 ""&gt; March &lt;/ option&gt; &lt;option value ="" 4 ""&gt; April &lt;/ option&gt; &lt;option value ="" 5 ""&gt; May &lt;/ option&gt; &lt;option value = ""6""&gt; June &lt;/ option&gt; &lt;option value = ""7""&gt; July &lt;/ option&gt; &lt;option value = ""8""&gt; August &lt;/ optio"&amp;"n&gt; &lt;option value = ""9""&gt; September &lt;/ option&gt; &lt;option value = ""10""&gt; October &lt;/ option&gt; &lt;option value = ""11""&gt; November &lt;/ option&gt; &lt;option value = ""12""&gt; December &lt;/ option&gt; &lt;/ select&gt; &lt;select tabindex = ""- 1"" class = ""airy-age-gate-day""&gt; &lt;opti on"&amp;" value = ""1""&gt; 1 &lt;/ option&gt; &lt;option value = ""2""&gt; 2 &lt;/ option&gt; &lt;option value = ""3""&gt; 3 &lt;/ option&gt; &lt;option value = ""4""&gt; 4 &lt;/ option &gt; &lt;option value = ""5""&gt; 5 &lt;/ option&gt; &lt;option value = ""6""&gt; 6 &lt;/ option&gt; &lt;option value = ""7""&gt; 7 &lt;/ option&gt; &lt;option v"&amp;"alue = ""8""&gt; 8 &lt; / option&gt; &lt;option value = ""9""&gt; 9 &lt;/ option&gt; &lt;option value = ""10""&gt; 10 &lt;/ option&gt; &lt;option value = ""11""&gt; 11 &lt;/ option&gt; &lt;option value = ""12""&gt; 12 &lt;/ option&gt; &lt;option value = ""13""&gt; 13 &lt;/ option&gt; &lt;option value = ""14""&gt; 14 &lt;/ option&gt; &lt;"&amp;"option value = ""15""&gt; 15 &lt;/ option&gt; &lt;option value = ""16 ""&gt; 16 &lt;/ option&gt; &lt;option value ="" 17 ""&gt; 17 &lt;/ option&gt; &lt;option value ="" 18 ""&gt; 18 &lt;/ option&gt; &lt;option value ="" 19 ""&gt; 19 &lt;/ option&gt; &lt;option value = ""20""&gt; 20 &lt;/ option&gt; &lt;option value = ""21""&gt; "&amp;"21 &lt;/ option&gt; &lt;option value = ""22""&gt; 22 &lt;/ option&gt; &lt;option value = ""23""&gt; 23 &lt;/ option&gt; &lt;option value = ""24""&gt; 24 &lt;/ option&gt; &lt;option value = ""25""&gt; 25 &lt;/ option&gt; &lt;option value = ""26""&gt; 26 &lt;/ option&gt; &lt;option value = ""27""&gt; 27 &lt;/ option&gt; &lt;option value"&amp;" = ""28""&gt; 28 &lt;/ option&gt; &lt;option value = ""29""&gt; 29 &lt;/ option&gt; &lt;option value = ""30""&gt; 30 &lt;/ option&gt; &lt;option value = ""31""&gt; 31 &lt;/ option&gt; &lt;/ select&gt; &lt;select tabindex = ""- 1"" class = ""airy-age-gate-year""&gt; &lt;option value = ""2019""&gt; 2019 &lt;/ option&gt; &lt; op"&amp;"tion value = ""2018""&gt; 2018 &lt;/ option&gt; &lt;option value = ""2017""&gt; 2017 &lt;/ option&gt; &lt;option value = ""2016""&gt; ​​2016 &lt;/ option&gt; &lt;option value = ""2015""&gt; 2015 &lt;/ option &gt; &lt;option value = ""2014""&gt; 2014 &lt;/ option&gt; &lt;option value = ""2013""&gt; 2013 &lt;/ option&gt; &lt;op"&amp;"tion value = ""2012""&gt; 2012 &lt;/ option&gt; &lt;option value = ""2011""&gt; 2011 &lt; / option&gt; &lt;option value = ""2010""&gt; 2010 &lt;/ option&gt; &lt;option value = ""2009""&gt; 2009 &lt;/ option&gt; &lt;option value = ""2008""&gt; 2008 &lt;/ option&gt; &lt;option value = ""2007""&gt; 2007 &lt;/ option&gt; &lt;opti"&amp;"on value = ""2006""&gt; 2006 &lt;/ option&gt; &lt;option value = ""2005""&gt; 2005 &lt;/ option&gt; &lt;option value = ""2004""&gt; 2004 &lt;/ option&gt; &lt;option value = ""2003 ""&gt; 2003 &lt;/ option&gt; &lt;option value ="" 2002 ""&gt; 2002 &lt;/ option&gt; &lt;option value ="" 2001 ""&gt; 2001 &lt;/ option&gt; &lt;opti"&amp;"on value ="" 2000 ""&gt; 2000 &lt;/ option&gt; &lt;option value = ""1999""&gt; 1999 &lt;/ option&gt; &lt;option value = ""1998""&gt; 1998 &lt;/ option&gt; &lt;option value = ""1997""&gt; 1997 &lt;/ option&gt; &lt;option value = ""1996""&gt; 1996 &lt;/ option&gt; &lt;option value = ""1995""&gt; 1995 &lt;/ option&gt; &lt;option"&amp;" value = ""1994""&gt; 1994 &lt;/ option&gt; &lt;option value = ""1993""&gt; 1993 &lt;/ option&gt; &lt;option value = ""1992""&gt; 1992 &lt;/ option&gt; &lt;option value = ""1991""&gt; 1991 &lt;/ option&gt; &lt;option value = ""1990""&gt; 1990 &lt;/ option&gt; &lt;option value = "" 1989 ""&gt; 1989 &lt;/ option&gt; &lt;option "&amp;"value ="" 1988 ""&gt; 1988 &lt;/ option&gt; &lt;option value ="" 1987 ""&gt; 1987 &lt;/ option&gt; &lt;option value ="" 1986 ""&gt; 1986 &lt;/ option&gt; &lt;value option = ""1985""&gt; 1985 &lt;/ option&gt; &lt;option value = ""1984""&gt; 1984 &lt;/ option&gt; &lt;option value = ""1983""&gt; 1983 &lt;/ option&gt; &lt;option "&amp;"value = ""1982""&gt; 1982 &lt;/ option&gt; &lt; option value = ""1981""&gt; 1981 &lt;/ option&gt; &lt;option value = ""1980""&gt; 1980 &lt;/ option&gt; &lt;option value = ""1979""&gt; 1979 &lt;/ option&gt; &lt;option value = ""1978""&gt; 1978 &lt;/ option &gt; &lt;option value = ""1977""&gt; 1977 &lt;/ option&gt; &lt;option v"&amp;"alue = ""1976""&gt; 1976 &lt;/ option&gt; &lt;option value = ""1975""&gt; 1975 &lt;/ option&gt; &lt;option value = ""1974""&gt; 1974 &lt; / option&gt; &lt;option value = ""1973""&gt; 1973 &lt;/ option&gt; &lt;option value = ""1972""&gt; 1972 &lt;/ option&gt; &lt;option value = ""1971""&gt; 1971 &lt;/ option&gt; &lt;option val"&amp;"ue = ""1970""&gt; 1970 &lt;/ option&gt; &lt;option value = ""1969""&gt; 1969 &lt;/ option&gt; &lt;option value = ""1968""&gt; 1968 &lt;/ option&gt; &lt;option value = ""1967""&gt; 1967 &lt;/ option&gt; &lt;option value = ""1966 ""&gt; 1966 &lt;/ option&gt; &lt;option value ="" 1965 ""&gt; 1965 &lt;/ option&gt; &lt;option valu"&amp;"e ="" 1964 ""&gt; 1964 &lt;/ option&gt; &lt;option value ="" 1963 ""&gt; 1963 &lt;/ option&gt; &lt;option value = ""1962""&gt; 1962 &lt;/ option&gt; &lt;option value = ""1961""&gt; 1961 &lt;/ option&gt; &lt;option value = ""1960""&gt; 1960 &lt;/ op tion&gt; &lt;option value = ""1959""&gt; 1959 &lt;/ option&gt; &lt;option valu"&amp;"e = ""1958""&gt; 1958 &lt;/ option&gt; &lt;option value = ""1957""&gt; 1957 &lt;/ option&gt; &lt;option value = ""1956""&gt; 1956 &lt;/ option&gt; &lt;option value = ""1955""&gt; 1955 &lt;/ option&gt; &lt;option value = ""1954""&gt; 1954 &lt;/ option&gt; &lt;option value = ""1953""&gt; 1953 &lt;/ option&gt; &lt;option value ="&amp;" ""1952"" &gt; 1952 &lt;/ option&gt; &lt;option value = ""1951""&gt; 1951 &lt;/ option&gt; &lt;option value = ""1950""&gt; 1950 &lt;/ option&gt; &lt;option value = ""1949""&gt; 1949 &lt;/ option&gt; &lt;option value = "" 1948 ""&gt; 1948 &lt;/ option&gt; &lt;option value ="" 1947 ""&gt; 1947 &lt;/ option&gt; &lt;option value "&amp;"="" 1946 ""&gt; 1946 &lt;/ option&gt; &lt;option value ="" 1945 ""&gt; 1945 &lt;/ option&gt; &lt;value option = ""1944""&gt; 1944 &lt;/ option&gt; &lt;option value = ""1943""&gt; 1943 &lt;/ option&gt; &lt;option value = ""1942""&gt; 1942 &lt;/ option&gt; &lt;option value = ""1941""&gt; 1941 &lt;/ option&gt; &lt; option value "&amp;"= ""1940""&gt; 1940 &lt;/ option&gt; &lt;option value = ""1939""&gt; 1939 &lt;/ option&gt; &lt;option value = ""1938""&gt; 1938 &lt;/ option&gt; &lt;option value = ""1937""&gt; 1937 &lt;/ option &gt; &lt;option value = ""1936""&gt; 1936 &lt;/ option&gt; &lt;option value = ""1935""&gt; 1935 &lt;/ option&gt; &lt;option value = "&amp;"""1934""&gt; 1934 &lt;/ option&gt; &lt;option value = ""1933""&gt; 1933 &lt; / option&gt; &lt;option value = ""1932""&gt; 1932 &lt;/ option&gt; &lt;option value = ""1931""&gt; 1931 &lt;/ option&gt; &lt;option v alue = ""1930""&gt; 1930 &lt;/ option&gt; &lt;option value = ""1929""&gt; 1929 &lt;/ option&gt; &lt;option value = "&amp;"""1928""&gt; 1928 &lt;/ option&gt; &lt;option value = ""1927""&gt; 1927 &lt;/ option&gt; &lt;option value = ""1926""&gt; 1926 &lt;/ option&gt; &lt;option value = ""1925""&gt; 1925 &lt;/ option&gt; &lt;option value = ""1924""&gt; 1924 &lt;/ option&gt; &lt;option value = ""1923""&gt; 1923 &lt;/ option&gt; &lt;option value = ""1"&amp;"922""&gt; 1922 &lt;/ option&gt; &lt;option value = ""1921""&gt; 1921 &lt;/ option&gt; &lt;option value = ""1920""&gt; 1920 &lt;/ option&gt; &lt;option value = ""1919""&gt; 1919 &lt;/ option&gt; &lt;option value = ""1918""&gt; 1918 &lt;/ option&gt; &lt;option value = ""1917""&gt; 1917 &lt;/ option&gt; &lt;option value = ""1916"&amp;"""&gt; 1916 &lt;/ option&gt; &lt;option value = ""1915"" &gt; 1915 &lt;/ option&gt; &lt;option value = ""1914""&gt; 1914 &lt;/ option&gt; &lt;option value = ""1913""&gt; 1913 &lt;/ option&gt; &lt;option value = ""1912""&gt; 1912 &lt;/ option&gt; &lt;option value = "" 1911 ""&gt; 1911 &lt;/ option&gt; &lt;option value ="" 1910"&amp;" ""&gt; 1910 &lt;/ option&gt; &lt;option value ="" 1909 ""&gt; 1909 &lt;/ option&gt; &lt;option value ="" 1908 ""&gt; 1908 &lt;/ option&gt; &lt;value option = ""1907""&gt; 1907 &lt;/ option&gt; &lt;option value = ""1906""&gt; 1906 &lt;/ option&gt; &lt;option value = ""1905""&gt; 1905 &lt;/ option&gt; &lt;option value = ""1904"&amp;"""&gt; 1904 &lt;/ option&gt; &lt; option value = ""1903""&gt; 1903 &lt;/ option&gt; &lt;option value = ""1902""&gt; 1902 &lt;/ option&gt; &lt;option value = ""1901""&gt; 19 01 &lt;/ option&gt; &lt;option value = ""1900""&gt; 1900 &lt;/ option&gt; &lt;/ select&gt; &lt;div tabindex = ""- 1"" class = ""airy-age-gate-submit"&amp;" airy-submit-button airy airy-submit- disabled ""&gt; Submit &lt;/ div&gt; &lt;/ div&gt; &lt;/ div&gt; &lt;/ div&gt; &lt;/ div&gt; &lt;/ div&gt; &lt;div tabindex ="" - 1 ""class ="" airy-install-flash-dialog airy-stage airy -vertical-centering-table-dialog airy airy-denied ""style ="" opacity: 0;"&amp;" visibility: hidden; ""&gt; &lt;div tabindex ="" - 1 ""class ="" airy-install-flash-Vertical-centering-table-cell airy-Vertical-centering-table-cell ""&gt; &lt;div tabindex ="" - 1 ""class = ""airy-Vertical-centering-wrapper airy-install-flash-elements-wrapper""&gt; &lt;di"&amp;"v tabindex = ""- 1"" class = ""airy-install-flash-elements airy-dialog-elements""&gt; &lt;div tabindex = "" -1 ""class ="" airy-install-flash-prompt ""&gt; Adobe Flash Player is required to watch this video &lt;/ div&gt; &lt;div tabindex =."" - 1 ""class ="" airy-install-f"&amp;"lash-button-wrapper airy -dialog-inner-elements ""&gt; &lt;div tabindex ="" - 1 ""class ="" airy-install-flash-button airy-button ""&gt; install Flash Player &lt;/ div&gt; &lt;/ div&gt; &lt;/ div&gt; &lt;/ div&gt; &lt;/ div&gt; &lt;/ div&gt; &lt;div tabindex = ""- 1"" class = ""airy-video-unsupported-d"&amp;"ialog airy-stage airy-Vertical-centering-table airy-dialog airy-denied"" style = ""opacity: 0; visibility: hidden; ""&gt; &lt;div tabindex ="" - 1 ""class ="" airy-video-unsupported-Vertical-centering-table-cell airy-Vertical-centering-table-cell ""&gt; &lt;div tabin"&amp;"dex ="" - 1 ""class = ""airy-Vertical-centering-wrapper airy-video-unsupported-elements-wrapper""&gt; &lt;div tabindex = ""- 1"" class = ""airy-video-unsupported-elements airy-dialog-elements""&gt; &lt;div tabindex = "" -1 ""class ="" airy-video-unsupported-prompt """&amp;"&gt; &lt;/ div&gt; &lt;/ div&gt; &lt;/ div&gt; &lt;/ div&gt; &lt;/ div&gt; &lt;div tabindex ="" - 1 ""class ="" airy-loading- spinner-stage airy-stage ""&gt; &lt;div tabindex ="" - 1 ""class ="" airy-loading-spinner-Vertical-centering-table-cell airy-Vertical-centering-table-cell ""&gt; &lt;div tabinde"&amp;"x ="" - 1 ""class ="" airy-loading-spinner-container airy-scalable-hint-container ""&gt; &lt;div tabindex ="" - 1 ""class ="" airy-loading-spinner-dummy airy-scalable-dummy ""&gt; &lt;/ div&gt; &lt; div tabindex = ""- 1"" class = ""airy-loading-spinner airy-hint"" style = "&amp;"""visibility: hidden;""&gt; &lt;/ div&gt; &lt;/ div&gt; &lt;/ div&gt; &lt;/ div&gt; &lt;div tabindex = ""- 1 ""class ="" airy-ads-screen-size-toggle airy-screen-size-toggle-fullscreen airy ""style ="" visibility: hidden; ""&gt; &lt;/ div&gt; &lt;div tabindex = ""-1"" class = ""airy-ad-prompt-cont"&amp;"ainer"" style = ""visibility: hidden;""&gt; &lt;div tabindex = ""- 1"" class = ""airy-ad-prompt-Vertical-centering-table-vertically airy centering-table ""&gt; &lt;div tabindex ="" - 1 ""class ="" airy-ad-prompt-Vertical-centering-table-cell airy-Vertical-centering-t"&amp;"able-cell ""&gt; &lt;div tabindex ="" - 1 ""class = ""airy-ad-prompt-label""&gt; &lt;/ div&gt; &lt;/ div&gt; &lt;/ div&gt; &lt;/ div&gt; &lt;div tabindex = ""- 1"" class = ""airy-ads-controls-container"" style = ""visibility: hidden; ""&gt; &lt;div tabindex ="" - 1 ""class ="" airy-ads-audio-togg"&amp;"le airy-audio-toggle airy-on ""style ="" visibility: hidden; ""&gt; &lt;/ div&gt; &lt;div tabindex ="" - 1 ""class ="" airy-time-remaining-label-container ""&gt; &lt;div tabindex ="" - 1 ""class ="" airy-time-remaining-Vertical-centering-table airy-Vertical-centering-table"&amp;" ""&gt; &lt;div tabindex = ""- 1"" class = ""airy-time-remaining-Vertical-centering-table-cell airy-Vertical-centering-table-cell""&gt; &lt;div tabindex = ""- 1"" class = ""airy-Vertical-centering-wrapper airy-time-remaining-label-wrapper ""&gt; &lt;div tabindex ="" - 1 """&amp;"class ="" airy-time-remaining-label ""style ="" visibility: hidden; ""&gt; &lt;/ div&gt; &lt;div tabi ndex = ""- 1"" class = ""airy-ad-skip"" style = ""visibility: hidden;""&gt; &lt;/ div&gt; &lt;div tabindex = ""- 1"" class = ""airy-ad-end"" style = ""visibility: hidden ""&gt; &lt;/ "&amp;"div&gt; &lt;/ div&gt; &lt;/ div&gt; &lt;/ div&gt; &lt;/ div&gt; &lt;div tabindex ="" - 1 ""class ="" airy-learn-more ""style ="" visibility: hidden; ""&gt; &lt;/ div&gt; &lt;/ div&gt; &lt;div tabindex = ""- 1"" class = ""airy-play-toggle-hint-stage airy-stage airy-cursor""&gt; &lt;div tabindex = ""- 1"" clas"&amp;"s = ""airy-play -toggle-hint-Vertical-centering-table-cell airy-Vertical-centering-table-cell airy-cursor ""&gt; &lt;div tabindex ="" - 1 ""class ="" airy-play-toggle-hint-container airy-scalable- Hint-container ""&gt; &lt;div tabindex ="" - 1 ""class ="" airy-play-t"&amp;"oggle-hint-dummy airy-scalable-dummy ""&gt; &lt;/ div&gt; &lt;div tabindex ="" - 1 ""class ="" airy-play -toggle-hint hint airy-airy-play-hint ""style ="" opacity: 1; visibility: visible; ""&gt; &lt;/ div&gt; &lt;/ div&gt; &lt;/ div&gt; &lt;/ div&gt; &lt;div tabindex ="" - 1 ""class ="" airy-repl"&amp;"ay-hint-stage airy-stage ""style ="" visibility: hidden ; ""&gt; &lt;div tabindex ="" - 1 ""class ="" airy-replay-hint-Vertical-centering-table-cell airy-Vertical-centering-table-cell airy-cursor ""&gt; &lt;div tabindex ="" - 1 ""class = ""airy-replay-hint-container "&amp;"airy-scalable-hint-container""&gt; &lt;div tabindex = ""- 1"" class = ""airy-replay-hint-dummy airy-scalable-dummy""&gt; &lt;/ div&gt; &lt;div tabindex = ""- 1"" class = ""airy-replay-hint airy-hint""&gt; &lt;/ div&gt; &lt;/ div&gt; &lt;/ div&gt; &lt;/ div&gt; &lt;div tabindex = ""- 1"" class = ""airy-"&amp;"autoplay-hint -stage airy-stage ""style ="" visibility: hidden; ""&gt; &lt;div tabindex ="" - 1 ""class ="" airy-autoplay-hint-Vertical-centering-table-cell airy-Vertical-centering-table-cell airy- cursor ""&gt; &lt;div tabindex ="" - 1 ""class ="" autoplay airy-airy"&amp;"-hint-container-scalable-hint-container ""&gt; &lt;div tabindex ="" - 1 ""class ="" airy-autoplay-hint-dummy airy- scalable-dummy ""&gt; &lt;/ div&gt; &lt;/ div&gt; &lt;/ div&gt; &lt;/ div&gt; &lt;/ div&gt; &lt;/ div&gt; &lt;input type ="" hidden ""name ="" ""value ="" https: // images-eu .ssl-images-a"&amp;"mazon.com / images / I / 910jts3v2OS.mp4 ""Class ="" video-url ""&gt; &lt;input type ="" hidden ""name ="" ""value ="" https://images-eu.ssl-images-amazon.com/images/I/A1tP9pX8NFS.png ""class ="" video-slate-img-url ""&gt; &amp; nbsp; Very nice and fine, looks good qu"&amp;"ality, ideal for dressing. Very happy with the purchase, I hope I last long. I recommend it.")</f>
        <v>Recommendable. &lt;Div id = "video-block-R2WRAI0CDY71RE" class = "section a-a-a-spacing-small spacing-top-video mini-block"&gt; &lt;div tabindex = "0" class = "airy airy-svg vmin- unsupported airy-skin-beacon "style =" background-color: rgb (0, 0, 0) position: relative; width: 100%; height: 100%; font-size: 0px; overflow: hidden; outline: none ; "&gt; &lt;div class =" airy-renderer-container "style =" position: relative; height: 100%; width: 100%; "&gt; &lt;video id =" 7 "preload =" auto "src =" https: //images-eu.ssl-images-amazon.com/images/I/910jts3v2OS.mp4 "style =" position: absolute; left: 0px; top: 0px; overflow: hidden; height: 1px; width: 1px; " &gt; &lt;/ video&gt; &lt;/ div&gt; &lt;div id = "airy-slate-preload" style = "background-color: rgb (0, 0, 0); background-image: url (&amp; quot; https: // images- eu.ssl-images-amazon.com/images/I/A1tP9pX8NFS.png&amp;quot;); background-size: Contain; background-position: center center; background-repeat: no-repeat; position: absolute; top: 0px; left : 0px; visibility: visible; width: 100%; height: 100%; "&gt; &lt;/ div&gt; &lt;iframe scrolling =" no "frameborde r = "0" src = "about: blank" style = "display: none;"&gt; &lt;/ iframe&gt; &lt;div tabindex = "- 1" class = "airy-controls-container" style = "opacity: 0; visibility: hidden; "&gt; &lt;div tabindex =" - 1 "class =" airy-screen-size-toggle airy-fullscreen "&gt; &lt;/ div&gt; &lt;div tabindex =" - 1 "class =" airy-container-bottom " &gt; &lt;div tabindex = "- 1" class = "airy-track-bar-spacer-left" style = "width: 11px;"&gt; &lt;/ div&gt; &lt;div tabindex = "- 1" class = "airy-play- airy toggle-play "style =" width: 12px; margin-right: 12px; "&gt; &lt;/ div&gt; &lt;div tabindex =" - 1 "class =" airy-audio-elements "style =" float: right; width: 34px; "&gt; &lt;div tabindex =" - 1 "class =" airy-audio-toggle airy-on "&gt; &lt;/ div&gt; &lt;div tabindex =" - 1 "class =" airy-audio-container "style = "opacity: 0; visibility: hidden; "&gt; &lt;div tabindex =" - 1 "class =" airy-audio-track-bar "style =" height: 80%; "&gt; &lt;div tabindex =" - 1 "class =" airy-audio- Scrubber-bar "style =" height: 85%; "&gt; &lt;/ div&gt; &lt;div tabindex =" - 1 "class =" airy-audio-scrubber "style =" height: 12px; bottom 85% "&gt; &lt;/ div&gt; &lt;/ div&gt; &lt;/ div&gt; &lt;/ div&gt; &lt;div tabindex =" - 1 "class =" airy-duration-label "style =" float: right; width: 26px; margin-right: 4px; text-align: center; "&gt; 0:00 &lt;/ div&gt; &lt;div tabindex =" - 1 "class =" airy-track-bar-spacer-right "style =" float: right; width: 11px; "&gt; &lt;/ div&gt; &lt;div tabindex =" - 1 "class =" airy-track-bar-container "style =" margin-left: 35px; margin-right: 75px; "&gt; &lt;div tabindex =" - 1 "class =" airy-airy-track-bar vertically-centering-table "&gt; &lt;div tabindex =" - 1 "class =" airy-Vertical-centering- table-cell "&gt; &lt;div tabindex =" - 1 "class =" airy-track-bar-elements "&gt; &lt;div tabindex =" - 1 "class =" airy-progress-bar "&gt; &lt;/ div&gt; &lt;div tabindex = "- 1" class = "airy-scrubber-bar"&gt; &lt;/ div&gt; &lt;div tabindex = "- 1" class = "airy-scrubber"&gt; &lt;div tabindex = "- 1" class = "airy-scrubber- icon "&gt; &lt;/ div&gt; &lt;div tabindex =" - 1 "class =" airy-adjusted-AUI-tooltip "style =" opacity: 0; visibility: hidden; "&gt; &lt;div tabindex =" - 1 "class =" airy-adjusted-aui-tooltip-inner "&gt; &lt;div tabindex =" - 1 "class =" airy-current-time-label "&gt; 0: 00 &lt;/ div&gt; &lt;/ div&gt; &lt;div tabindex = "- 1" class = "airy-adjusted-AUI-arrow-border"&gt; &lt;div tabindex = "- 1" class = "airy-adjusted-AUI-arrow" &gt; &lt;/ div&gt; &lt;/ div&gt; &lt;/ div&gt; &lt;/ div&gt; &lt;/ div&gt; &lt;/ div&gt; &lt;/ div&gt; &lt;/ div&gt; &lt;/ div&gt; &lt;/ div&gt; &lt;div tabindex = "- 1" class = "airy-age-gate airy-stage airy-Vertical-centering-table airy-dialog" style = "opacity: 0; visibility: hidden; "&gt; &lt;div tabindex =" - 1 "class =" airy-age-gate-Vertical-centering-table-cell airy-Vertical-centering-table-cell "&gt; &lt;div tabindex =" - 1 "class = "airy-Vertical-centering-wrapper airy-age-gate-elements-wrapper"&gt; &lt;div tabindex = "- 1" class = "airy-age-gate-elements airy-dialog-elements"&gt; &lt;div tabindex = " -1 "class =" airy-age-gate-prompt "&gt; This video is not Intended for all audiences What date were you born &lt;/ div&gt; &lt;div tabindex =.?" - 1 "class =" airy-age-gate -inputs airy-dialog-inner-elements "&gt; &lt;select tabindex =" - 1 "class =" airy-age-gate-month "&gt; &lt;option value =" 1 "&gt; January &lt;/ option&gt; &lt;option value =" 2 "&gt; February &lt;/ option&gt; &lt;option value =" 3 "&gt; March &lt;/ option&gt; &lt;option value =" 4 "&gt; April &lt;/ option&gt; &lt;option value =" 5 "&gt; May &lt;/ option&gt; &lt;option value = "6"&gt; June &lt;/ option&gt; &lt;option value = "7"&gt; July &lt;/ option&gt; &lt;option value = "8"&gt; August &lt;/ option&gt; &lt;option value = "9"&gt; September &lt;/ option&gt; &lt;option value = "10"&gt; October &lt;/ option&gt; &lt;option value = "11"&gt; November &lt;/ option&gt; &lt;option value = "12"&gt; December &lt;/ option&gt; &lt;/ select&gt; &lt;select tabindex = "- 1" class = "airy-age-gate-day"&gt; &lt;opti on value = "1"&gt; 1 &lt;/ option&gt; &lt;option value = "2"&gt; 2 &lt;/ option&gt; &lt;option value = "3"&gt; 3 &lt;/ option&gt; &lt;option value = "4"&gt; 4 &lt;/ option &gt; &lt;option value = "5"&gt; 5 &lt;/ option&gt; &lt;option value = "6"&gt; 6 &lt;/ option&gt; &lt;option value = "7"&gt; 7 &lt;/ option&gt; &lt;option value = "8"&gt; 8 &lt; / option&gt; &lt;option value = "9"&gt; 9 &lt;/ option&gt; &lt;option value = "10"&gt; 10 &lt;/ option&gt; &lt;option value = "11"&gt; 11 &lt;/ option&gt; &lt;option value = "12"&gt; 12 &lt;/ option&gt; &lt;option value = "13"&gt; 13 &lt;/ option&gt; &lt;option value = "14"&gt; 14 &lt;/ option&gt; &lt;option value = "15"&gt; 15 &lt;/ option&gt; &lt;option value = "16 "&gt; 16 &lt;/ option&gt; &lt;option value =" 17 "&gt; 17 &lt;/ option&gt; &lt;option value =" 18 "&gt; 18 &lt;/ option&gt; &lt;option value =" 19 "&gt; 19 &lt;/ option&gt; &lt;option value = "20"&gt; 20 &lt;/ option&gt; &lt;option value = "21"&gt; 21 &lt;/ option&gt; &lt;option value = "22"&gt; 22 &lt;/ option&gt; &lt;option value = "23"&gt; 23 &lt;/ option&gt; &lt;option value = "24"&gt; 24 &lt;/ option&gt; &lt;option value = "25"&gt; 25 &lt;/ option&gt; &lt;option value = "26"&gt; 26 &lt;/ option&gt; &lt;option value = "27"&gt; 27 &lt;/ option&gt; &lt;option value = "28"&gt; 28 &lt;/ option&gt; &lt;option value = "29"&gt; 29 &lt;/ option&gt; &lt;option value = "30"&gt; 30 &lt;/ option&gt; &lt;option value = "31"&gt; 31 &lt;/ option&gt; &lt;/ select&gt; &lt;select tabindex = "- 1" class = "airy-age-gate-year"&gt; &lt;option value = "2019"&gt; 2019 &lt;/ option&gt; &lt; option value = "2018"&gt; 2018 &lt;/ option&gt; &lt;option value = "2017"&gt; 2017 &lt;/ option&gt; &lt;option value = "2016"&gt; ​​2016 &lt;/ option&gt; &lt;option value = "2015"&gt; 2015 &lt;/ option &gt; &lt;option value = "2014"&gt; 2014 &lt;/ option&gt; &lt;option value = "2013"&gt; 2013 &lt;/ option&gt; &lt;option value = "2012"&gt; 2012 &lt;/ option&gt; &lt;option value = "2011"&gt; 2011 &lt; / option&gt; &lt;option value = "2010"&gt; 2010 &lt;/ option&gt; &lt;option value = "2009"&gt; 2009 &lt;/ option&gt; &lt;option value = "2008"&gt; 2008 &lt;/ option&gt; &lt;option value = "2007"&gt; 2007 &lt;/ option&gt; &lt;option value = "2006"&gt; 2006 &lt;/ option&gt; &lt;option value = "2005"&gt; 2005 &lt;/ option&gt; &lt;option value = "2004"&gt; 2004 &lt;/ option&gt; &lt;option value = "2003 "&gt; 2003 &lt;/ option&gt; &lt;option value =" 2002 "&gt; 2002 &lt;/ option&gt; &lt;option value =" 2001 "&gt; 2001 &lt;/ option&gt; &lt;option value =" 2000 "&gt; 2000 &lt;/ option&gt; &lt;option value = "1999"&gt; 1999 &lt;/ option&gt; &lt;option value = "1998"&gt; 1998 &lt;/ option&gt; &lt;option value = "1997"&gt; 1997 &lt;/ option&gt; &lt;option value = "1996"&gt; 1996 &lt;/ option&gt; &lt;option value = "1995"&gt; 1995 &lt;/ option&gt; &lt;option value = "1994"&gt; 1994 &lt;/ option&gt; &lt;option value = "1993"&gt; 1993 &lt;/ option&gt; &lt;option value = "1992"&gt; 1992 &lt;/ option&gt; &lt;option value = "1991"&gt; 1991 &lt;/ option&gt; &lt;option value = "1990"&gt; 1990 &lt;/ option&gt; &lt;option value = " 1989 "&gt; 1989 &lt;/ option&gt; &lt;option value =" 1988 "&gt; 1988 &lt;/ option&gt; &lt;option value =" 1987 "&gt; 1987 &lt;/ option&gt; &lt;option value =" 1986 "&gt; 1986 &lt;/ option&gt; &lt;value option = "1985"&gt; 1985 &lt;/ option&gt; &lt;option value = "1984"&gt; 1984 &lt;/ option&gt; &lt;option value = "1983"&gt; 1983 &lt;/ option&gt; &lt;option value = "1982"&gt; 1982 &lt;/ option&gt; &lt; option value = "1981"&gt; 1981 &lt;/ option&gt; &lt;option value = "1980"&gt; 1980 &lt;/ option&gt; &lt;option value = "1979"&gt; 1979 &lt;/ option&gt; &lt;option value = "1978"&gt; 1978 &lt;/ option &gt; &lt;option value = "1977"&gt; 1977 &lt;/ option&gt; &lt;option value = "1976"&gt; 1976 &lt;/ option&gt; &lt;option value = "1975"&gt; 1975 &lt;/ option&gt; &lt;option value = "1974"&gt; 1974 &lt; / option&gt; &lt;option value = "1973"&gt; 1973 &lt;/ option&gt; &lt;option value = "1972"&gt; 1972 &lt;/ option&gt; &lt;option value = "1971"&gt; 1971 &lt;/ option&gt; &lt;option value = "1970"&gt; 1970 &lt;/ option&gt; &lt;option value = "1969"&gt; 1969 &lt;/ option&gt; &lt;option value = "1968"&gt; 1968 &lt;/ option&gt; &lt;option value = "1967"&gt; 1967 &lt;/ option&gt; &lt;option value = "1966 "&gt; 1966 &lt;/ option&gt; &lt;option value =" 1965 "&gt; 1965 &lt;/ option&gt; &lt;option value =" 1964 "&gt; 1964 &lt;/ option&gt; &lt;option value =" 1963 "&gt; 1963 &lt;/ option&gt; &lt;option value = "1962"&gt; 1962 &lt;/ option&gt; &lt;option value = "1961"&gt; 1961 &lt;/ option&gt; &lt;option value = "1960"&gt; 1960 &lt;/ op tion&gt; &lt;option value = "1959"&gt; 1959 &lt;/ option&gt; &lt;option value = "1958"&gt; 1958 &lt;/ option&gt; &lt;option value = "1957"&gt; 1957 &lt;/ option&gt; &lt;option value = "1956"&gt; 1956 &lt;/ option&gt; &lt;option value = "1955"&gt; 1955 &lt;/ option&gt; &lt;option value = "1954"&gt; 1954 &lt;/ option&gt; &lt;option value = "1953"&gt; 1953 &lt;/ option&gt; &lt;option value = "1952" &gt; 1952 &lt;/ option&gt; &lt;option value = "1951"&gt; 1951 &lt;/ option&gt; &lt;option value = "1950"&gt; 1950 &lt;/ option&gt; &lt;option value = "1949"&gt; 1949 &lt;/ option&gt; &lt;option value = " 1948 "&gt; 1948 &lt;/ option&gt; &lt;option value =" 1947 "&gt; 1947 &lt;/ option&gt; &lt;option value =" 1946 "&gt; 1946 &lt;/ option&gt; &lt;option value =" 1945 "&gt; 1945 &lt;/ option&gt; &lt;value option = "1944"&gt; 1944 &lt;/ option&gt; &lt;option value = "1943"&gt; 1943 &lt;/ option&gt; &lt;option value = "1942"&gt; 1942 &lt;/ option&gt; &lt;option value = "1941"&gt; 1941 &lt;/ option&gt; &lt; option value = "1940"&gt; 1940 &lt;/ option&gt; &lt;option value = "1939"&gt; 1939 &lt;/ option&gt; &lt;option value = "1938"&gt; 1938 &lt;/ option&gt; &lt;option value = "1937"&gt; 1937 &lt;/ option &gt; &lt;option value = "1936"&gt; 1936 &lt;/ option&gt; &lt;option value = "1935"&gt; 1935 &lt;/ option&gt; &lt;option value = "1934"&gt; 1934 &lt;/ option&gt; &lt;option value = "1933"&gt; 1933 &lt; / option&gt; &lt;option value = "1932"&gt; 1932 &lt;/ option&gt; &lt;option value = "1931"&gt; 1931 &lt;/ option&gt; &lt;option v alue = "1930"&gt; 1930 &lt;/ option&gt; &lt;option value = "1929"&gt; 1929 &lt;/ option&gt; &lt;option value = "1928"&gt; 1928 &lt;/ option&gt; &lt;option value = "1927"&gt; 1927 &lt;/ option&gt; &lt;option value = "1926"&gt; 1926 &lt;/ option&gt; &lt;option value = "1925"&gt; 1925 &lt;/ option&gt; &lt;option value = "1924"&gt; 1924 &lt;/ option&gt; &lt;option value = "1923"&gt; 1923 &lt;/ option&gt; &lt;option value = "1922"&gt; 1922 &lt;/ option&gt; &lt;option value = "1921"&gt; 1921 &lt;/ option&gt; &lt;option value = "1920"&gt; 1920 &lt;/ option&gt; &lt;option value = "1919"&gt; 1919 &lt;/ option&gt; &lt;option value = "1918"&gt; 1918 &lt;/ option&gt; &lt;option value = "1917"&gt; 1917 &lt;/ option&gt; &lt;option value = "1916"&gt; 1916 &lt;/ option&gt; &lt;option value = "1915" &gt; 1915 &lt;/ option&gt; &lt;option value = "1914"&gt; 1914 &lt;/ option&gt; &lt;option value = "1913"&gt; 1913 &lt;/ option&gt; &lt;option value = "1912"&gt; 1912 &lt;/ option&gt; &lt;option value = " 1911 "&gt; 1911 &lt;/ option&gt; &lt;option value =" 1910 "&gt; 1910 &lt;/ option&gt; &lt;option value =" 1909 "&gt; 1909 &lt;/ option&gt; &lt;option value =" 1908 "&gt; 1908 &lt;/ option&gt; &lt;value option = "1907"&gt; 1907 &lt;/ option&gt; &lt;option value = "1906"&gt; 1906 &lt;/ option&gt; &lt;option value = "1905"&gt; 1905 &lt;/ option&gt; &lt;option value = "1904"&gt; 1904 &lt;/ option&gt; &lt; option value = "1903"&gt; 1903 &lt;/ option&gt; &lt;option value = "1902"&gt; 1902 &lt;/ option&gt; &lt;option value = "1901"&gt; 19 01 &lt;/ option&gt; &lt;option value = "1900"&gt; 1900 &lt;/ option&gt; &lt;/ select&gt; &lt;div tabindex = "- 1" class = "airy-age-gate-submit airy-submit-button airy airy-submit- disabled "&gt; Submit &lt;/ div&gt; &lt;/ div&gt; &lt;/ div&gt; &lt;/ div&gt; &lt;/ div&gt; &lt;/ div&gt; &lt;div tabindex =" - 1 "class =" airy-install-flash-dialog airy-stage airy -vertical-centering-table-dialog airy airy-denied "style =" opacity: 0; visibility: hidden; "&gt; &lt;div tabindex =" - 1 "class =" airy-install-flash-Vertical-centering-table-cell airy-Vertical-centering-table-cell "&gt; &lt;div tabindex =" - 1 "class = "airy-Vertical-centering-wrapper airy-install-flash-elements-wrapper"&gt; &lt;div tabindex = "- 1" class = "airy-install-flash-elements airy-dialog-elements"&gt; &lt;div tabindex = " -1 "class =" airy-install-flash-prompt "&gt; Adobe Flash Player is required to watch this video &lt;/ div&gt; &lt;div tabindex =." - 1 "class =" airy-install-flash-button-wrapper airy -dialog-inner-elements "&gt; &lt;div tabindex =" - 1 "class =" airy-install-flash-button airy-button "&gt; install Flash Player &lt;/ div&gt; &lt;/ div&gt; &lt;/ div&gt; &lt;/ div&gt; &lt;/ div&gt; &lt;/ div&gt; &lt;div tabindex = "- 1" class = "airy-video-unsupported-dialog airy-stage airy-Vertical-centering-table airy-dialog airy-denied" style = "opacity: 0; visibility: hidden; "&gt; &lt;div tabindex =" - 1 "class =" airy-video-unsupported-Vertical-centering-table-cell airy-Vertical-centering-table-cell "&gt; &lt;div tabindex =" - 1 "class = "airy-Vertical-centering-wrapper airy-video-unsupported-elements-wrapper"&gt; &lt;div tabindex = "- 1" class = "airy-video-unsupported-elements airy-dialog-elements"&gt; &lt;div tabindex = " -1 "class =" airy-video-unsupported-prompt "&gt; &lt;/ div&gt; &lt;/ div&gt; &lt;/ div&gt; &lt;/ div&gt; &lt;/ div&gt; &lt;div tabindex =" - 1 "class =" airy-loading- spinner-stage airy-stage "&gt; &lt;div tabindex =" - 1 "class =" airy-loading-spinner-Vertical-centering-table-cell airy-Vertical-centering-table-cell "&gt; &lt;div tabindex =" - 1 "class =" airy-loading-spinner-container airy-scalable-hint-container "&gt; &lt;div tabindex =" - 1 "class =" airy-loading-spinner-dummy airy-scalable-dummy "&gt; &lt;/ div&gt; &lt; div tabindex = "- 1" class = "airy-loading-spinner airy-hint" style = "visibility: hidden;"&gt; &lt;/ div&gt; &lt;/ div&gt; &lt;/ div&gt; &lt;/ div&gt; &lt;div tabindex = "- 1 "class =" airy-ads-screen-size-toggle airy-screen-size-toggle-fullscreen airy "style =" visibility: hidden; "&gt; &lt;/ div&gt; &lt;div tabindex = "-1" class = "airy-ad-prompt-container" style = "visibility: hidden;"&gt; &lt;div tabindex = "- 1" class = "airy-ad-prompt-Vertical-centering-table-vertically airy centering-table "&gt; &lt;div tabindex =" - 1 "class =" airy-ad-prompt-Vertical-centering-table-cell airy-Vertical-centering-table-cell "&gt; &lt;div tabindex =" - 1 "class = "airy-ad-prompt-label"&gt; &lt;/ div&gt; &lt;/ div&gt; &lt;/ div&gt; &lt;/ div&gt; &lt;div tabindex = "- 1" class = "airy-ads-controls-container" style = "visibility: hidden; "&gt; &lt;div tabindex =" - 1 "class =" airy-ads-audio-toggle airy-audio-toggle airy-on "style =" visibility: hidden; "&gt; &lt;/ div&gt; &lt;div tabindex =" - 1 "class =" airy-time-remaining-label-container "&gt; &lt;div tabindex =" - 1 "class =" airy-time-remaining-Vertical-centering-table airy-Vertical-centering-table "&gt; &lt;div tabindex = "- 1" class = "airy-time-remaining-Vertical-centering-table-cell airy-Vertical-centering-table-cell"&gt; &lt;div tabindex = "- 1" class = "airy-Vertical-centering-wrapper airy-time-remaining-label-wrapper "&gt; &lt;div tabindex =" - 1 "class =" airy-time-remaining-label "style =" visibility: hidden; "&gt; &lt;/ div&gt; &lt;div tabi ndex = "- 1" class = "airy-ad-skip" style = "visibility: hidden;"&gt; &lt;/ div&gt; &lt;div tabindex = "- 1" class = "airy-ad-end" style = "visibility: hidden "&gt; &lt;/ div&gt; &lt;/ div&gt; &lt;/ div&gt; &lt;/ div&gt; &lt;/ div&gt; &lt;div tabindex =" - 1 "class =" airy-learn-more "style =" visibility: hidden; "&gt; &lt;/ div&gt; &lt;/ div&gt; &lt;div tabindex = "- 1" class = "airy-play-toggle-hint-stage airy-stage airy-cursor"&gt; &lt;div tabindex = "- 1" class = "airy-play -toggle-hint-Vertical-centering-table-cell airy-Vertical-centering-table-cell airy-cursor "&gt; &lt;div tabindex =" - 1 "class =" airy-play-toggle-hint-container airy-scalable- Hint-container "&gt; &lt;div tabindex =" - 1 "class =" airy-play-toggle-hint-dummy airy-scalable-dummy "&gt; &lt;/ div&gt; &lt;div tabindex =" - 1 "class =" airy-play -toggle-hint hint airy-airy-play-hint "style =" opacity: 1; visibility: visible; "&gt; &lt;/ div&gt; &lt;/ div&gt; &lt;/ div&gt; &lt;/ div&gt; &lt;div tabindex =" - 1 "class =" airy-replay-hint-stage airy-stage "style =" visibility: hidden ; "&gt; &lt;div tabindex =" - 1 "class =" airy-replay-hint-Vertical-centering-table-cell airy-Vertical-centering-table-cell airy-cursor "&gt; &lt;div tabindex =" - 1 "class = "airy-replay-hint-container airy-scalable-hint-container"&gt; &lt;div tabindex = "- 1" class = "airy-replay-hint-dummy airy-scalable-dummy"&gt; &lt;/ div&gt; &lt;div tabindex = "- 1" class = "airy-replay-hint airy-hint"&gt; &lt;/ div&gt; &lt;/ div&gt; &lt;/ div&gt; &lt;/ div&gt; &lt;div tabindex = "- 1" class = "airy-autoplay-hint -stage airy-stage "style =" visibility: hidden; "&gt; &lt;div tabindex =" - 1 "class =" airy-autoplay-hint-Vertical-centering-table-cell airy-Vertical-centering-table-cell airy- cursor "&gt; &lt;div tabindex =" - 1 "class =" autoplay airy-airy-hint-container-scalable-hint-container "&gt; &lt;div tabindex =" - 1 "class =" airy-autoplay-hint-dummy airy- scalable-dummy "&gt; &lt;/ div&gt; &lt;/ div&gt; &lt;/ div&gt; &lt;/ div&gt; &lt;/ div&gt; &lt;/ div&gt; &lt;input type =" hidden "name =" "value =" https: // images-eu .ssl-images-amazon.com / images / I / 910jts3v2OS.mp4 "Class =" video-url "&gt; &lt;input type =" hidden "name =" "value =" https://images-eu.ssl-images-amazon.com/images/I/A1tP9pX8NFS.png "class =" video-slate-img-url "&gt; &amp; nbsp; Very nice and fine, looks good quality, ideal for dressing. Very happy with the purchase, I hope I last long. I recommend it.</v>
      </c>
    </row>
    <row r="285">
      <c r="A285" s="1">
        <v>5.0</v>
      </c>
      <c r="B285" s="1" t="s">
        <v>285</v>
      </c>
      <c r="C285" t="str">
        <f>IFERROR(__xludf.DUMMYFUNCTION("GOOGLETRANSLATE(B285, ""es"", ""en"")"),"World map pendant The pendant is well sized, as in the image, comes with an ideal gift box.")</f>
        <v>World map pendant The pendant is well sized, as in the image, comes with an ideal gift box.</v>
      </c>
    </row>
    <row r="286">
      <c r="A286" s="1">
        <v>5.0</v>
      </c>
      <c r="B286" s="1" t="s">
        <v>286</v>
      </c>
      <c r="C286" t="str">
        <f>IFERROR(__xludf.DUMMYFUNCTION("GOOGLETRANSLATE(B286, ""es"", ""en"")"),"Size is very happy normal. Very comfortable. All perfect")</f>
        <v>Size is very happy normal. Very comfortable. All perfect</v>
      </c>
    </row>
    <row r="287">
      <c r="A287" s="1">
        <v>5.0</v>
      </c>
      <c r="B287" s="1" t="s">
        <v>287</v>
      </c>
      <c r="C287" t="str">
        <f>IFERROR(__xludf.DUMMYFUNCTION("GOOGLETRANSLATE(B287, ""es"", ""en"")"),"Quick and easy connectivity with phone connects quickly and easily with the Bluetooth mobile phone. The sound is loud and sounds very good. You can transfer songs from the micro buttons, volume up or down ... The finishes are good and comes with the cable"&amp;" to charge the battery. I bought it for my daughter and it is a great gift.")</f>
        <v>Quick and easy connectivity with phone connects quickly and easily with the Bluetooth mobile phone. The sound is loud and sounds very good. You can transfer songs from the micro buttons, volume up or down ... The finishes are good and comes with the cable to charge the battery. I bought it for my daughter and it is a great gift.</v>
      </c>
    </row>
    <row r="288">
      <c r="A288" s="1">
        <v>5.0</v>
      </c>
      <c r="B288" s="1" t="s">
        <v>288</v>
      </c>
      <c r="C288" t="str">
        <f>IFERROR(__xludf.DUMMYFUNCTION("GOOGLETRANSLATE(B288, ""es"", ""en"")"),"Very good had them in white, good quality and perfect sound quality. They are the only headphones I like since that completely plugged my external cause hearing me empty feeling in my ears.")</f>
        <v>Very good had them in white, good quality and perfect sound quality. They are the only headphones I like since that completely plugged my external cause hearing me empty feeling in my ears.</v>
      </c>
    </row>
    <row r="289">
      <c r="A289" s="1">
        <v>5.0</v>
      </c>
      <c r="B289" s="1" t="s">
        <v>289</v>
      </c>
      <c r="C289" t="str">
        <f>IFERROR(__xludf.DUMMYFUNCTION("GOOGLETRANSLATE(B289, ""es"", ""en"")"),"Antiskid they remain wonderfully well, and they are truly slip, as I have had others who slipped despite being slip. Comfortable, beautiful and practical.")</f>
        <v>Antiskid they remain wonderfully well, and they are truly slip, as I have had others who slipped despite being slip. Comfortable, beautiful and practical.</v>
      </c>
    </row>
    <row r="290">
      <c r="A290" s="1">
        <v>5.0</v>
      </c>
      <c r="B290" s="1" t="s">
        <v>290</v>
      </c>
      <c r="C290" t="str">
        <f>IFERROR(__xludf.DUMMYFUNCTION("GOOGLETRANSLATE(B290, ""es"", ""en"")"),"The ssd faster he buys market for the iMac, I have been using to make a backup of the computer through the machine time, is the second that I have, the first to use it boot with the operating system, quality samsung and speed, ssd noticeable speed.")</f>
        <v>The ssd faster he buys market for the iMac, I have been using to make a backup of the computer through the machine time, is the second that I have, the first to use it boot with the operating system, quality samsung and speed, ssd noticeable speed.</v>
      </c>
    </row>
    <row r="291">
      <c r="A291" s="1">
        <v>5.0</v>
      </c>
      <c r="B291" s="1" t="s">
        <v>291</v>
      </c>
      <c r="C291" t="str">
        <f>IFERROR(__xludf.DUMMYFUNCTION("GOOGLETRANSLATE(B291, ""es"", ""en"")"),"They are wonderful and better order a number minus I'm loyal to this brand with minor exceptions. As always you have to order a number less and divinely fit the foot, they are also wonderfully flexible. Ideal for wide feet. Very comfortable. Would buy in "&amp;"hesitation and also recommend")</f>
        <v>They are wonderful and better order a number minus I'm loyal to this brand with minor exceptions. As always you have to order a number less and divinely fit the foot, they are also wonderfully flexible. Ideal for wide feet. Very comfortable. Would buy in hesitation and also recommend</v>
      </c>
    </row>
    <row r="292">
      <c r="A292" s="1">
        <v>5.0</v>
      </c>
      <c r="B292" s="1" t="s">
        <v>292</v>
      </c>
      <c r="C292" t="str">
        <f>IFERROR(__xludf.DUMMYFUNCTION("GOOGLETRANSLATE(B292, ""es"", ""en"")"),"What a surprise!!! Better than I thought, I thought it would be pure plastic but it is a very compact clock and gives the pego")</f>
        <v>What a surprise!!! Better than I thought, I thought it would be pure plastic but it is a very compact clock and gives the pego</v>
      </c>
    </row>
    <row r="293">
      <c r="A293" s="1">
        <v>5.0</v>
      </c>
      <c r="B293" s="1" t="s">
        <v>293</v>
      </c>
      <c r="C293" t="str">
        <f>IFERROR(__xludf.DUMMYFUNCTION("GOOGLETRANSLATE(B293, ""es"", ""en"")"),"Relog not very good relog looks nice and big, all right, but submersible to 50m is not true, I showered and already the water came. In order an inexpensive thing you can not expect everything.")</f>
        <v>Relog not very good relog looks nice and big, all right, but submersible to 50m is not true, I showered and already the water came. In order an inexpensive thing you can not expect everything.</v>
      </c>
    </row>
    <row r="294">
      <c r="A294" s="1">
        <v>5.0</v>
      </c>
      <c r="B294" s="1" t="s">
        <v>294</v>
      </c>
      <c r="C294" t="str">
        <f>IFERROR(__xludf.DUMMYFUNCTION("GOOGLETRANSLATE(B294, ""es"", ""en"")"),"Meets perfect function")</f>
        <v>Meets perfect function</v>
      </c>
    </row>
    <row r="295">
      <c r="A295" s="1">
        <v>5.0</v>
      </c>
      <c r="B295" s="1" t="s">
        <v>295</v>
      </c>
      <c r="C295" t="str">
        <f>IFERROR(__xludf.DUMMYFUNCTION("GOOGLETRANSLATE(B295, ""es"", ""en"")"),"10 Perfect and very Nonito better than I expected ... I recommend it ..")</f>
        <v>10 Perfect and very Nonito better than I expected ... I recommend it ..</v>
      </c>
    </row>
    <row r="296">
      <c r="A296" s="1">
        <v>5.0</v>
      </c>
      <c r="B296" s="1" t="s">
        <v>296</v>
      </c>
      <c r="C296" t="str">
        <f>IFERROR(__xludf.DUMMYFUNCTION("GOOGLETRANSLATE(B296, ""es"", ""en"")"),"Practical Drain well so it helps when scrubbing floors")</f>
        <v>Practical Drain well so it helps when scrubbing floors</v>
      </c>
    </row>
    <row r="297">
      <c r="A297" s="1">
        <v>5.0</v>
      </c>
      <c r="B297" s="1" t="s">
        <v>297</v>
      </c>
      <c r="C297" t="str">
        <f>IFERROR(__xludf.DUMMYFUNCTION("GOOGLETRANSLATE(B297, ""es"", ""en"")"),"Correct function and storage I bought to back up my macbook pro and my impressions with him have been very good. What surprised me the naked eye was its size and weight, is very thin, very light, box bulged the least and yet real 500.08 GB of free space I"&amp;" have checked and are correct that I ordered. Compatibility has been high, I plugged it into my Mac and then I recognized him and I got the message if you want to back up. The good thing about the hard drive so cheaply that I managed to have plenty of sto"&amp;"rage. I was hesitant to use my old hard drive but only the housing was needed for recycling and more expensive in proportion. In addition, another aspect that I liked and I was like transfer speed, it shows far more so when many files are the 3.0 feature."&amp;" In short, with've got triple the capacity of my laptop, I have taken space problems, I have also saved time and I can take it everywhere because it is very light, it is very important to me. I'm really satisfied with my purchase.")</f>
        <v>Correct function and storage I bought to back up my macbook pro and my impressions with him have been very good. What surprised me the naked eye was its size and weight, is very thin, very light, box bulged the least and yet real 500.08 GB of free space I have checked and are correct that I ordered. Compatibility has been high, I plugged it into my Mac and then I recognized him and I got the message if you want to back up. The good thing about the hard drive so cheaply that I managed to have plenty of storage. I was hesitant to use my old hard drive but only the housing was needed for recycling and more expensive in proportion. In addition, another aspect that I liked and I was like transfer speed, it shows far more so when many files are the 3.0 feature. In short, with've got triple the capacity of my laptop, I have taken space problems, I have also saved time and I can take it everywhere because it is very light, it is very important to me. I'm really satisfied with my purchase.</v>
      </c>
    </row>
    <row r="298">
      <c r="A298" s="1">
        <v>5.0</v>
      </c>
      <c r="B298" s="1" t="s">
        <v>298</v>
      </c>
      <c r="C298" t="str">
        <f>IFERROR(__xludf.DUMMYFUNCTION("GOOGLETRANSLATE(B298, ""es"", ""en"")"),"Versatil I bought my son who is studying hospitality. And she is delighted. Especially with the juices that makes and takes them with portable glass. Very good!")</f>
        <v>Versatil I bought my son who is studying hospitality. And she is delighted. Especially with the juices that makes and takes them with portable glass. Very good!</v>
      </c>
    </row>
    <row r="299">
      <c r="A299" s="1">
        <v>5.0</v>
      </c>
      <c r="B299" s="1" t="s">
        <v>299</v>
      </c>
      <c r="C299" t="str">
        <f>IFERROR(__xludf.DUMMYFUNCTION("GOOGLETRANSLATE(B299, ""es"", ""en"")"),"Very nice and very good price Lovely brooch, I did not think it was so nice, for the price, is fantastic.")</f>
        <v>Very nice and very good price Lovely brooch, I did not think it was so nice, for the price, is fantastic.</v>
      </c>
    </row>
    <row r="300">
      <c r="A300" s="1">
        <v>5.0</v>
      </c>
      <c r="B300" s="1" t="s">
        <v>300</v>
      </c>
      <c r="C300" t="str">
        <f>IFERROR(__xludf.DUMMYFUNCTION("GOOGLETRANSLATE(B300, ""es"", ""en"")"),"for what it is, and how it fits, stunning highly recommended, although its appearance is very Chinese plastic, that is not noticeable at a distance or touch. It makes a very good shape, as the photo. I recommend it")</f>
        <v>for what it is, and how it fits, stunning highly recommended, although its appearance is very Chinese plastic, that is not noticeable at a distance or touch. It makes a very good shape, as the photo. I recommend it</v>
      </c>
    </row>
    <row r="301">
      <c r="A301" s="1">
        <v>5.0</v>
      </c>
      <c r="B301" s="1" t="s">
        <v>301</v>
      </c>
      <c r="C301" t="str">
        <f>IFERROR(__xludf.DUMMYFUNCTION("GOOGLETRANSLATE(B301, ""es"", ""en"")"),"Good quality bass I was surprised by the good quality of the bass / low for the price they have. They fit very well to the ear. Cable texture is rubbery and has good touch. It also comes with 2 pairs of replacement pads, some large and some small. By putt"&amp;"ing downside it is that I have liked the connector out in an ""L"" instead of as ""I"", but it's a minor quibble.")</f>
        <v>Good quality bass I was surprised by the good quality of the bass / low for the price they have. They fit very well to the ear. Cable texture is rubbery and has good touch. It also comes with 2 pairs of replacement pads, some large and some small. By putting downside it is that I have liked the connector out in an "L" instead of as "I", but it's a minor quibble.</v>
      </c>
    </row>
    <row r="302">
      <c r="A302" s="1">
        <v>5.0</v>
      </c>
      <c r="B302" s="1" t="s">
        <v>302</v>
      </c>
      <c r="C302" t="str">
        <f>IFERROR(__xludf.DUMMYFUNCTION("GOOGLETRANSLATE(B302, ""es"", ""en"")"),"I like it works")</f>
        <v>I like it works</v>
      </c>
    </row>
    <row r="303">
      <c r="A303" s="1">
        <v>2.0</v>
      </c>
      <c r="B303" s="1" t="s">
        <v>303</v>
      </c>
      <c r="C303" t="str">
        <f>IFERROR(__xludf.DUMMYFUNCTION("GOOGLETRANSLATE(B303, ""es"", ""en"")"),"Mala unserviceable delaterial quality and the twisted brush hairs. Then it is too wide relative to the slot grosos window .... Therefore I can not insert the blade")</f>
        <v>Mala unserviceable delaterial quality and the twisted brush hairs. Then it is too wide relative to the slot grosos window .... Therefore I can not insert the blade</v>
      </c>
    </row>
    <row r="304">
      <c r="A304" s="1">
        <v>3.0</v>
      </c>
      <c r="B304" s="1" t="s">
        <v>304</v>
      </c>
      <c r="C304" t="str">
        <f>IFERROR(__xludf.DUMMYFUNCTION("GOOGLETRANSLATE(B304, ""es"", ""en"")"),"Large even looking Joma size chart sizes are grandes.Tuve to return the S.Mido 92 breast, 63 kgs, 1.70 tall If you look like Falete (comparing everything is very handy with) the M's your size")</f>
        <v>Large even looking Joma size chart sizes are grandes.Tuve to return the S.Mido 92 breast, 63 kgs, 1.70 tall If you look like Falete (comparing everything is very handy with) the M's your size</v>
      </c>
    </row>
    <row r="305">
      <c r="A305" s="1">
        <v>3.0</v>
      </c>
      <c r="B305" s="1" t="s">
        <v>305</v>
      </c>
      <c r="C305" t="str">
        <f>IFERROR(__xludf.DUMMYFUNCTION("GOOGLETRANSLATE(B305, ""es"", ""en"")"),"They drain a little I like them because they are ankle length and pockets are very useful. What I do not like is that, although my size, drain a little hip, so not recommend for people to run.")</f>
        <v>They drain a little I like them because they are ankle length and pockets are very useful. What I do not like is that, although my size, drain a little hip, so not recommend for people to run.</v>
      </c>
    </row>
    <row r="306">
      <c r="A306" s="1">
        <v>3.0</v>
      </c>
      <c r="B306" s="1" t="s">
        <v>306</v>
      </c>
      <c r="C306" t="str">
        <f>IFERROR(__xludf.DUMMYFUNCTION("GOOGLETRANSLATE(B306, ""es"", ""en"")"),"Correct correct in what you can ask staples. The shipment was satisfactory, when you need staples again probably buy you the same.")</f>
        <v>Correct correct in what you can ask staples. The shipment was satisfactory, when you need staples again probably buy you the same.</v>
      </c>
    </row>
    <row r="307">
      <c r="A307" s="1">
        <v>1.0</v>
      </c>
      <c r="B307" s="1" t="s">
        <v>307</v>
      </c>
      <c r="C307" t="str">
        <f>IFERROR(__xludf.DUMMYFUNCTION("GOOGLETRANSLATE(B307, ""es"", ""en"")"),"False Totally agree with the previous comments, a couple of uses and begins to see the originals that they are loved and go disappointment, I ignore case comments and I came expensive, not recommend it for anything this purchase")</f>
        <v>False Totally agree with the previous comments, a couple of uses and begins to see the originals that they are loved and go disappointment, I ignore case comments and I came expensive, not recommend it for anything this purchase</v>
      </c>
    </row>
    <row r="308">
      <c r="A308" s="1">
        <v>1.0</v>
      </c>
      <c r="B308" s="1" t="s">
        <v>308</v>
      </c>
      <c r="C308" t="str">
        <f>IFERROR(__xludf.DUMMYFUNCTION("GOOGLETRANSLATE(B308, ""es"", ""en"")"),"Failure from day one not going well, you put a ticket of 100 and 200 detects ongoing Devolucion")</f>
        <v>Failure from day one not going well, you put a ticket of 100 and 200 detects ongoing Devolucion</v>
      </c>
    </row>
    <row r="309">
      <c r="A309" s="1">
        <v>4.0</v>
      </c>
      <c r="B309" s="1" t="s">
        <v>309</v>
      </c>
      <c r="C309" t="str">
        <f>IFERROR(__xludf.DUMMYFUNCTION("GOOGLETRANSLATE(B309, ""es"", ""en"")"),"PRODUCTIVE Sounds great. You should try it with a wireless device to see the fall you have, but studied and even outside has a capacity to collect sound very clean.")</f>
        <v>PRODUCTIVE Sounds great. You should try it with a wireless device to see the fall you have, but studied and even outside has a capacity to collect sound very clean.</v>
      </c>
    </row>
    <row r="310">
      <c r="A310" s="1">
        <v>4.0</v>
      </c>
      <c r="B310" s="1" t="s">
        <v>310</v>
      </c>
      <c r="C310" t="str">
        <f>IFERROR(__xludf.DUMMYFUNCTION("GOOGLETRANSLATE(B310, ""es"", ""en"")"),"Basic headphones can hear a little low for my taste. The duration is still correct")</f>
        <v>Basic headphones can hear a little low for my taste. The duration is still correct</v>
      </c>
    </row>
    <row r="311">
      <c r="A311" s="1">
        <v>4.0</v>
      </c>
      <c r="B311" s="1" t="s">
        <v>311</v>
      </c>
      <c r="C311" t="str">
        <f>IFERROR(__xludf.DUMMYFUNCTION("GOOGLETRANSLATE(B311, ""es"", ""en"")"),"Price is not complaining")</f>
        <v>Price is not complaining</v>
      </c>
    </row>
    <row r="312">
      <c r="A312" s="1">
        <v>4.0</v>
      </c>
      <c r="B312" s="1" t="s">
        <v>312</v>
      </c>
      <c r="C312" t="str">
        <f>IFERROR(__xludf.DUMMYFUNCTION("GOOGLETRANSLATE(B312, ""es"", ""en"")"),"LIGE watch The watch arrived on schedule and perfectly packaged. Very comfortable for everyday use.")</f>
        <v>LIGE watch The watch arrived on schedule and perfectly packaged. Very comfortable for everyday use.</v>
      </c>
    </row>
    <row r="313">
      <c r="A313" s="1">
        <v>5.0</v>
      </c>
      <c r="B313" s="1" t="s">
        <v>313</v>
      </c>
      <c r="C313" t="str">
        <f>IFERROR(__xludf.DUMMYFUNCTION("GOOGLETRANSLATE(B313, ""es"", ""en"")"),"Good buy to offer! Great, like an EVO but with less guarantee, for which we usually change each less and save some money :)")</f>
        <v>Good buy to offer! Great, like an EVO but with less guarantee, for which we usually change each less and save some money :)</v>
      </c>
    </row>
    <row r="314">
      <c r="A314" s="1">
        <v>5.0</v>
      </c>
      <c r="B314" s="1" t="s">
        <v>314</v>
      </c>
      <c r="C314" t="str">
        <f>IFERROR(__xludf.DUMMYFUNCTION("GOOGLETRANSLATE(B314, ""es"", ""en"")"),"Very useful, so far it works perfect and I have about 3 months. Perfect for boiling water in reasonable time while doing something else, I needed something to boil water and reduce the heating time in the kitchen and it works perfect.")</f>
        <v>Very useful, so far it works perfect and I have about 3 months. Perfect for boiling water in reasonable time while doing something else, I needed something to boil water and reduce the heating time in the kitchen and it works perfect.</v>
      </c>
    </row>
    <row r="315">
      <c r="A315" s="1">
        <v>5.0</v>
      </c>
      <c r="B315" s="1" t="s">
        <v>315</v>
      </c>
      <c r="C315" t="str">
        <f>IFERROR(__xludf.DUMMYFUNCTION("GOOGLETRANSLATE(B315, ""es"", ""en"")"),"Great wonderful, I have 1 month in and I do not regret having bought, for a YouTube channel quality intensity, the gain is wonderful, not lost, if you're hesitating to buy it, do not hesitate and buy it, because do not you'll regret it, I love it.")</f>
        <v>Great wonderful, I have 1 month in and I do not regret having bought, for a YouTube channel quality intensity, the gain is wonderful, not lost, if you're hesitating to buy it, do not hesitate and buy it, because do not you'll regret it, I love it.</v>
      </c>
    </row>
    <row r="316">
      <c r="A316" s="1">
        <v>5.0</v>
      </c>
      <c r="B316" s="1" t="s">
        <v>316</v>
      </c>
      <c r="C316" t="str">
        <f>IFERROR(__xludf.DUMMYFUNCTION("GOOGLETRANSLATE(B316, ""es"", ""en"")"),"Small and compact. Quality sound! How wonderful .. I have several wireless headphones and are the first to adapt like no other, you forget you're wearing them. They dream that is a luxury. They are automatically connected by Bluetooth to mobile, when you "&amp;"get out of the base. Great for day to day. Listening to music and sports. External noise eliminated everything to help you focus. Comodisumos you see, which are loaded in their own box. Good feeling from the first moment in which out of the box. I recomme"&amp;"nd it !! Amazon Thanks !!")</f>
        <v>Small and compact. Quality sound! How wonderful .. I have several wireless headphones and are the first to adapt like no other, you forget you're wearing them. They dream that is a luxury. They are automatically connected by Bluetooth to mobile, when you get out of the base. Great for day to day. Listening to music and sports. External noise eliminated everything to help you focus. Comodisumos you see, which are loaded in their own box. Good feeling from the first moment in which out of the box. I recommend it !! Amazon Thanks !!</v>
      </c>
    </row>
    <row r="317">
      <c r="A317" s="1">
        <v>5.0</v>
      </c>
      <c r="B317" s="1" t="s">
        <v>147</v>
      </c>
      <c r="C317" t="str">
        <f>IFERROR(__xludf.DUMMYFUNCTION("GOOGLETRANSLATE(B317, ""es"", ""en"")"),"All perfect perfect all")</f>
        <v>All perfect perfect all</v>
      </c>
    </row>
    <row r="318">
      <c r="A318" s="1">
        <v>5.0</v>
      </c>
      <c r="B318" s="1" t="s">
        <v>317</v>
      </c>
      <c r="C318" t="str">
        <f>IFERROR(__xludf.DUMMYFUNCTION("GOOGLETRANSLATE(B318, ""es"", ""en"")"),"Buenony perfect product quality very fast to reach buenony perfect product quality very fast to arrive")</f>
        <v>Buenony perfect product quality very fast to reach buenony perfect product quality very fast to arrive</v>
      </c>
    </row>
    <row r="319">
      <c r="A319" s="1">
        <v>5.0</v>
      </c>
      <c r="B319" s="1" t="s">
        <v>318</v>
      </c>
      <c r="C319" t="str">
        <f>IFERROR(__xludf.DUMMYFUNCTION("GOOGLETRANSLATE(B319, ""es"", ""en"")"),"Desiring pointer to practical use in a presentation with more people. Surprised by the usefulness of such a small device. It is very easy and simple. It has a USB that connects to the PC and a couple of buttons can change dispositive and even change from "&amp;"one window to another browser or program. The laser is clearly even in bright lighting.")</f>
        <v>Desiring pointer to practical use in a presentation with more people. Surprised by the usefulness of such a small device. It is very easy and simple. It has a USB that connects to the PC and a couple of buttons can change dispositive and even change from one window to another browser or program. The laser is clearly even in bright lighting.</v>
      </c>
    </row>
    <row r="320">
      <c r="A320" s="1">
        <v>5.0</v>
      </c>
      <c r="B320" s="1" t="s">
        <v>319</v>
      </c>
      <c r="C320" t="str">
        <f>IFERROR(__xludf.DUMMYFUNCTION("GOOGLETRANSLATE(B320, ""es"", ""en"")"),"Men's Watch This watch me what I bought because I never had a watch so look mechanical and automatic, apart because the golden color inside is handsome and shines at night Well guess like all happy because with shirt looks good .")</f>
        <v>Men's Watch This watch me what I bought because I never had a watch so look mechanical and automatic, apart because the golden color inside is handsome and shines at night Well guess like all happy because with shirt looks good .</v>
      </c>
    </row>
    <row r="321">
      <c r="A321" s="1">
        <v>5.0</v>
      </c>
      <c r="B321" s="1" t="s">
        <v>320</v>
      </c>
      <c r="C321" t="str">
        <f>IFERROR(__xludf.DUMMYFUNCTION("GOOGLETRANSLATE(B321, ""es"", ""en"")"),"Cool shoes Cool Solomon Solomon'm thinking about buying others are very comfortable and lightweight perfect for hiking or mountain running thanks to its tremendous grip of his firm floor")</f>
        <v>Cool shoes Cool Solomon Solomon'm thinking about buying others are very comfortable and lightweight perfect for hiking or mountain running thanks to its tremendous grip of his firm floor</v>
      </c>
    </row>
    <row r="322">
      <c r="A322" s="1">
        <v>5.0</v>
      </c>
      <c r="B322" s="1" t="s">
        <v>321</v>
      </c>
      <c r="C322" t="str">
        <f>IFERROR(__xludf.DUMMYFUNCTION("GOOGLETRANSLATE(B322, ""es"", ""en"")"),"ideal complement for Powerpoint and less than 10 € Do not complicate your life by buying the original pointer Microsoft at a price five times higher, or using the laser inductor of some portable keyboards. This is perfect and doing very well. To launch th"&amp;"e laser, you have to press hard, just put your finger on the switch pointer and it works. It is perfect for PowerPoint and even lets pass the slides, I liked a lot and especially for the price.")</f>
        <v>ideal complement for Powerpoint and less than 10 € Do not complicate your life by buying the original pointer Microsoft at a price five times higher, or using the laser inductor of some portable keyboards. This is perfect and doing very well. To launch the laser, you have to press hard, just put your finger on the switch pointer and it works. It is perfect for PowerPoint and even lets pass the slides, I liked a lot and especially for the price.</v>
      </c>
    </row>
    <row r="323">
      <c r="A323" s="1">
        <v>5.0</v>
      </c>
      <c r="B323" s="1" t="s">
        <v>322</v>
      </c>
      <c r="C323" t="str">
        <f>IFERROR(__xludf.DUMMYFUNCTION("GOOGLETRANSLATE(B323, ""es"", ""en"")"),"This article first quality as described in the description.")</f>
        <v>This article first quality as described in the description.</v>
      </c>
    </row>
    <row r="324">
      <c r="A324" s="1">
        <v>5.0</v>
      </c>
      <c r="B324" s="1" t="s">
        <v>323</v>
      </c>
      <c r="C324" t="str">
        <f>IFERROR(__xludf.DUMMYFUNCTION("GOOGLETRANSLATE(B324, ""es"", ""en"")"),"Beautiful, durable and fast I have enough USB pendrive like this and this is the best I have left me. This model, also I have the 32GB version USB 3.0 and one USB 2.0 16GB. At first glance it looks nice and stylish, has a slightly rough feel that facilita"&amp;"tes put it and remove it from where it is placed. It has a good size, not huge and plasticky, or flea size (it costs to get them out and get lost with astonishing ease). No cover, so no problem to get lost (to me happens a lot). The disadvantage of not ha"&amp;"ving cover is that if you take it with the keys in his jacket, maybe some cotton lint goal within, so attentive to this (happened too and the computer does not detect). Enduring pretty good shock and apparently is not scratched by contact with other objec"&amp;"ts and bustle (attached to the keys for example). A having a clamping ring approx 1 cm., Not stuck in the keychain with the keys and is very easy to remove and put back. In reading and writing speed USB 3.0 port, it is within acceptable margins: Reading 1"&amp;"27.8 MB / s and writing at 41.2 MB / s. That you can you go a little faster or slower, everything will depend on what computer you connect. Of course, if you connect it to a USB 2.0 port, these values ​​fall drastically, but it is perfectly compatible. Ob"&amp;"viously, you can use it for whatever you want: save data, music, mp3, movies, photos, recorded TV or even USB-boot to boot an OS from USB. It comes without additional software, but in my case, do not miss, because are not very functional at the time of tr"&amp;"uth. With 5 years warranty provided by the manufacturer Kingston (from the best brands in the market) and a price that Amazon stands at around 11 € for the 64GB version, it is a very good option to consider. I hope has been useful.")</f>
        <v>Beautiful, durable and fast I have enough USB pendrive like this and this is the best I have left me. This model, also I have the 32GB version USB 3.0 and one USB 2.0 16GB. At first glance it looks nice and stylish, has a slightly rough feel that facilitates put it and remove it from where it is placed. It has a good size, not huge and plasticky, or flea size (it costs to get them out and get lost with astonishing ease). No cover, so no problem to get lost (to me happens a lot). The disadvantage of not having cover is that if you take it with the keys in his jacket, maybe some cotton lint goal within, so attentive to this (happened too and the computer does not detect). Enduring pretty good shock and apparently is not scratched by contact with other objects and bustle (attached to the keys for example). A having a clamping ring approx 1 cm., Not stuck in the keychain with the keys and is very easy to remove and put back. In reading and writing speed USB 3.0 port, it is within acceptable margins: Reading 127.8 MB / s and writing at 41.2 MB / s. That you can you go a little faster or slower, everything will depend on what computer you connect. Of course, if you connect it to a USB 2.0 port, these values ​​fall drastically, but it is perfectly compatible. Obviously, you can use it for whatever you want: save data, music, mp3, movies, photos, recorded TV or even USB-boot to boot an OS from USB. It comes without additional software, but in my case, do not miss, because are not very functional at the time of truth. With 5 years warranty provided by the manufacturer Kingston (from the best brands in the market) and a price that Amazon stands at around 11 € for the 64GB version, it is a very good option to consider. I hope has been useful.</v>
      </c>
    </row>
    <row r="325">
      <c r="A325" s="1">
        <v>5.0</v>
      </c>
      <c r="B325" s="1" t="s">
        <v>324</v>
      </c>
      <c r="C325" t="str">
        <f>IFERROR(__xludf.DUMMYFUNCTION("GOOGLETRANSLATE(B325, ""es"", ""en"")"),"I had good descambiarlo by more number means the product should clarify the sizing, is misleading because if you compare it with the official website")</f>
        <v>I had good descambiarlo by more number means the product should clarify the sizing, is misleading because if you compare it with the official website</v>
      </c>
    </row>
    <row r="326">
      <c r="A326" s="1">
        <v>5.0</v>
      </c>
      <c r="B326" s="1" t="s">
        <v>325</v>
      </c>
      <c r="C326" t="str">
        <f>IFERROR(__xludf.DUMMYFUNCTION("GOOGLETRANSLATE(B326, ""es"", ""en"")"),"Versatile and large storage capacity very versatile. Ideal to download photos and videos of the mobil and pete and then not be able to pass directly to the laptop. Large storage capacity.")</f>
        <v>Versatile and large storage capacity very versatile. Ideal to download photos and videos of the mobil and pete and then not be able to pass directly to the laptop. Large storage capacity.</v>
      </c>
    </row>
    <row r="327">
      <c r="A327" s="1">
        <v>5.0</v>
      </c>
      <c r="B327" s="1" t="s">
        <v>326</v>
      </c>
      <c r="C327" t="str">
        <f>IFERROR(__xludf.DUMMYFUNCTION("GOOGLETRANSLATE(B327, ""es"", ""en"")"),"Hot good shoe is a shoe and sturdy, comfortable sole. Highly recommended, especially for houses with gardens, because you can go out without any problems. On height. I took the number higher than soil fit without problem.")</f>
        <v>Hot good shoe is a shoe and sturdy, comfortable sole. Highly recommended, especially for houses with gardens, because you can go out without any problems. On height. I took the number higher than soil fit without problem.</v>
      </c>
    </row>
    <row r="328">
      <c r="A328" s="1">
        <v>5.0</v>
      </c>
      <c r="B328" s="1" t="s">
        <v>327</v>
      </c>
      <c r="C328" t="str">
        <f>IFERROR(__xludf.DUMMYFUNCTION("GOOGLETRANSLATE(B328, ""es"", ""en"")"),"As Picture The truth is that very well. Exactly like the picture.")</f>
        <v>As Picture The truth is that very well. Exactly like the picture.</v>
      </c>
    </row>
    <row r="329">
      <c r="A329" s="1">
        <v>5.0</v>
      </c>
      <c r="B329" s="1" t="s">
        <v>328</v>
      </c>
      <c r="C329" t="str">
        <f>IFERROR(__xludf.DUMMYFUNCTION("GOOGLETRANSLATE(B329, ""es"", ""en"")"),"Beautiful and very good quality. As I say, I know this series of Casio, and I think all the modelos.En phenomenal as I saw it, buy it. On the downside, they reached their normal price for these models but the seller's price has gone up a lot and is no lon"&amp;"ger atractivo.Por casio these prices has them best.")</f>
        <v>Beautiful and very good quality. As I say, I know this series of Casio, and I think all the modelos.En phenomenal as I saw it, buy it. On the downside, they reached their normal price for these models but the seller's price has gone up a lot and is no longer atractivo.Por casio these prices has them best.</v>
      </c>
    </row>
    <row r="330">
      <c r="A330" s="1">
        <v>5.0</v>
      </c>
      <c r="B330" s="1" t="s">
        <v>329</v>
      </c>
      <c r="C330" t="str">
        <f>IFERROR(__xludf.DUMMYFUNCTION("GOOGLETRANSLATE(B330, ""es"", ""en"")"),"lolo Excited with casio g-shock, large, robust buttons, the white gives good atractivo.la paste only when the screen being in reverse color according as look no reading is well appreciated, so others left over, I'm a fan of this brand watches")</f>
        <v>lolo Excited with casio g-shock, large, robust buttons, the white gives good atractivo.la paste only when the screen being in reverse color according as look no reading is well appreciated, so others left over, I'm a fan of this brand watches</v>
      </c>
    </row>
    <row r="331">
      <c r="A331" s="1">
        <v>5.0</v>
      </c>
      <c r="B331" s="1" t="s">
        <v>330</v>
      </c>
      <c r="C331" t="str">
        <f>IFERROR(__xludf.DUMMYFUNCTION("GOOGLETRANSLATE(B331, ""es"", ""en"")"),"Very good moment. I've only been using it a few days, but so far has not given me any problems, file transfer is very fast and does the job perfectly. Strong Buy.")</f>
        <v>Very good moment. I've only been using it a few days, but so far has not given me any problems, file transfer is very fast and does the job perfectly. Strong Buy.</v>
      </c>
    </row>
    <row r="332">
      <c r="A332" s="1">
        <v>2.0</v>
      </c>
      <c r="B332" s="1" t="s">
        <v>331</v>
      </c>
      <c r="C332" t="str">
        <f>IFERROR(__xludf.DUMMYFUNCTION("GOOGLETRANSLATE(B332, ""es"", ""en"")"),"back If you want to take as pictured or wear super-tight with purple ears or are turned by weight, they are given a shame because they are not bad and are pretty but I'll have them put to the reverse, with the Estrellita small down")</f>
        <v>back If you want to take as pictured or wear super-tight with purple ears or are turned by weight, they are given a shame because they are not bad and are pretty but I'll have them put to the reverse, with the Estrellita small down</v>
      </c>
    </row>
    <row r="333">
      <c r="A333" s="1">
        <v>3.0</v>
      </c>
      <c r="B333" s="1" t="s">
        <v>332</v>
      </c>
      <c r="C333" t="str">
        <f>IFERROR(__xludf.DUMMYFUNCTION("GOOGLETRANSLATE(B333, ""es"", ""en"")"),"Need to stick replacement. The system of rotating mop and bucket is great not to have to make efforts in wringing (especially for older people with back problems) and clean well. I put only 3 stars because I broke the stick earlier he had and no parts of "&amp;"the stick, I had to re-buy the whole kit only because he needed the stick ... I feel really bad that Vileda not sell the club separated by Amazon even in his own web.")</f>
        <v>Need to stick replacement. The system of rotating mop and bucket is great not to have to make efforts in wringing (especially for older people with back problems) and clean well. I put only 3 stars because I broke the stick earlier he had and no parts of the stick, I had to re-buy the whole kit only because he needed the stick ... I feel really bad that Vileda not sell the club separated by Amazon even in his own web.</v>
      </c>
    </row>
    <row r="334">
      <c r="A334" s="1">
        <v>1.0</v>
      </c>
      <c r="B334" s="1" t="s">
        <v>333</v>
      </c>
      <c r="C334" t="str">
        <f>IFERROR(__xludf.DUMMYFUNCTION("GOOGLETRANSLATE(B334, ""es"", ""en"")"),"Error in description We buy these bottles by size and because the nipple was the X (the best for milk and cereals) and finally the nipple that was included 2. As I read, other buyers had no problem ... FOR I will say that the shipping was fast and the ret"&amp;"urn too.")</f>
        <v>Error in description We buy these bottles by size and because the nipple was the X (the best for milk and cereals) and finally the nipple that was included 2. As I read, other buyers had no problem ... FOR I will say that the shipping was fast and the return too.</v>
      </c>
    </row>
    <row r="335">
      <c r="A335" s="1">
        <v>1.0</v>
      </c>
      <c r="B335" s="1" t="s">
        <v>334</v>
      </c>
      <c r="C335" t="str">
        <f>IFERROR(__xludf.DUMMYFUNCTION("GOOGLETRANSLATE(B335, ""es"", ""en"")"),"No guarantee that are original The description of the product sets that are adidas shoes but when we received the product does not have any logo that really are original adidas or sneakers, labels or cabinet. The returned it.")</f>
        <v>No guarantee that are original The description of the product sets that are adidas shoes but when we received the product does not have any logo that really are original adidas or sneakers, labels or cabinet. The returned it.</v>
      </c>
    </row>
    <row r="336">
      <c r="A336" s="1">
        <v>4.0</v>
      </c>
      <c r="B336" s="1" t="s">
        <v>335</v>
      </c>
      <c r="C336" t="str">
        <f>IFERROR(__xludf.DUMMYFUNCTION("GOOGLETRANSLATE(B336, ""es"", ""en"")"),"Very good quality good as the only image that gives a lot of heat but the sole is very comfortable")</f>
        <v>Very good quality good as the only image that gives a lot of heat but the sole is very comfortable</v>
      </c>
    </row>
    <row r="337">
      <c r="A337" s="1">
        <v>4.0</v>
      </c>
      <c r="B337" s="1" t="s">
        <v>336</v>
      </c>
      <c r="C337" t="str">
        <f>IFERROR(__xludf.DUMMYFUNCTION("GOOGLETRANSLATE(B337, ""es"", ""en"")"),"I love Good morning, I do yoga, I bought them because I liked their design but it is a little big. Still, I am delighted Greetings Anabel")</f>
        <v>I love Good morning, I do yoga, I bought them because I liked their design but it is a little big. Still, I am delighted Greetings Anabel</v>
      </c>
    </row>
    <row r="338">
      <c r="A338" s="1">
        <v>4.0</v>
      </c>
      <c r="B338" s="1" t="s">
        <v>337</v>
      </c>
      <c r="C338" t="str">
        <f>IFERROR(__xludf.DUMMYFUNCTION("GOOGLETRANSLATE(B338, ""es"", ""en"")"),"Quality finishes I love Converse seem finishes and quality. Evil in the lining of the heel is worn with little use and make some noise when you walk. The soles do not rub off")</f>
        <v>Quality finishes I love Converse seem finishes and quality. Evil in the lining of the heel is worn with little use and make some noise when you walk. The soles do not rub off</v>
      </c>
    </row>
    <row r="339">
      <c r="A339" s="1">
        <v>4.0</v>
      </c>
      <c r="B339" s="1" t="s">
        <v>338</v>
      </c>
      <c r="C339" t="str">
        <f>IFERROR(__xludf.DUMMYFUNCTION("GOOGLETRANSLATE(B339, ""es"", ""en"")"),"Magnificent good cables speaker cables. OFC. Length 2 x 5m. Cable diameter 4.6 mm. Diameter of 2.6 mm copper. Cable ""heavy"" by the large number of copper wires but very manageable.")</f>
        <v>Magnificent good cables speaker cables. OFC. Length 2 x 5m. Cable diameter 4.6 mm. Diameter of 2.6 mm copper. Cable "heavy" by the large number of copper wires but very manageable.</v>
      </c>
    </row>
    <row r="340">
      <c r="A340" s="1">
        <v>4.0</v>
      </c>
      <c r="B340" s="1" t="s">
        <v>339</v>
      </c>
      <c r="C340" t="str">
        <f>IFERROR(__xludf.DUMMYFUNCTION("GOOGLETRANSLATE(B340, ""es"", ""en"")"),"Good buy and look great Ojala people know the importance of using such footwear and escape air chambers or padded soles hikes ... for anyone who wants reliazar really effective work with their feet and therefore your body is shoe meets. In a few months if"&amp;" necessary to see edit this I will, as I saw that durability is low in many comments and I hope that does not happen. My wife has these, I have other and we arrived at a time in different color but same model")</f>
        <v>Good buy and look great Ojala people know the importance of using such footwear and escape air chambers or padded soles hikes ... for anyone who wants reliazar really effective work with their feet and therefore your body is shoe meets. In a few months if necessary to see edit this I will, as I saw that durability is low in many comments and I hope that does not happen. My wife has these, I have other and we arrived at a time in different color but same model</v>
      </c>
    </row>
    <row r="341">
      <c r="A341" s="1">
        <v>5.0</v>
      </c>
      <c r="B341" s="1" t="s">
        <v>340</v>
      </c>
      <c r="C341" t="str">
        <f>IFERROR(__xludf.DUMMYFUNCTION("GOOGLETRANSLATE(B341, ""es"", ""en"")"),"family loved me, and I wish also like to ..........")</f>
        <v>family loved me, and I wish also like to ..........</v>
      </c>
    </row>
    <row r="342">
      <c r="A342" s="1">
        <v>5.0</v>
      </c>
      <c r="B342" s="1" t="s">
        <v>341</v>
      </c>
      <c r="C342" t="str">
        <f>IFERROR(__xludf.DUMMYFUNCTION("GOOGLETRANSLATE(B342, ""es"", ""en"")"),"The best are the best bottles, especially if you want to opt for a mixed feeding or to go from breast to bottle without traumas. The nipple is the most similar to the womb, both in form and touch and suck when molded as the breast.")</f>
        <v>The best are the best bottles, especially if you want to opt for a mixed feeding or to go from breast to bottle without traumas. The nipple is the most similar to the womb, both in form and touch and suck when molded as the breast.</v>
      </c>
    </row>
    <row r="343">
      <c r="A343" s="1">
        <v>5.0</v>
      </c>
      <c r="B343" s="1" t="s">
        <v>342</v>
      </c>
      <c r="C343" t="str">
        <f>IFERROR(__xludf.DUMMYFUNCTION("GOOGLETRANSLATE(B343, ""es"", ""en"")"),"Super Phenomenal")</f>
        <v>Super Phenomenal</v>
      </c>
    </row>
    <row r="344">
      <c r="A344" s="1">
        <v>5.0</v>
      </c>
      <c r="B344" s="1" t="s">
        <v>343</v>
      </c>
      <c r="C344" t="str">
        <f>IFERROR(__xludf.DUMMYFUNCTION("GOOGLETRANSLATE(B344, ""es"", ""en"")"),"Very practical and comfortable bath ideal for small space Easy to fold and takes up little space. Ideal for homes with limited space or bathrooms. Very happy with the quality of the product.")</f>
        <v>Very practical and comfortable bath ideal for small space Easy to fold and takes up little space. Ideal for homes with limited space or bathrooms. Very happy with the quality of the product.</v>
      </c>
    </row>
    <row r="345">
      <c r="A345" s="1">
        <v>5.0</v>
      </c>
      <c r="B345" s="1" t="s">
        <v>344</v>
      </c>
      <c r="C345" t="str">
        <f>IFERROR(__xludf.DUMMYFUNCTION("GOOGLETRANSLATE(B345, ""es"", ""en"")"),"Just expected Very beautiful and wearable. It's just what I was looking for. The size is perfect for my taste and the chain lives up to the photos do not bring any nasty surprises as it sometimes disappoint you because it is too small or too finite.")</f>
        <v>Just expected Very beautiful and wearable. It's just what I was looking for. The size is perfect for my taste and the chain lives up to the photos do not bring any nasty surprises as it sometimes disappoint you because it is too small or too finite.</v>
      </c>
    </row>
    <row r="346">
      <c r="A346" s="1">
        <v>5.0</v>
      </c>
      <c r="B346" s="1" t="s">
        <v>345</v>
      </c>
      <c r="C346" t="str">
        <f>IFERROR(__xludf.DUMMYFUNCTION("GOOGLETRANSLATE(B346, ""es"", ""en"")"),"Bluetooth headphones bluetooth headset perfect go train, very good sound quality and long battery life.")</f>
        <v>Bluetooth headphones bluetooth headset perfect go train, very good sound quality and long battery life.</v>
      </c>
    </row>
    <row r="347">
      <c r="A347" s="1">
        <v>5.0</v>
      </c>
      <c r="B347" s="1" t="s">
        <v>346</v>
      </c>
      <c r="C347" t="str">
        <f>IFERROR(__xludf.DUMMYFUNCTION("GOOGLETRANSLATE(B347, ""es"", ""en"")"),"All right makes his feature The bag is great, fits all. Not the shoulder type, which are smaller to carry on the chest or back. This is to bring back or shoulder, but it fits everything you need for a daily output. Mobile, water, umbrella, Tablet, Charger"&amp;", Kindle, book, etc. Very useful.")</f>
        <v>All right makes his feature The bag is great, fits all. Not the shoulder type, which are smaller to carry on the chest or back. This is to bring back or shoulder, but it fits everything you need for a daily output. Mobile, water, umbrella, Tablet, Charger, Kindle, book, etc. Very useful.</v>
      </c>
    </row>
    <row r="348">
      <c r="A348" s="1">
        <v>5.0</v>
      </c>
      <c r="B348" s="1" t="s">
        <v>347</v>
      </c>
      <c r="C348" t="str">
        <f>IFERROR(__xludf.DUMMYFUNCTION("GOOGLETRANSLATE(B348, ""es"", ""en"")"),"Exact. I certainly technical and seeking accuracy and cleanliness career. I had another bar, which bought for good and tripling the price of this, and at the end of a disaster. This measure meets all expectations and for a very affordable price.")</f>
        <v>Exact. I certainly technical and seeking accuracy and cleanliness career. I had another bar, which bought for good and tripling the price of this, and at the end of a disaster. This measure meets all expectations and for a very affordable price.</v>
      </c>
    </row>
    <row r="349">
      <c r="A349" s="1">
        <v>5.0</v>
      </c>
      <c r="B349" s="1" t="s">
        <v>348</v>
      </c>
      <c r="C349" t="str">
        <f>IFERROR(__xludf.DUMMYFUNCTION("GOOGLETRANSLATE(B349, ""es"", ""en"")"),"Microphone has excellent quality. I was flabbergasted sound clarity you have, it is better than other higher priced I've ever had. Really, I totally recommend it! It is also super easy to ride and just put it on your computer can have it all ready in less"&amp;" than 5 minutes.")</f>
        <v>Microphone has excellent quality. I was flabbergasted sound clarity you have, it is better than other higher priced I've ever had. Really, I totally recommend it! It is also super easy to ride and just put it on your computer can have it all ready in less than 5 minutes.</v>
      </c>
    </row>
    <row r="350">
      <c r="A350" s="1">
        <v>5.0</v>
      </c>
      <c r="B350" s="1" t="s">
        <v>349</v>
      </c>
      <c r="C350" t="str">
        <f>IFERROR(__xludf.DUMMYFUNCTION("GOOGLETRANSLATE(B350, ""es"", ""en"")"),"Very light Sizes very small. I had to buy a full size. Very light comfortable shoes. I bought three for just over 20 euros each, gifts for everyone !. Very good design and variety of colors")</f>
        <v>Very light Sizes very small. I had to buy a full size. Very light comfortable shoes. I bought three for just over 20 euros each, gifts for everyone !. Very good design and variety of colors</v>
      </c>
    </row>
    <row r="351">
      <c r="A351" s="1">
        <v>5.0</v>
      </c>
      <c r="B351" s="1" t="s">
        <v>350</v>
      </c>
      <c r="C351" t="str">
        <f>IFERROR(__xludf.DUMMYFUNCTION("GOOGLETRANSLATE(B351, ""es"", ""en"")"),"Good sound a little price before did not expect very good quality sound headset is very economical. AKG and my headphones were costing JBL before 2 or 3 times larger than this but do not notice much Differencia sound.")</f>
        <v>Good sound a little price before did not expect very good quality sound headset is very economical. AKG and my headphones were costing JBL before 2 or 3 times larger than this but do not notice much Differencia sound.</v>
      </c>
    </row>
    <row r="352">
      <c r="A352" s="1">
        <v>5.0</v>
      </c>
      <c r="B352" s="1" t="s">
        <v>351</v>
      </c>
      <c r="C352" t="str">
        <f>IFERROR(__xludf.DUMMYFUNCTION("GOOGLETRANSLATE(B352, ""es"", ""en"")"),"Very nice are very nice. My daughter liked it very much. Regarding size, large carve, my daughter usually uses 38 but 38 in this shoe enormous him came, I had to take her back and 37 1/3 and that is you perfect.")</f>
        <v>Very nice are very nice. My daughter liked it very much. Regarding size, large carve, my daughter usually uses 38 but 38 in this shoe enormous him came, I had to take her back and 37 1/3 and that is you perfect.</v>
      </c>
    </row>
    <row r="353">
      <c r="A353" s="1">
        <v>5.0</v>
      </c>
      <c r="B353" s="1" t="s">
        <v>352</v>
      </c>
      <c r="C353" t="str">
        <f>IFERROR(__xludf.DUMMYFUNCTION("GOOGLETRANSLATE(B353, ""es"", ""en"")"),"Possibly the best alarm sounds silly, but I have 25 years buying these alarm clocks and I have never found any that fit me.")</f>
        <v>Possibly the best alarm sounds silly, but I have 25 years buying these alarm clocks and I have never found any that fit me.</v>
      </c>
    </row>
    <row r="354">
      <c r="A354" s="1">
        <v>5.0</v>
      </c>
      <c r="B354" s="1" t="s">
        <v>353</v>
      </c>
      <c r="C354" t="str">
        <f>IFERROR(__xludf.DUMMYFUNCTION("GOOGLETRANSLATE(B354, ""es"", ""en"")"),"Buenísimo quality")</f>
        <v>Buenísimo quality</v>
      </c>
    </row>
    <row r="355">
      <c r="A355" s="1">
        <v>5.0</v>
      </c>
      <c r="B355" s="1" t="s">
        <v>354</v>
      </c>
      <c r="C355" t="str">
        <f>IFERROR(__xludf.DUMMYFUNCTION("GOOGLETRANSLATE(B355, ""es"", ""en"")"),"10 are beautiful! And it is true! I love! At the beginning hurt (like all new shoes) I hope they will soften")</f>
        <v>10 are beautiful! And it is true! I love! At the beginning hurt (like all new shoes) I hope they will soften</v>
      </c>
    </row>
    <row r="356">
      <c r="A356" s="1">
        <v>5.0</v>
      </c>
      <c r="B356" s="1" t="s">
        <v>355</v>
      </c>
      <c r="C356" t="str">
        <f>IFERROR(__xludf.DUMMYFUNCTION("GOOGLETRANSLATE(B356, ""es"", ""en"")"),"Calentita as he expected and comfortable")</f>
        <v>Calentita as he expected and comfortable</v>
      </c>
    </row>
    <row r="357">
      <c r="A357" s="1">
        <v>5.0</v>
      </c>
      <c r="B357" s="1" t="s">
        <v>356</v>
      </c>
      <c r="C357" t="str">
        <f>IFERROR(__xludf.DUMMYFUNCTION("GOOGLETRANSLATE(B357, ""es"", ""en"")"),"Ideal for the mountain. I had one and the same or similar 15 years ago. Leave forgotten in a mountain river. If well calibrated PAHs, the information is very accurate.")</f>
        <v>Ideal for the mountain. I had one and the same or similar 15 years ago. Leave forgotten in a mountain river. If well calibrated PAHs, the information is very accurate.</v>
      </c>
    </row>
    <row r="358">
      <c r="A358" s="1">
        <v>5.0</v>
      </c>
      <c r="B358" s="1" t="s">
        <v>357</v>
      </c>
      <c r="C358" t="str">
        <f>IFERROR(__xludf.DUMMYFUNCTION("GOOGLETRANSLATE(B358, ""es"", ""en"")"),"Perfect perfect everything.")</f>
        <v>Perfect perfect everything.</v>
      </c>
    </row>
    <row r="359">
      <c r="A359" s="1">
        <v>2.0</v>
      </c>
      <c r="B359" s="1" t="s">
        <v>358</v>
      </c>
      <c r="C359" t="str">
        <f>IFERROR(__xludf.DUMMYFUNCTION("GOOGLETRANSLATE(B359, ""es"", ""en"")"),"Data transfer is slow The first, and what surprised me by being the Kingston brand was slow data transfer. It says in the description is a USB 3.0 and I'll say it's not. I've spent already several things from my PC to the flash drive, and every time the t"&amp;"ransfer has been slow. I do not complain because their storage capacity is what it is, and I had no problem when reading the stored files. If you are looking for speed, this is not your pendrive.")</f>
        <v>Data transfer is slow The first, and what surprised me by being the Kingston brand was slow data transfer. It says in the description is a USB 3.0 and I'll say it's not. I've spent already several things from my PC to the flash drive, and every time the transfer has been slow. I do not complain because their storage capacity is what it is, and I had no problem when reading the stored files. If you are looking for speed, this is not your pendrive.</v>
      </c>
    </row>
    <row r="360">
      <c r="A360" s="1">
        <v>3.0</v>
      </c>
      <c r="B360" s="1" t="s">
        <v>359</v>
      </c>
      <c r="C360" t="str">
        <f>IFERROR(__xludf.DUMMYFUNCTION("GOOGLETRANSLATE(B360, ""es"", ""en"")"),"Simply it Works The quality is fair, clear, commensurate with the price.")</f>
        <v>Simply it Works The quality is fair, clear, commensurate with the price.</v>
      </c>
    </row>
    <row r="361">
      <c r="A361" s="1">
        <v>3.0</v>
      </c>
      <c r="B361" s="1" t="s">
        <v>360</v>
      </c>
      <c r="C361" t="str">
        <f>IFERROR(__xludf.DUMMYFUNCTION("GOOGLETRANSLATE(B361, ""es"", ""en"")"),"The size collar is too tight as I expected, the sleeves have a correct length. As for the quality of the fabric are cotton but a little thin for my taste, without being transparent. Neck very tight, stay a little ""drowned"" detail that can not be seen in"&amp;" the photo of the model product. I still very tight compared to all the shirts I have and have had other brands, but like everything is a matter of taste.")</f>
        <v>The size collar is too tight as I expected, the sleeves have a correct length. As for the quality of the fabric are cotton but a little thin for my taste, without being transparent. Neck very tight, stay a little "drowned" detail that can not be seen in the photo of the model product. I still very tight compared to all the shirts I have and have had other brands, but like everything is a matter of taste.</v>
      </c>
    </row>
    <row r="362">
      <c r="A362" s="1">
        <v>1.0</v>
      </c>
      <c r="B362" s="1" t="s">
        <v>361</v>
      </c>
      <c r="C362" t="str">
        <f>IFERROR(__xludf.DUMMYFUNCTION("GOOGLETRANSLATE(B362, ""es"", ""en"")"),"Cumbersome and sticky where it should ... Quite disappointing moment. I gave error and on a couple of occasions for no apparent reason. It is very cumbersome, adhesives stick to all and remain in the skin when you take them off ... remains sticky legs. Wh"&amp;"en storing highly problematic as the adhesive sticks to his pants ... I started the first day at level 88've been using 5 days and go for 92 ... do not know if it's worth so much money. I give another week of testing but fails to convince me ..")</f>
        <v>Cumbersome and sticky where it should ... Quite disappointing moment. I gave error and on a couple of occasions for no apparent reason. It is very cumbersome, adhesives stick to all and remain in the skin when you take them off ... remains sticky legs. When storing highly problematic as the adhesive sticks to his pants ... I started the first day at level 88've been using 5 days and go for 92 ... do not know if it's worth so much money. I give another week of testing but fails to convince me ..</v>
      </c>
    </row>
    <row r="363">
      <c r="A363" s="1">
        <v>1.0</v>
      </c>
      <c r="B363" s="1" t="s">
        <v>362</v>
      </c>
      <c r="C363" t="str">
        <f>IFERROR(__xludf.DUMMYFUNCTION("GOOGLETRANSLATE(B363, ""es"", ""en"")"),"Helmets bad connector has broken the third day. I'd like to mandarais others, I am a regular customer of Amazon")</f>
        <v>Helmets bad connector has broken the third day. I'd like to mandarais others, I am a regular customer of Amazon</v>
      </c>
    </row>
    <row r="364">
      <c r="A364" s="1">
        <v>4.0</v>
      </c>
      <c r="B364" s="1" t="s">
        <v>363</v>
      </c>
      <c r="C364" t="str">
        <f>IFERROR(__xludf.DUMMYFUNCTION("GOOGLETRANSLATE(B364, ""es"", ""en"")"),"BUT IF ... In the box comes pendant, two earrings and a rag to clean parts. It is an original detail to give away, because inside the heart is engraved the word ""love"" in countless languages. This can be seen through the flashlight mobile or taking a pi"&amp;"cture in the center of the heart. The quality of the product is average for my taste a little loose, but overall it is beautiful and elegant. I hope they serve a greeting.")</f>
        <v>BUT IF ... In the box comes pendant, two earrings and a rag to clean parts. It is an original detail to give away, because inside the heart is engraved the word "love" in countless languages. This can be seen through the flashlight mobile or taking a picture in the center of the heart. The quality of the product is average for my taste a little loose, but overall it is beautiful and elegant. I hope they serve a greeting.</v>
      </c>
    </row>
    <row r="365">
      <c r="A365" s="1">
        <v>4.0</v>
      </c>
      <c r="B365" s="1" t="s">
        <v>364</v>
      </c>
      <c r="C365" t="str">
        <f>IFERROR(__xludf.DUMMYFUNCTION("GOOGLETRANSLATE(B365, ""es"", ""en"")"),"Good value is the cream using my physio daily. I decided to buy it here for its competitive price. Slides very well and leaves a pleasant smell of mint. As I run out the back to buy. Perfect for massaging. Shipping within the estimated time.")</f>
        <v>Good value is the cream using my physio daily. I decided to buy it here for its competitive price. Slides very well and leaves a pleasant smell of mint. As I run out the back to buy. Perfect for massaging. Shipping within the estimated time.</v>
      </c>
    </row>
    <row r="366">
      <c r="A366" s="1">
        <v>4.0</v>
      </c>
      <c r="B366" s="1" t="s">
        <v>365</v>
      </c>
      <c r="C366" t="str">
        <f>IFERROR(__xludf.DUMMYFUNCTION("GOOGLETRANSLATE(B366, ""es"", ""en"")"),"Comfort / Value is fine. Naturally, the materials are common. I did not expect anything else, either.")</f>
        <v>Comfort / Value is fine. Naturally, the materials are common. I did not expect anything else, either.</v>
      </c>
    </row>
    <row r="367">
      <c r="A367" s="1">
        <v>4.0</v>
      </c>
      <c r="B367" s="1" t="s">
        <v>366</v>
      </c>
      <c r="C367" t="str">
        <f>IFERROR(__xludf.DUMMYFUNCTION("GOOGLETRANSLATE(B367, ""es"", ""en"")"),"In general all lines well.")</f>
        <v>In general all lines well.</v>
      </c>
    </row>
    <row r="368">
      <c r="A368" s="1">
        <v>4.0</v>
      </c>
      <c r="B368" s="1" t="s">
        <v>367</v>
      </c>
      <c r="C368" t="str">
        <f>IFERROR(__xludf.DUMMYFUNCTION("GOOGLETRANSLATE(B368, ""es"", ""en"")"),"best value for money if you want to start with a channel twich or yt This is the best option for a price adjusted receive full and high quality pack 100% recommend")</f>
        <v>best value for money if you want to start with a channel twich or yt This is the best option for a price adjusted receive full and high quality pack 100% recommend</v>
      </c>
    </row>
    <row r="369">
      <c r="A369" s="1">
        <v>5.0</v>
      </c>
      <c r="B369" s="1" t="s">
        <v>368</v>
      </c>
      <c r="C369" t="str">
        <f>IFERROR(__xludf.DUMMYFUNCTION("GOOGLETRANSLATE(B369, ""es"", ""en"")"),"Very useful for traveling very practical")</f>
        <v>Very useful for traveling very practical</v>
      </c>
    </row>
    <row r="370">
      <c r="A370" s="1">
        <v>5.0</v>
      </c>
      <c r="B370" s="1" t="s">
        <v>369</v>
      </c>
      <c r="C370" t="str">
        <f>IFERROR(__xludf.DUMMYFUNCTION("GOOGLETRANSLATE(B370, ""es"", ""en"")"),"It works perfectly perfect")</f>
        <v>It works perfectly perfect</v>
      </c>
    </row>
    <row r="371">
      <c r="A371" s="1">
        <v>5.0</v>
      </c>
      <c r="B371" s="1" t="s">
        <v>370</v>
      </c>
      <c r="C371" t="str">
        <f>IFERROR(__xludf.DUMMYFUNCTION("GOOGLETRANSLATE(B371, ""es"", ""en"")"),"Super monkey is super nice, as is in the picture.")</f>
        <v>Super monkey is super nice, as is in the picture.</v>
      </c>
    </row>
    <row r="372">
      <c r="A372" s="1">
        <v>5.0</v>
      </c>
      <c r="B372" s="1" t="s">
        <v>371</v>
      </c>
      <c r="C372" t="str">
        <f>IFERROR(__xludf.DUMMYFUNCTION("GOOGLETRANSLATE(B372, ""es"", ""en"")"),"It is recommended very practical and handy, my enanitas love and have learned to catch them three months alone. Easy to clean and transport.")</f>
        <v>It is recommended very practical and handy, my enanitas love and have learned to catch them three months alone. Easy to clean and transport.</v>
      </c>
    </row>
    <row r="373">
      <c r="A373" s="1">
        <v>5.0</v>
      </c>
      <c r="B373" s="1" t="s">
        <v>372</v>
      </c>
      <c r="C373" t="str">
        <f>IFERROR(__xludf.DUMMYFUNCTION("GOOGLETRANSLATE(B373, ""es"", ""en"")"),"Great was long meditating whether to buy it. I have enough chest and not going any bra, I've spent a lot of money in bras and this has nothing to envy to others. Use a size 100 E, and do well for my spinning, picks chest pretty good but not as much as we "&amp;"all would like both breast to pick us all fasteners. I recommend it 100%. It has nothing to envy to other brands very expensive. I will repeat.")</f>
        <v>Great was long meditating whether to buy it. I have enough chest and not going any bra, I've spent a lot of money in bras and this has nothing to envy to others. Use a size 100 E, and do well for my spinning, picks chest pretty good but not as much as we all would like both breast to pick us all fasteners. I recommend it 100%. It has nothing to envy to other brands very expensive. I will repeat.</v>
      </c>
    </row>
    <row r="374">
      <c r="A374" s="1">
        <v>5.0</v>
      </c>
      <c r="B374" s="1" t="s">
        <v>373</v>
      </c>
      <c r="C374" t="str">
        <f>IFERROR(__xludf.DUMMYFUNCTION("GOOGLETRANSLATE(B374, ""es"", ""en"")"),"Everything works nice and recommended perfectanente and blue light across the screen. Good product and original. I recommend it.")</f>
        <v>Everything works nice and recommended perfectanente and blue light across the screen. Good product and original. I recommend it.</v>
      </c>
    </row>
    <row r="375">
      <c r="A375" s="1">
        <v>5.0</v>
      </c>
      <c r="B375" s="1" t="s">
        <v>374</v>
      </c>
      <c r="C375" t="str">
        <f>IFERROR(__xludf.DUMMYFUNCTION("GOOGLETRANSLATE(B375, ""es"", ""en"")"),"very very comfortable headphones comfortable, had about the same but with cable and to go with the bike wearing only one was a little hassle by cable and this is ideal, the lid of the case are connected very quickly to the open, and listen very well, and "&amp;"the engagement of the ear is ideal for not fall, fit very well and bring spares both the engagement of the ear as different measures which goes inside the ear, have different functions, to increase the volume, move song or open the voice assistant mobile,"&amp;" as you press once, once prolonged or three times. very happy with them. the battery lasts quite and battery cover also carries that reloads when the guards inside. c has connection type for loading.")</f>
        <v>very very comfortable headphones comfortable, had about the same but with cable and to go with the bike wearing only one was a little hassle by cable and this is ideal, the lid of the case are connected very quickly to the open, and listen very well, and the engagement of the ear is ideal for not fall, fit very well and bring spares both the engagement of the ear as different measures which goes inside the ear, have different functions, to increase the volume, move song or open the voice assistant mobile, as you press once, once prolonged or three times. very happy with them. the battery lasts quite and battery cover also carries that reloads when the guards inside. c has connection type for loading.</v>
      </c>
    </row>
    <row r="376">
      <c r="A376" s="1">
        <v>5.0</v>
      </c>
      <c r="B376" s="1" t="s">
        <v>375</v>
      </c>
      <c r="C376" t="str">
        <f>IFERROR(__xludf.DUMMYFUNCTION("GOOGLETRANSLATE(B376, ""es"", ""en"")"),"Great is great, I loved, very good sound, I had to buy one that grabbed me my daughter.")</f>
        <v>Great is great, I loved, very good sound, I had to buy one that grabbed me my daughter.</v>
      </c>
    </row>
    <row r="377">
      <c r="A377" s="1">
        <v>5.0</v>
      </c>
      <c r="B377" s="1" t="s">
        <v>376</v>
      </c>
      <c r="C377" t="str">
        <f>IFERROR(__xludf.DUMMYFUNCTION("GOOGLETRANSLATE(B377, ""es"", ""en"")"),"Very soft in the pack are a set of three balls (one single and two doubles), one has battery and controlled with a small remote control distance handy because you can vary the intensity and frequency of vibration. The others carry a counterweight inside t"&amp;"hat vibrates with your own movement while wearing them for normal use daily. What most surprised me is the texture that is very soft, just need lubrication and are washed and dried easily. Definitely a good varied toy.")</f>
        <v>Very soft in the pack are a set of three balls (one single and two doubles), one has battery and controlled with a small remote control distance handy because you can vary the intensity and frequency of vibration. The others carry a counterweight inside that vibrates with your own movement while wearing them for normal use daily. What most surprised me is the texture that is very soft, just need lubrication and are washed and dried easily. Definitely a good varied toy.</v>
      </c>
    </row>
    <row r="378">
      <c r="A378" s="1">
        <v>5.0</v>
      </c>
      <c r="B378" s="1" t="s">
        <v>377</v>
      </c>
      <c r="C378" t="str">
        <f>IFERROR(__xludf.DUMMYFUNCTION("GOOGLETRANSLATE(B378, ""es"", ""en"")"),"Very comfortable very good quality")</f>
        <v>Very comfortable very good quality</v>
      </c>
    </row>
    <row r="379">
      <c r="A379" s="1">
        <v>5.0</v>
      </c>
      <c r="B379" s="1" t="s">
        <v>378</v>
      </c>
      <c r="C379" t="str">
        <f>IFERROR(__xludf.DUMMYFUNCTION("GOOGLETRANSLATE(B379, ""es"", ""en"")"),"Wordless wordlessly")</f>
        <v>Wordless wordlessly</v>
      </c>
    </row>
    <row r="380">
      <c r="A380" s="1">
        <v>5.0</v>
      </c>
      <c r="B380" s="1" t="s">
        <v>379</v>
      </c>
      <c r="C380" t="str">
        <f>IFERROR(__xludf.DUMMYFUNCTION("GOOGLETRANSLATE(B380, ""es"", ""en"")"),"Good fragrance I liked the product enough to leave a clean smell and not very strong! (I think they could send small samples of other fragrances) because it is not a cheap product.")</f>
        <v>Good fragrance I liked the product enough to leave a clean smell and not very strong! (I think they could send small samples of other fragrances) because it is not a cheap product.</v>
      </c>
    </row>
    <row r="381">
      <c r="A381" s="1">
        <v>5.0</v>
      </c>
      <c r="B381" s="1" t="s">
        <v>380</v>
      </c>
      <c r="C381" t="str">
        <f>IFERROR(__xludf.DUMMYFUNCTION("GOOGLETRANSLATE(B381, ""es"", ""en"")"),"It is very good is very practical, nice and has great capacity")</f>
        <v>It is very good is very practical, nice and has great capacity</v>
      </c>
    </row>
    <row r="382">
      <c r="A382" s="1">
        <v>5.0</v>
      </c>
      <c r="B382" s="1" t="s">
        <v>381</v>
      </c>
      <c r="C382" t="str">
        <f>IFERROR(__xludf.DUMMYFUNCTION("GOOGLETRANSLATE(B382, ""es"", ""en"")"),"Ideals comfortable. As you will samples. They are more comfortable than other models that had")</f>
        <v>Ideals comfortable. As you will samples. They are more comfortable than other models that had</v>
      </c>
    </row>
    <row r="383">
      <c r="A383" s="1">
        <v>5.0</v>
      </c>
      <c r="B383" s="1" t="s">
        <v>382</v>
      </c>
      <c r="C383" t="str">
        <f>IFERROR(__xludf.DUMMYFUNCTION("GOOGLETRANSLATE(B383, ""es"", ""en"")"),"Casio quality, bawdy (pink). Watch Casio classic design, it is understood that the same quality as always. What makes it different color, very pink and very striking.")</f>
        <v>Casio quality, bawdy (pink). Watch Casio classic design, it is understood that the same quality as always. What makes it different color, very pink and very striking.</v>
      </c>
    </row>
    <row r="384">
      <c r="A384" s="1">
        <v>5.0</v>
      </c>
      <c r="B384" s="1" t="s">
        <v>383</v>
      </c>
      <c r="C384" t="str">
        <f>IFERROR(__xludf.DUMMYFUNCTION("GOOGLETRANSLATE(B384, ""es"", ""en"")"),"A large Pelin The size of the micro makes me a tad bigger, but I use what I need camouflaged it almost imperceptible. Otherwise very happy, very clean sound and lungitud of the cable is wonderful. Very happy with the product.")</f>
        <v>A large Pelin The size of the micro makes me a tad bigger, but I use what I need camouflaged it almost imperceptible. Otherwise very happy, very clean sound and lungitud of the cable is wonderful. Very happy with the product.</v>
      </c>
    </row>
    <row r="385">
      <c r="A385" s="1">
        <v>5.0</v>
      </c>
      <c r="B385" s="1" t="s">
        <v>384</v>
      </c>
      <c r="C385" t="str">
        <f>IFERROR(__xludf.DUMMYFUNCTION("GOOGLETRANSLATE(B385, ""es"", ""en"")"),"Kit condenser microphone for streaming &lt;div id = ""video-block-R3N9QJVIVRQIZY"" class = ""a-section a-spacing-small to-spacing-top mini-video block""&gt; &lt;/ div&gt; &lt;input type = ""hidden"" name = """" value = ""https://images-eu.ssl-images-amazon.com/images/I/"&amp;"A1DH8L0hosS.mp4"" class = ""video-url""&gt; &lt;input type = ""hidden"" name = """" value = ""https://images-eu.ssl-images-amazon.com/images/I/A1X4bSc664S.png"" class = ""video-slate-img-url""&gt; &amp; nbsp; Now I'm outfitting gradually to improve my streaming in thi"&amp;"s step and caught this condenser microphone kit. Initially buy it for its price as cheap and step when I arrived they were not expecting such quality for the price you have. All components so top quality and very robust, installation was very light and ea"&amp;"sy was plugged into the USB of the computer and running the first. The sound is pretty good and full-bodied and thanks to the windproof sponge and filter antipop prevents background noise so upset I had in my previous streaming leakage. Past definitely wa"&amp;"nt them to step up to save you some professional range to stay as definitive.")</f>
        <v>Kit condenser microphone for streaming &lt;div id = "video-block-R3N9QJVIVRQIZY" class = "a-section a-spacing-small to-spacing-top mini-video block"&gt; &lt;/ div&gt; &lt;input type = "hidden" name = "" value = "https://images-eu.ssl-images-amazon.com/images/I/A1DH8L0hosS.mp4" class = "video-url"&gt; &lt;input type = "hidden" name = "" value = "https://images-eu.ssl-images-amazon.com/images/I/A1X4bSc664S.png" class = "video-slate-img-url"&gt; &amp; nbsp; Now I'm outfitting gradually to improve my streaming in this step and caught this condenser microphone kit. Initially buy it for its price as cheap and step when I arrived they were not expecting such quality for the price you have. All components so top quality and very robust, installation was very light and easy was plugged into the USB of the computer and running the first. The sound is pretty good and full-bodied and thanks to the windproof sponge and filter antipop prevents background noise so upset I had in my previous streaming leakage. Past definitely want them to step up to save you some professional range to stay as definitive.</v>
      </c>
    </row>
    <row r="386">
      <c r="A386" s="1">
        <v>5.0</v>
      </c>
      <c r="B386" s="1" t="s">
        <v>385</v>
      </c>
      <c r="C386" t="str">
        <f>IFERROR(__xludf.DUMMYFUNCTION("GOOGLETRANSLATE(B386, ""es"", ""en"")"),"Very good value for money Good finishes, good quality, I have received today. I submit to an intensive daily use to see how it goes. In a couple of months I'll update the review.")</f>
        <v>Very good value for money Good finishes, good quality, I have received today. I submit to an intensive daily use to see how it goes. In a couple of months I'll update the review.</v>
      </c>
    </row>
    <row r="387">
      <c r="A387" s="1">
        <v>5.0</v>
      </c>
      <c r="B387" s="1" t="s">
        <v>386</v>
      </c>
      <c r="C387" t="str">
        <f>IFERROR(__xludf.DUMMYFUNCTION("GOOGLETRANSLATE(B387, ""es"", ""en"")"),"I love!!!! They shipping fast, are very comfortable and fit perfectly! Product recommended!")</f>
        <v>I love!!!! They shipping fast, are very comfortable and fit perfectly! Product recommended!</v>
      </c>
    </row>
    <row r="388">
      <c r="A388" s="1">
        <v>2.0</v>
      </c>
      <c r="B388" s="1" t="s">
        <v>387</v>
      </c>
      <c r="C388" t="str">
        <f>IFERROR(__xludf.DUMMYFUNCTION("GOOGLETRANSLATE(B388, ""es"", ""en"")"),"lightweight, sole very bad is uglier than the picture, is very comfortable and weighs very little, it seems that going barefoot but its Achilles heel is the sole, not grab anything, is smooth and wet it is impossible to walk down the street without a scar"&amp;"e. a shame because otherwise very good.")</f>
        <v>lightweight, sole very bad is uglier than the picture, is very comfortable and weighs very little, it seems that going barefoot but its Achilles heel is the sole, not grab anything, is smooth and wet it is impossible to walk down the street without a scare. a shame because otherwise very good.</v>
      </c>
    </row>
    <row r="389">
      <c r="A389" s="1">
        <v>3.0</v>
      </c>
      <c r="B389" s="1" t="s">
        <v>388</v>
      </c>
      <c r="C389" t="str">
        <f>IFERROR(__xludf.DUMMYFUNCTION("GOOGLETRANSLATE(B389, ""es"", ""en"")"),"Very nice but I enjoyed just breaking, but breaking just one hand")</f>
        <v>Very nice but I enjoyed just breaking, but breaking just one hand</v>
      </c>
    </row>
    <row r="390">
      <c r="A390" s="1">
        <v>1.0</v>
      </c>
      <c r="B390" s="1" t="s">
        <v>389</v>
      </c>
      <c r="C390" t="str">
        <f>IFERROR(__xludf.DUMMYFUNCTION("GOOGLETRANSLATE(B390, ""es"", ""en"")"),"Fatal not favor anything, they do not fit like other Maya, are too high for my taste and they are of low quality")</f>
        <v>Fatal not favor anything, they do not fit like other Maya, are too high for my taste and they are of low quality</v>
      </c>
    </row>
    <row r="391">
      <c r="A391" s="1">
        <v>1.0</v>
      </c>
      <c r="B391" s="1" t="s">
        <v>390</v>
      </c>
      <c r="C391" t="str">
        <f>IFERROR(__xludf.DUMMYFUNCTION("GOOGLETRANSLATE(B391, ""es"", ""en"")"),"Many cuts and distorted sound I've been disappointed with these helmets. He was cut with bluetooth occasionally and cable heard background noise like aguilla. Luckily I return and that's what I'll do. I recommend spending a little more if you want a quali"&amp;"ty product. This would not be bad if I did not give problems. I bought the EUASOO that are cheaper and are much better than these. The materiasles and completion are a lot better than these helmets.")</f>
        <v>Many cuts and distorted sound I've been disappointed with these helmets. He was cut with bluetooth occasionally and cable heard background noise like aguilla. Luckily I return and that's what I'll do. I recommend spending a little more if you want a quality product. This would not be bad if I did not give problems. I bought the EUASOO that are cheaper and are much better than these. The materiasles and completion are a lot better than these helmets.</v>
      </c>
    </row>
    <row r="392">
      <c r="A392" s="1">
        <v>1.0</v>
      </c>
      <c r="B392" s="1" t="s">
        <v>391</v>
      </c>
      <c r="C392" t="str">
        <f>IFERROR(__xludf.DUMMYFUNCTION("GOOGLETRANSLATE(B392, ""es"", ""en"")"),"Lousy spot purchase care is a real danger. Mancha lot and is not removed.")</f>
        <v>Lousy spot purchase care is a real danger. Mancha lot and is not removed.</v>
      </c>
    </row>
    <row r="393">
      <c r="A393" s="1">
        <v>4.0</v>
      </c>
      <c r="B393" s="1" t="s">
        <v>392</v>
      </c>
      <c r="C393" t="str">
        <f>IFERROR(__xludf.DUMMYFUNCTION("GOOGLETRANSLATE(B393, ""es"", ""en"")"),"He gave very good buy good use while you breastfeed your daughter")</f>
        <v>He gave very good buy good use while you breastfeed your daughter</v>
      </c>
    </row>
    <row r="394">
      <c r="A394" s="1">
        <v>4.0</v>
      </c>
      <c r="B394" s="1" t="s">
        <v>393</v>
      </c>
      <c r="C394" t="str">
        <f>IFERROR(__xludf.DUMMYFUNCTION("GOOGLETRANSLATE(B394, ""es"", ""en"")"),"The latest pointers; The recommended minimum size of the color point is excessively large.")</f>
        <v>The latest pointers; The recommended minimum size of the color point is excessively large.</v>
      </c>
    </row>
    <row r="395">
      <c r="A395" s="1">
        <v>4.0</v>
      </c>
      <c r="B395" s="1" t="s">
        <v>394</v>
      </c>
      <c r="C395" t="str">
        <f>IFERROR(__xludf.DUMMYFUNCTION("GOOGLETRANSLATE(B395, ""es"", ""en"")"),"Mariluz Beautiful, my daughter loved him. It is simple and elegant, with a very short chain and very natural glow")</f>
        <v>Mariluz Beautiful, my daughter loved him. It is simple and elegant, with a very short chain and very natural glow</v>
      </c>
    </row>
    <row r="396">
      <c r="A396" s="1">
        <v>4.0</v>
      </c>
      <c r="B396" s="1" t="s">
        <v>395</v>
      </c>
      <c r="C396" t="str">
        <f>IFERROR(__xludf.DUMMYFUNCTION("GOOGLETRANSLATE(B396, ""es"", ""en"")"),"Practice for keys, glasses, snuff, etc. It is polyester.")</f>
        <v>Practice for keys, glasses, snuff, etc. It is polyester.</v>
      </c>
    </row>
    <row r="397">
      <c r="A397" s="1">
        <v>4.0</v>
      </c>
      <c r="B397" s="1" t="s">
        <v>396</v>
      </c>
      <c r="C397" t="str">
        <f>IFERROR(__xludf.DUMMYFUNCTION("GOOGLETRANSLATE(B397, ""es"", ""en"")"),"The product is very correct microphone behaves perfectly and the price is very good. The method of bundling is through a Paperclip on a table or work support. I miss the possibility to screw the bracket to a wall. Generally the product is very satisfactor"&amp;"y.")</f>
        <v>The product is very correct microphone behaves perfectly and the price is very good. The method of bundling is through a Paperclip on a table or work support. I miss the possibility to screw the bracket to a wall. Generally the product is very satisfactory.</v>
      </c>
    </row>
    <row r="398">
      <c r="A398" s="1">
        <v>5.0</v>
      </c>
      <c r="B398" s="1" t="s">
        <v>397</v>
      </c>
      <c r="C398" t="str">
        <f>IFERROR(__xludf.DUMMYFUNCTION("GOOGLETRANSLATE(B398, ""es"", ""en"")"),"A good quality sealer of very good quality.")</f>
        <v>A good quality sealer of very good quality.</v>
      </c>
    </row>
    <row r="399">
      <c r="A399" s="1">
        <v>5.0</v>
      </c>
      <c r="B399" s="1" t="s">
        <v>398</v>
      </c>
      <c r="C399" t="str">
        <f>IFERROR(__xludf.DUMMYFUNCTION("GOOGLETRANSLATE(B399, ""es"", ""en"")"),"Very nice good buy. The expected.")</f>
        <v>Very nice good buy. The expected.</v>
      </c>
    </row>
    <row r="400">
      <c r="A400" s="1">
        <v>5.0</v>
      </c>
      <c r="B400" s="1" t="s">
        <v>399</v>
      </c>
      <c r="C400" t="str">
        <f>IFERROR(__xludf.DUMMYFUNCTION("GOOGLETRANSLATE(B400, ""es"", ""en"")"),"Perfect except for one little thing good construction, good material, crystalline lens and varied. Bring an optional rubber pin to pin if you want to fix the glasses to your head. Everything is perfect except for one small detail: when you put the batteri"&amp;"es for LED will housed in the front, glasses begin to weigh heavily and hurt on the bridge of the nose. Except for that little detail, everything perfect. I recommend them. In addition they bring a bag. A plus to get rid of the box.")</f>
        <v>Perfect except for one little thing good construction, good material, crystalline lens and varied. Bring an optional rubber pin to pin if you want to fix the glasses to your head. Everything is perfect except for one small detail: when you put the batteries for LED will housed in the front, glasses begin to weigh heavily and hurt on the bridge of the nose. Except for that little detail, everything perfect. I recommend them. In addition they bring a bag. A plus to get rid of the box.</v>
      </c>
    </row>
    <row r="401">
      <c r="A401" s="1">
        <v>5.0</v>
      </c>
      <c r="B401" s="1" t="s">
        <v>400</v>
      </c>
      <c r="C401" t="str">
        <f>IFERROR(__xludf.DUMMYFUNCTION("GOOGLETRANSLATE(B401, ""es"", ""en"")"),"Maximum comfort! I always buy this brand for shoes that I use daily. No complaints, quality is very good and the price is worth something even if it would be cheaper milk! Before I buy the probe in a shop but is hard hit. I recommend them.")</f>
        <v>Maximum comfort! I always buy this brand for shoes that I use daily. No complaints, quality is very good and the price is worth something even if it would be cheaper milk! Before I buy the probe in a shop but is hard hit. I recommend them.</v>
      </c>
    </row>
    <row r="402">
      <c r="A402" s="1">
        <v>5.0</v>
      </c>
      <c r="B402" s="1" t="s">
        <v>401</v>
      </c>
      <c r="C402" t="str">
        <f>IFERROR(__xludf.DUMMYFUNCTION("GOOGLETRANSLATE(B402, ""es"", ""en"")"),"Good for the Small but good price. It exactly as described. Great little massager for my back pain. Just a few minutes helps a lot. I usually use at night.")</f>
        <v>Good for the Small but good price. It exactly as described. Great little massager for my back pain. Just a few minutes helps a lot. I usually use at night.</v>
      </c>
    </row>
    <row r="403">
      <c r="A403" s="1">
        <v>5.0</v>
      </c>
      <c r="B403" s="1" t="s">
        <v>402</v>
      </c>
      <c r="C403" t="str">
        <f>IFERROR(__xludf.DUMMYFUNCTION("GOOGLETRANSLATE(B403, ""es"", ""en"")"),"Super fast order. It works very well, unlike others I've had. Value highly recommended for daily use shakes, creams, purees ...")</f>
        <v>Super fast order. It works very well, unlike others I've had. Value highly recommended for daily use shakes, creams, purees ...</v>
      </c>
    </row>
    <row r="404">
      <c r="A404" s="1">
        <v>5.0</v>
      </c>
      <c r="B404" s="1" t="s">
        <v>403</v>
      </c>
      <c r="C404" t="str">
        <f>IFERROR(__xludf.DUMMYFUNCTION("GOOGLETRANSLATE(B404, ""es"", ""en"")"),"Very useful for its two connectors In my case is great to pass media files from the tablet to the computer and to store files and not have to be wired. For its price it is fine.")</f>
        <v>Very useful for its two connectors In my case is great to pass media files from the tablet to the computer and to store files and not have to be wired. For its price it is fine.</v>
      </c>
    </row>
    <row r="405">
      <c r="A405" s="1">
        <v>5.0</v>
      </c>
      <c r="B405" s="1" t="s">
        <v>404</v>
      </c>
      <c r="C405" t="str">
        <f>IFERROR(__xludf.DUMMYFUNCTION("GOOGLETRANSLATE(B405, ""es"", ""en"")"),"I have really enjoyed They look very beautiful places, have already asked me a couple of times where I bought me, I'm glad I bought")</f>
        <v>I have really enjoyed They look very beautiful places, have already asked me a couple of times where I bought me, I'm glad I bought</v>
      </c>
    </row>
    <row r="406">
      <c r="A406" s="1">
        <v>5.0</v>
      </c>
      <c r="B406" s="1" t="s">
        <v>405</v>
      </c>
      <c r="C406" t="str">
        <f>IFERROR(__xludf.DUMMYFUNCTION("GOOGLETRANSLATE(B406, ""es"", ""en"")"),"Nice and fresh. Very nice shirt. very comfortable and fresh material. In my case size it is S and matches, I look good. This fashion model because I've seen several. I recommend it.")</f>
        <v>Nice and fresh. Very nice shirt. very comfortable and fresh material. In my case size it is S and matches, I look good. This fashion model because I've seen several. I recommend it.</v>
      </c>
    </row>
    <row r="407">
      <c r="A407" s="1">
        <v>5.0</v>
      </c>
      <c r="B407" s="1" t="s">
        <v>406</v>
      </c>
      <c r="C407" t="str">
        <f>IFERROR(__xludf.DUMMYFUNCTION("GOOGLETRANSLATE(B407, ""es"", ""en"")"),"Comfortable shoes Good shoes, materials and quality finishes and more comfortable than other shoes I've had this style. I have not tried for intensive use, but look also durable.")</f>
        <v>Comfortable shoes Good shoes, materials and quality finishes and more comfortable than other shoes I've had this style. I have not tried for intensive use, but look also durable.</v>
      </c>
    </row>
    <row r="408">
      <c r="A408" s="1">
        <v>5.0</v>
      </c>
      <c r="B408" s="1" t="s">
        <v>407</v>
      </c>
      <c r="C408" t="str">
        <f>IFERROR(__xludf.DUMMYFUNCTION("GOOGLETRANSLATE(B408, ""es"", ""en"")"),"Good product, high quality excellent product. There is a good quality price relation. Aroma intense and lasting. The assay works perfectly. With a couple of drops keeps the smell for hours. I bought it for a humidifier and gives a perfect touch and smell "&amp;"of the house. Great product very good quality. You can also use untándolas with bamboo rods with it.")</f>
        <v>Good product, high quality excellent product. There is a good quality price relation. Aroma intense and lasting. The assay works perfectly. With a couple of drops keeps the smell for hours. I bought it for a humidifier and gives a perfect touch and smell of the house. Great product very good quality. You can also use untándolas with bamboo rods with it.</v>
      </c>
    </row>
    <row r="409">
      <c r="A409" s="1">
        <v>5.0</v>
      </c>
      <c r="B409" s="1" t="s">
        <v>408</v>
      </c>
      <c r="C409" t="str">
        <f>IFERROR(__xludf.DUMMYFUNCTION("GOOGLETRANSLATE(B409, ""es"", ""en"")"),"Simply perfect perfect, fulfill their function perfectly, fit the head snugly and after several hours of continuous use not suffer ears. In contrast: simply put something, stuffing the bag is a bit small, I think for the price they could imcluir a travel "&amp;"case.")</f>
        <v>Simply perfect perfect, fulfill their function perfectly, fit the head snugly and after several hours of continuous use not suffer ears. In contrast: simply put something, stuffing the bag is a bit small, I think for the price they could imcluir a travel case.</v>
      </c>
    </row>
    <row r="410">
      <c r="A410" s="1">
        <v>5.0</v>
      </c>
      <c r="B410" s="1" t="s">
        <v>409</v>
      </c>
      <c r="C410" t="str">
        <f>IFERROR(__xludf.DUMMYFUNCTION("GOOGLETRANSLATE(B410, ""es"", ""en"")"),"Buenos helmets at a good price! I needed a wireless headset for use on my pc and not have the hassle of cable in the middle forever. At the beginning the search was complicated, because they were either too expensive or were of poor quality. I finally fou"&amp;"nd these helmets, which were in the middle. We are not expensive as others that are worth 200 euros, and looked shoddy. First, come in a travel case very sturdy hard fabric, perfect for traveling or carry in your backpack while not going to use. Within th"&amp;"e housing are helmets and several cables / adapters. Headphones itself'm also very comfortable. They are of the type that will cover the entire ear without crushing it, so you do not end up hurting your ears after prolonged use. The sound, on the other ha"&amp;"nd, I also find it very decent. It has a powerful bass and no noise seen in the sound. The battery lasts quite well. Always I leave charging when not'm using, but during sessions of 3-4 hours of use I give, I had no problems with the battery time. In shor"&amp;"t, if you are looking for a wireless headset upper-middle, these are perfect range.")</f>
        <v>Buenos helmets at a good price! I needed a wireless headset for use on my pc and not have the hassle of cable in the middle forever. At the beginning the search was complicated, because they were either too expensive or were of poor quality. I finally found these helmets, which were in the middle. We are not expensive as others that are worth 200 euros, and looked shoddy. First, come in a travel case very sturdy hard fabric, perfect for traveling or carry in your backpack while not going to use. Within the housing are helmets and several cables / adapters. Headphones itself'm also very comfortable. They are of the type that will cover the entire ear without crushing it, so you do not end up hurting your ears after prolonged use. The sound, on the other hand, I also find it very decent. It has a powerful bass and no noise seen in the sound. The battery lasts quite well. Always I leave charging when not'm using, but during sessions of 3-4 hours of use I give, I had no problems with the battery time. In short, if you are looking for a wireless headset upper-middle, these are perfect range.</v>
      </c>
    </row>
    <row r="411">
      <c r="A411" s="1">
        <v>5.0</v>
      </c>
      <c r="B411" s="1" t="s">
        <v>410</v>
      </c>
      <c r="C411" t="str">
        <f>IFERROR(__xludf.DUMMYFUNCTION("GOOGLETRANSLATE(B411, ""es"", ""en"")"),"Great sound quality and autonomy This is a Bluetooth headset high-quality finishing materials gives a premium look. The sound quality is really good, especially low. It has a range of about 10 meters from your phone connected, which gives you great freedo"&amp;"m of movement. The loading base is perceived heavy but is carrying a 6000mAh battery enough to charge dozens of times headphones, or a few times the mobile itself, but the base is not necessary to carry it because its purpose is to charge the headset, the"&amp;"y are not required for operation. It also has a marker that indicates the remaining battery charge, which makes it really useful. Recommendable.")</f>
        <v>Great sound quality and autonomy This is a Bluetooth headset high-quality finishing materials gives a premium look. The sound quality is really good, especially low. It has a range of about 10 meters from your phone connected, which gives you great freedom of movement. The loading base is perceived heavy but is carrying a 6000mAh battery enough to charge dozens of times headphones, or a few times the mobile itself, but the base is not necessary to carry it because its purpose is to charge the headset, they are not required for operation. It also has a marker that indicates the remaining battery charge, which makes it really useful. Recommendable.</v>
      </c>
    </row>
    <row r="412">
      <c r="A412" s="1">
        <v>5.0</v>
      </c>
      <c r="B412" s="1" t="s">
        <v>411</v>
      </c>
      <c r="C412" t="str">
        <f>IFERROR(__xludf.DUMMYFUNCTION("GOOGLETRANSLATE(B412, ""es"", ""en"")"),"Very good very good. Better than the picture. I ordered the same number I always have and I do well.")</f>
        <v>Very good very good. Better than the picture. I ordered the same number I always have and I do well.</v>
      </c>
    </row>
    <row r="413">
      <c r="A413" s="1">
        <v>5.0</v>
      </c>
      <c r="B413" s="1" t="s">
        <v>412</v>
      </c>
      <c r="C413" t="str">
        <f>IFERROR(__xludf.DUMMYFUNCTION("GOOGLETRANSLATE(B413, ""es"", ""en"")"),"Very good product very fast and at a very good")</f>
        <v>Very good product very fast and at a very good</v>
      </c>
    </row>
    <row r="414">
      <c r="A414" s="1">
        <v>5.0</v>
      </c>
      <c r="B414" s="1" t="s">
        <v>413</v>
      </c>
      <c r="C414" t="str">
        <f>IFERROR(__xludf.DUMMYFUNCTION("GOOGLETRANSLATE(B414, ""es"", ""en"")"),"elegant pretty shoes for a holiday, very comfortable and elegant, I'm happy with them, recommended a 100 x 100")</f>
        <v>elegant pretty shoes for a holiday, very comfortable and elegant, I'm happy with them, recommended a 100 x 100</v>
      </c>
    </row>
    <row r="415">
      <c r="A415" s="1">
        <v>5.0</v>
      </c>
      <c r="B415" s="1" t="s">
        <v>414</v>
      </c>
      <c r="C415" t="str">
        <f>IFERROR(__xludf.DUMMYFUNCTION("GOOGLETRANSLATE(B415, ""es"", ""en"")"),"Good food I've bought to go comfortable, very soft and fits very well, I love this brand, good quality price and fast shipping, I always repeat")</f>
        <v>Good food I've bought to go comfortable, very soft and fits very well, I love this brand, good quality price and fast shipping, I always repeat</v>
      </c>
    </row>
    <row r="416">
      <c r="A416" s="1">
        <v>5.0</v>
      </c>
      <c r="B416" s="1" t="s">
        <v>415</v>
      </c>
      <c r="C416" t="str">
        <f>IFERROR(__xludf.DUMMYFUNCTION("GOOGLETRANSLATE(B416, ""es"", ""en"")"),"Quality rewards Very good quality at an excellent price")</f>
        <v>Quality rewards Very good quality at an excellent price</v>
      </c>
    </row>
    <row r="417">
      <c r="A417" s="1">
        <v>2.0</v>
      </c>
      <c r="B417" s="1" t="s">
        <v>416</v>
      </c>
      <c r="C417" t="str">
        <f>IFERROR(__xludf.DUMMYFUNCTION("GOOGLETRANSLATE(B417, ""es"", ""en"")"),"It should be prohibited from selling things according to some noise, but can be compensated with the controls, but stopped working at the end of a mes..Hasta that time was wonderful ..")</f>
        <v>It should be prohibited from selling things according to some noise, but can be compensated with the controls, but stopped working at the end of a mes..Hasta that time was wonderful ..</v>
      </c>
    </row>
    <row r="418">
      <c r="A418" s="1">
        <v>3.0</v>
      </c>
      <c r="B418" s="1" t="s">
        <v>417</v>
      </c>
      <c r="C418" t="str">
        <f>IFERROR(__xludf.DUMMYFUNCTION("GOOGLETRANSLATE(B418, ""es"", ""en"")"),"Fair value Fair value, recommend buying 4 in 4 because they do not last long. But the price they are a decent product.")</f>
        <v>Fair value Fair value, recommend buying 4 in 4 because they do not last long. But the price they are a decent product.</v>
      </c>
    </row>
    <row r="419">
      <c r="A419" s="1">
        <v>3.0</v>
      </c>
      <c r="B419" s="1" t="s">
        <v>418</v>
      </c>
      <c r="C419" t="str">
        <f>IFERROR(__xludf.DUMMYFUNCTION("GOOGLETRANSLATE(B419, ""es"", ""en"")"),"Quite a Casio watch as all Casio is perfect, very good quality and performance, the battery is what has failed in 3 months begin to lighten much the digits, and not if failure Casio or dealer.")</f>
        <v>Quite a Casio watch as all Casio is perfect, very good quality and performance, the battery is what has failed in 3 months begin to lighten much the digits, and not if failure Casio or dealer.</v>
      </c>
    </row>
    <row r="420">
      <c r="A420" s="1">
        <v>3.0</v>
      </c>
      <c r="B420" s="1" t="s">
        <v>419</v>
      </c>
      <c r="C420" t="str">
        <f>IFERROR(__xludf.DUMMYFUNCTION("GOOGLETRANSLATE(B420, ""es"", ""en"")"),"To get a taste nor does the trick for me withstands heat or cold. It is simple, to cover the bottle and little else, is nice but expected to put up with the temperature")</f>
        <v>To get a taste nor does the trick for me withstands heat or cold. It is simple, to cover the bottle and little else, is nice but expected to put up with the temperature</v>
      </c>
    </row>
    <row r="421">
      <c r="A421" s="1">
        <v>1.0</v>
      </c>
      <c r="B421" s="1" t="s">
        <v>420</v>
      </c>
      <c r="C421" t="str">
        <f>IFERROR(__xludf.DUMMYFUNCTION("GOOGLETRANSLATE(B421, ""es"", ""en"")"),"The shoes are badly flawed. The side rubber unattached")</f>
        <v>The shoes are badly flawed. The side rubber unattached</v>
      </c>
    </row>
    <row r="422">
      <c r="A422" s="1">
        <v>1.0</v>
      </c>
      <c r="B422" s="1" t="s">
        <v>421</v>
      </c>
      <c r="C422" t="str">
        <f>IFERROR(__xludf.DUMMYFUNCTION("GOOGLETRANSLATE(B422, ""es"", ""en"")"),"Okay disappointment and the early days it worked great until he got a heat wave and making more than 25 degrees in the machine house for loading and not cool.")</f>
        <v>Okay disappointment and the early days it worked great until he got a heat wave and making more than 25 degrees in the machine house for loading and not cool.</v>
      </c>
    </row>
    <row r="423">
      <c r="A423" s="1">
        <v>4.0</v>
      </c>
      <c r="B423" s="1" t="s">
        <v>422</v>
      </c>
      <c r="C423" t="str">
        <f>IFERROR(__xludf.DUMMYFUNCTION("GOOGLETRANSLATE(B423, ""es"", ""en"")"),"It has good rates of speed Today what makes the difference in a card is reading and writing data, especially when recording high quality video and photography bursts. The Arcanite brand was unknown until the day today for me, though it takes a few years d"&amp;"istributed in major countries of the world, through its headquarters in Tokyo. It is a micro SD card class 10 XC version. This truth is a little crazy, because each manufacturer calls them a way to refer to the same thing. I usually just me based on MB / "&amp;"s. Although eventually come out new models that improve transfer rates, especially when being more constant and also very importantly, provide a reliable, which still must prove Arcanite. The speed test is satisfactory, providing the speeds indicated by t"&amp;"he manufacturer, resulting 92.02 MB / s read and 75.04 MB / s writing. It Includes SD adapter to use on other computers.")</f>
        <v>It has good rates of speed Today what makes the difference in a card is reading and writing data, especially when recording high quality video and photography bursts. The Arcanite brand was unknown until the day today for me, though it takes a few years distributed in major countries of the world, through its headquarters in Tokyo. It is a micro SD card class 10 XC version. This truth is a little crazy, because each manufacturer calls them a way to refer to the same thing. I usually just me based on MB / s. Although eventually come out new models that improve transfer rates, especially when being more constant and also very importantly, provide a reliable, which still must prove Arcanite. The speed test is satisfactory, providing the speeds indicated by the manufacturer, resulting 92.02 MB / s read and 75.04 MB / s writing. It Includes SD adapter to use on other computers.</v>
      </c>
    </row>
    <row r="424">
      <c r="A424" s="1">
        <v>4.0</v>
      </c>
      <c r="B424" s="1" t="s">
        <v>423</v>
      </c>
      <c r="C424" t="str">
        <f>IFERROR(__xludf.DUMMYFUNCTION("GOOGLETRANSLATE(B424, ""es"", ""en"")"),"Quality shoes. I usually use 41 because 40 is very fair to me. These shoes, with a size 41 I feel almost like a 40. So you know, carve a little small. Otherwise, good quality and very comfortable insole.")</f>
        <v>Quality shoes. I usually use 41 because 40 is very fair to me. These shoes, with a size 41 I feel almost like a 40. So you know, carve a little small. Otherwise, good quality and very comfortable insole.</v>
      </c>
    </row>
    <row r="425">
      <c r="A425" s="1">
        <v>4.0</v>
      </c>
      <c r="B425" s="1" t="s">
        <v>424</v>
      </c>
      <c r="C425" t="str">
        <f>IFERROR(__xludf.DUMMYFUNCTION("GOOGLETRANSLATE(B425, ""es"", ""en"")"),"Perfect for jogging track and rocky terrain sneakers are lightweight and especially perfect for jogging tracks. The carbon sheet improves tread on stones preventing them nailed you. Tamping should last longer disappear in a year and stay smooth and perfec"&amp;"t to play basketball. You definitely have to take a number more if you do not want to stay without nails. They are waterproof and perfect for the field.")</f>
        <v>Perfect for jogging track and rocky terrain sneakers are lightweight and especially perfect for jogging tracks. The carbon sheet improves tread on stones preventing them nailed you. Tamping should last longer disappear in a year and stay smooth and perfect to play basketball. You definitely have to take a number more if you do not want to stay without nails. They are waterproof and perfect for the field.</v>
      </c>
    </row>
    <row r="426">
      <c r="A426" s="1">
        <v>4.0</v>
      </c>
      <c r="B426" s="1" t="s">
        <v>425</v>
      </c>
      <c r="C426" t="str">
        <f>IFERROR(__xludf.DUMMYFUNCTION("GOOGLETRANSLATE(B426, ""es"", ""en"")"),"I like long delivery time, moreover, has great power and gives good results, we will see its durabilidad.A dira wait time if worth the price paid.")</f>
        <v>I like long delivery time, moreover, has great power and gives good results, we will see its durabilidad.A dira wait time if worth the price paid.</v>
      </c>
    </row>
    <row r="427">
      <c r="A427" s="1">
        <v>5.0</v>
      </c>
      <c r="B427" s="1" t="s">
        <v>426</v>
      </c>
      <c r="C427" t="str">
        <f>IFERROR(__xludf.DUMMYFUNCTION("GOOGLETRANSLATE(B427, ""es"", ""en"")"),"Super moment perfect. Not very large and light. Comfortable and practical It's not like others I have seen, too big for my taste (and my wrist). So far, happy with it")</f>
        <v>Super moment perfect. Not very large and light. Comfortable and practical It's not like others I have seen, too big for my taste (and my wrist). So far, happy with it</v>
      </c>
    </row>
    <row r="428">
      <c r="A428" s="1">
        <v>5.0</v>
      </c>
      <c r="B428" s="1" t="s">
        <v>427</v>
      </c>
      <c r="C428" t="str">
        <f>IFERROR(__xludf.DUMMYFUNCTION("GOOGLETRANSLATE(B428, ""es"", ""en"")"),"The pendant is very nice very nice. It has a size that is neither too large nor too small. Blue Stone is gorgeous and has a brightness that makes it stand out. In addition to silver being no problem that can cause allergies or anything like that and the c"&amp;"ombination it is beautiful. Buy gift and has been a success.")</f>
        <v>The pendant is very nice very nice. It has a size that is neither too large nor too small. Blue Stone is gorgeous and has a brightness that makes it stand out. In addition to silver being no problem that can cause allergies or anything like that and the combination it is beautiful. Buy gift and has been a success.</v>
      </c>
    </row>
    <row r="429">
      <c r="A429" s="1">
        <v>5.0</v>
      </c>
      <c r="B429" s="1" t="s">
        <v>428</v>
      </c>
      <c r="C429" t="str">
        <f>IFERROR(__xludf.DUMMYFUNCTION("GOOGLETRANSLATE(B429, ""es"", ""en"")"),"The use for two years without any failure in use for 2 years in both smartphone and SLR camera without any problems. In favor the reliability of the brand itself and Amazon, as well as its consistent price. Satisfied with the purchase.")</f>
        <v>The use for two years without any failure in use for 2 years in both smartphone and SLR camera without any problems. In favor the reliability of the brand itself and Amazon, as well as its consistent price. Satisfied with the purchase.</v>
      </c>
    </row>
    <row r="430">
      <c r="A430" s="1">
        <v>5.0</v>
      </c>
      <c r="B430" s="1" t="s">
        <v>429</v>
      </c>
      <c r="C430" t="str">
        <f>IFERROR(__xludf.DUMMYFUNCTION("GOOGLETRANSLATE(B430, ""es"", ""en"")"),"Fantastico was what I needed, because with long hours of games, arms began to ache with these pads have found a pleasant relief, a great recommendation for people who just pain in the joints of the hands.")</f>
        <v>Fantastico was what I needed, because with long hours of games, arms began to ache with these pads have found a pleasant relief, a great recommendation for people who just pain in the joints of the hands.</v>
      </c>
    </row>
    <row r="431">
      <c r="A431" s="1">
        <v>5.0</v>
      </c>
      <c r="B431" s="1" t="s">
        <v>430</v>
      </c>
      <c r="C431" t="str">
        <f>IFERROR(__xludf.DUMMYFUNCTION("GOOGLETRANSLATE(B431, ""es"", ""en"")"),"Perfect sports. And very nice and comfortable. Very good quality.")</f>
        <v>Perfect sports. And very nice and comfortable. Very good quality.</v>
      </c>
    </row>
    <row r="432">
      <c r="A432" s="1">
        <v>5.0</v>
      </c>
      <c r="B432" s="1" t="s">
        <v>431</v>
      </c>
      <c r="C432" t="str">
        <f>IFERROR(__xludf.DUMMYFUNCTION("GOOGLETRANSLATE(B432, ""es"", ""en"")"),"Your comfort no equal quality Price")</f>
        <v>Your comfort no equal quality Price</v>
      </c>
    </row>
    <row r="433">
      <c r="A433" s="1">
        <v>5.0</v>
      </c>
      <c r="B433" s="1" t="s">
        <v>432</v>
      </c>
      <c r="C433" t="str">
        <f>IFERROR(__xludf.DUMMYFUNCTION("GOOGLETRANSLATE(B433, ""es"", ""en"")"),"Aspira Very good buy very good. Not long ago ruido.tiene much power. Is comfortable to handle, drain, remove ... maybe it weighs a little. But is it worth it. Very happy with the purchase")</f>
        <v>Aspira Very good buy very good. Not long ago ruido.tiene much power. Is comfortable to handle, drain, remove ... maybe it weighs a little. But is it worth it. Very happy with the purchase</v>
      </c>
    </row>
    <row r="434">
      <c r="A434" s="1">
        <v>5.0</v>
      </c>
      <c r="B434" s="1" t="s">
        <v>433</v>
      </c>
      <c r="C434" t="str">
        <f>IFERROR(__xludf.DUMMYFUNCTION("GOOGLETRANSLATE(B434, ""es"", ""en"")"),"Excellent I recommend good, meets expectations")</f>
        <v>Excellent I recommend good, meets expectations</v>
      </c>
    </row>
    <row r="435">
      <c r="A435" s="1">
        <v>5.0</v>
      </c>
      <c r="B435" s="1" t="s">
        <v>434</v>
      </c>
      <c r="C435" t="str">
        <f>IFERROR(__xludf.DUMMYFUNCTION("GOOGLETRANSLATE(B435, ""es"", ""en"")"),"I recommend using them for pasting snapshots in an album and the result is excellent.")</f>
        <v>I recommend using them for pasting snapshots in an album and the result is excellent.</v>
      </c>
    </row>
    <row r="436">
      <c r="A436" s="1">
        <v>5.0</v>
      </c>
      <c r="B436" s="1" t="s">
        <v>435</v>
      </c>
      <c r="C436" t="str">
        <f>IFERROR(__xludf.DUMMYFUNCTION("GOOGLETRANSLATE(B436, ""es"", ""en"")"),"How pleased with purchase waiting ahead says ""Be Happy"" also in black and white and warm. That if I recommend ordering a size more than you have. Pleased with purchase I like it!")</f>
        <v>How pleased with purchase waiting ahead says "Be Happy" also in black and white and warm. That if I recommend ordering a size more than you have. Pleased with purchase I like it!</v>
      </c>
    </row>
    <row r="437">
      <c r="A437" s="1">
        <v>5.0</v>
      </c>
      <c r="B437" s="1" t="s">
        <v>436</v>
      </c>
      <c r="C437" t="str">
        <f>IFERROR(__xludf.DUMMYFUNCTION("GOOGLETRANSLATE(B437, ""es"", ""en"")"),"It feels good odor with a few drops.")</f>
        <v>It feels good odor with a few drops.</v>
      </c>
    </row>
    <row r="438">
      <c r="A438" s="1">
        <v>5.0</v>
      </c>
      <c r="B438" s="1" t="s">
        <v>437</v>
      </c>
      <c r="C438" t="str">
        <f>IFERROR(__xludf.DUMMYFUNCTION("GOOGLETRANSLATE(B438, ""es"", ""en"")"),"Quality and comfort Nike is comfortable and quality services!")</f>
        <v>Quality and comfort Nike is comfortable and quality services!</v>
      </c>
    </row>
    <row r="439">
      <c r="A439" s="1">
        <v>5.0</v>
      </c>
      <c r="B439" s="1" t="s">
        <v>438</v>
      </c>
      <c r="C439" t="str">
        <f>IFERROR(__xludf.DUMMYFUNCTION("GOOGLETRANSLATE(B439, ""es"", ""en"")"),"He was looking perfectly fulfills a case that bulged not much. Sitema also that worked the automatic supenso. I have to say that I was surprised pleasantly. It fits perfectly to the reader, protecting both the screen and the back. The lid has a soft felt "&amp;"protects from scratches front, being rigid enough to protect the reader. Leave accessible the connectors for USB and can be handled without problems. The suspension is activated and deactivated on closing the cover, it runs smoothly. Highly recommended pu"&amp;"rchase, price quality")</f>
        <v>He was looking perfectly fulfills a case that bulged not much. Sitema also that worked the automatic supenso. I have to say that I was surprised pleasantly. It fits perfectly to the reader, protecting both the screen and the back. The lid has a soft felt protects from scratches front, being rigid enough to protect the reader. Leave accessible the connectors for USB and can be handled without problems. The suspension is activated and deactivated on closing the cover, it runs smoothly. Highly recommended purchase, price quality</v>
      </c>
    </row>
    <row r="440">
      <c r="A440" s="1">
        <v>5.0</v>
      </c>
      <c r="B440" s="1" t="s">
        <v>439</v>
      </c>
      <c r="C440" t="str">
        <f>IFERROR(__xludf.DUMMYFUNCTION("GOOGLETRANSLATE(B440, ""es"", ""en"")"),"The great value really is what I wanted, a simple mixer without accessories, and goes great. If you could remove the bottom for better wash it, it would be perfect. Ah! and if it comes with glass beater is not put on the web")</f>
        <v>The great value really is what I wanted, a simple mixer without accessories, and goes great. If you could remove the bottom for better wash it, it would be perfect. Ah! and if it comes with glass beater is not put on the web</v>
      </c>
    </row>
    <row r="441">
      <c r="A441" s="1">
        <v>5.0</v>
      </c>
      <c r="B441" s="1" t="s">
        <v>440</v>
      </c>
      <c r="C441" t="str">
        <f>IFERROR(__xludf.DUMMYFUNCTION("GOOGLETRANSLATE(B441, ""es"", ""en"")"),"elultimokzierre bandolier very good material, compact and with lots of compartments that are very usable. The purchase would definitely")</f>
        <v>elultimokzierre bandolier very good material, compact and with lots of compartments that are very usable. The purchase would definitely</v>
      </c>
    </row>
    <row r="442">
      <c r="A442" s="1">
        <v>5.0</v>
      </c>
      <c r="B442" s="1" t="s">
        <v>441</v>
      </c>
      <c r="C442" t="str">
        <f>IFERROR(__xludf.DUMMYFUNCTION("GOOGLETRANSLATE(B442, ""es"", ""en"")"),"I chose the valuation perfect for the price and the number of opinions of the supplier and the truth is that every perfect")</f>
        <v>I chose the valuation perfect for the price and the number of opinions of the supplier and the truth is that every perfect</v>
      </c>
    </row>
    <row r="443">
      <c r="A443" s="1">
        <v>5.0</v>
      </c>
      <c r="B443" s="1" t="s">
        <v>442</v>
      </c>
      <c r="C443" t="str">
        <f>IFERROR(__xludf.DUMMYFUNCTION("GOOGLETRANSLATE(B443, ""es"", ""en"")"),"ok very good and comfortable shoe, it would lack a bit of grip, but are incredible")</f>
        <v>ok very good and comfortable shoe, it would lack a bit of grip, but are incredible</v>
      </c>
    </row>
    <row r="444">
      <c r="A444" s="1">
        <v>5.0</v>
      </c>
      <c r="B444" s="1" t="s">
        <v>443</v>
      </c>
      <c r="C444" t="str">
        <f>IFERROR(__xludf.DUMMYFUNCTION("GOOGLETRANSLATE(B444, ""es"", ""en"")"),"It works in cobblers! I use it for Shoemakers and spectacular results! Barely a month of use and odors have disappeared.")</f>
        <v>It works in cobblers! I use it for Shoemakers and spectacular results! Barely a month of use and odors have disappeared.</v>
      </c>
    </row>
    <row r="445">
      <c r="A445" s="1">
        <v>2.0</v>
      </c>
      <c r="B445" s="1" t="s">
        <v>444</v>
      </c>
      <c r="C445" t="str">
        <f>IFERROR(__xludf.DUMMYFUNCTION("GOOGLETRANSLATE(B445, ""es"", ""en"")"),"Duster poor quality and extension have a different thread.")</f>
        <v>Duster poor quality and extension have a different thread.</v>
      </c>
    </row>
    <row r="446">
      <c r="A446" s="1">
        <v>3.0</v>
      </c>
      <c r="B446" s="1" t="s">
        <v>445</v>
      </c>
      <c r="C446" t="str">
        <f>IFERROR(__xludf.DUMMYFUNCTION("GOOGLETRANSLATE(B446, ""es"", ""en"")"),"You have to order a number more than the one used. I chock 42 feet and the shoes is small. Article is what it is.")</f>
        <v>You have to order a number more than the one used. I chock 42 feet and the shoes is small. Article is what it is.</v>
      </c>
    </row>
    <row r="447">
      <c r="A447" s="1">
        <v>3.0</v>
      </c>
      <c r="B447" s="1" t="s">
        <v>446</v>
      </c>
      <c r="C447" t="str">
        <f>IFERROR(__xludf.DUMMYFUNCTION("GOOGLETRANSLATE(B447, ""es"", ""en"")"),"It gives the pego gives the pego")</f>
        <v>It gives the pego gives the pego</v>
      </c>
    </row>
    <row r="448">
      <c r="A448" s="1">
        <v>1.0</v>
      </c>
      <c r="B448" s="1" t="s">
        <v>447</v>
      </c>
      <c r="C448" t="str">
        <f>IFERROR(__xludf.DUMMYFUNCTION("GOOGLETRANSLATE(B448, ""es"", ""en"")"),"The screwdriver does not include shipping does not include screwdriver for assembly, so it is useless to ask. It is a special screwdriver for these watches. I do not recommend asking if you make sure not before having the tool.")</f>
        <v>The screwdriver does not include shipping does not include screwdriver for assembly, so it is useless to ask. It is a special screwdriver for these watches. I do not recommend asking if you make sure not before having the tool.</v>
      </c>
    </row>
    <row r="449">
      <c r="A449" s="1">
        <v>1.0</v>
      </c>
      <c r="B449" s="1" t="s">
        <v>448</v>
      </c>
      <c r="C449" t="str">
        <f>IFERROR(__xludf.DUMMYFUNCTION("GOOGLETRANSLATE(B449, ""es"", ""en"")"),"I think money roll a roll of money brutal !!!! I d have trouble back and it hurts and does not run over anything !!!! Leaves the ground so soaked q takes life to dry")</f>
        <v>I think money roll a roll of money brutal !!!! I d have trouble back and it hurts and does not run over anything !!!! Leaves the ground so soaked q takes life to dry</v>
      </c>
    </row>
    <row r="450">
      <c r="A450" s="1">
        <v>4.0</v>
      </c>
      <c r="B450" s="1" t="s">
        <v>449</v>
      </c>
      <c r="C450" t="str">
        <f>IFERROR(__xludf.DUMMYFUNCTION("GOOGLETRANSLATE(B450, ""es"", ""en"")"),"Two-speed, 3 accessories and power (600W) well used This BATIDORA only has two speeds, ""normal"" and ""turbo"", which are selected by simply pressing a button. Not a blender powerful (at turbo speed are 600W) but is effective for grinding evenly vegetabl"&amp;"es and almost any type of food (if you crush meat and cooked, depending on what kind of meat may not be too thin, It serves no chopping ice because it would lack much time at the risk of burning the motor). The texture of food once crushed is quite fine b"&amp;"ut sometimes you need to use the Chinese to remove the skins or threads of vegetables that have not been properly shredded as in the case of certain types of tomatoes that have thick skin or some vegetables like leeks. Not too loud (85dB), and the handle "&amp;"is ergonomic which makes it easy to handle. The arm of the mixer is removable and can be washed in the dishwasher, although I prefer hand washing immediately after use, dry it and save it. My mixer came with several 3 ACCESSORIES: A 600 ml graduated beake"&amp;"r manageable, has a size suitable for comminuting foods and mixtures although sometimes falls a little short, depending on what and how many cook cook. For example, use it to make creams for two or whisking until stiff but if I cream for the whole family,"&amp;" mashed vegetables directly into the pot. The model ""without accessories"" also carries the measuring cup. RODS arm to lift snow egg whites (makes it very fast), beat cake mixes, etc. it works very well. A mincer having very sharp knives and chop quickly"&amp;" and well. At home we used to prepare sauces (pesto for example), make breadcrumbs when we have stale bread, making ""chopped"" for soups and creams, etc. but it can also be used to chop meat with satisfactory results (relative to its potency, of course)."&amp;" It also has a cover if we want to keep the food we have chopped and goes very well when you chop not going to consume immediately. If you are a person that life when cooking and preparing simple recipes are not complicated, this mixer will be fine. But i"&amp;"f you ""cocinillas"" and like to prepare complex recipes, maybe you'll stay a little short.")</f>
        <v>Two-speed, 3 accessories and power (600W) well used This BATIDORA only has two speeds, "normal" and "turbo", which are selected by simply pressing a button. Not a blender powerful (at turbo speed are 600W) but is effective for grinding evenly vegetables and almost any type of food (if you crush meat and cooked, depending on what kind of meat may not be too thin, It serves no chopping ice because it would lack much time at the risk of burning the motor). The texture of food once crushed is quite fine but sometimes you need to use the Chinese to remove the skins or threads of vegetables that have not been properly shredded as in the case of certain types of tomatoes that have thick skin or some vegetables like leeks. Not too loud (85dB), and the handle is ergonomic which makes it easy to handle. The arm of the mixer is removable and can be washed in the dishwasher, although I prefer hand washing immediately after use, dry it and save it. My mixer came with several 3 ACCESSORIES: A 600 ml graduated beaker manageable, has a size suitable for comminuting foods and mixtures although sometimes falls a little short, depending on what and how many cook cook. For example, use it to make creams for two or whisking until stiff but if I cream for the whole family, mashed vegetables directly into the pot. The model "without accessories" also carries the measuring cup. RODS arm to lift snow egg whites (makes it very fast), beat cake mixes, etc. it works very well. A mincer having very sharp knives and chop quickly and well. At home we used to prepare sauces (pesto for example), make breadcrumbs when we have stale bread, making "chopped" for soups and creams, etc. but it can also be used to chop meat with satisfactory results (relative to its potency, of course). It also has a cover if we want to keep the food we have chopped and goes very well when you chop not going to consume immediately. If you are a person that life when cooking and preparing simple recipes are not complicated, this mixer will be fine. But if you "cocinillas" and like to prepare complex recipes, maybe you'll stay a little short.</v>
      </c>
    </row>
    <row r="451">
      <c r="A451" s="1">
        <v>4.0</v>
      </c>
      <c r="B451" s="1" t="s">
        <v>450</v>
      </c>
      <c r="C451" t="str">
        <f>IFERROR(__xludf.DUMMYFUNCTION("GOOGLETRANSLATE(B451, ""es"", ""en"")"),"Because what I was looking kind my city water is very hard, I need to use in every wash and quantity and price I found no better place")</f>
        <v>Because what I was looking kind my city water is very hard, I need to use in every wash and quantity and price I found no better place</v>
      </c>
    </row>
    <row r="452">
      <c r="A452" s="1">
        <v>4.0</v>
      </c>
      <c r="B452" s="1" t="s">
        <v>451</v>
      </c>
      <c r="C452" t="str">
        <f>IFERROR(__xludf.DUMMYFUNCTION("GOOGLETRANSLATE(B452, ""es"", ""en"")"),"Tight. Good but small size")</f>
        <v>Tight. Good but small size</v>
      </c>
    </row>
    <row r="453">
      <c r="A453" s="1">
        <v>4.0</v>
      </c>
      <c r="B453" s="1" t="s">
        <v>452</v>
      </c>
      <c r="C453" t="str">
        <f>IFERROR(__xludf.DUMMYFUNCTION("GOOGLETRANSLATE(B453, ""es"", ""en"")"),"It is 2.5 ""in the description says it is a record of 2'5"" and what is not. It's a record 3.5 narrower but obviously not enough for me. I thank pq stars I think it's a good product, but not described.")</f>
        <v>It is 2.5 "in the description says it is a record of 2'5" and what is not. It's a record 3.5 narrower but obviously not enough for me. I thank pq stars I think it's a good product, but not described.</v>
      </c>
    </row>
    <row r="454">
      <c r="A454" s="1">
        <v>4.0</v>
      </c>
      <c r="B454" s="1" t="s">
        <v>453</v>
      </c>
      <c r="C454" t="str">
        <f>IFERROR(__xludf.DUMMYFUNCTION("GOOGLETRANSLATE(B454, ""es"", ""en"")"),"Slingbag Good Value, a little rough.")</f>
        <v>Slingbag Good Value, a little rough.</v>
      </c>
    </row>
    <row r="455">
      <c r="A455" s="1">
        <v>5.0</v>
      </c>
      <c r="B455" s="1" t="s">
        <v>454</v>
      </c>
      <c r="C455" t="str">
        <f>IFERROR(__xludf.DUMMYFUNCTION("GOOGLETRANSLATE(B455, ""es"", ""en"")"),"Warm, soft and covering the shoulders well is soft, has 3 temperature settings, covering the back, neck and shoulders, bought by problems d cervical d my wife and I liked him a lot, price quality is pretty good, concerning the Amazon shipping and transpor"&amp;"tation very well as usual.")</f>
        <v>Warm, soft and covering the shoulders well is soft, has 3 temperature settings, covering the back, neck and shoulders, bought by problems d cervical d my wife and I liked him a lot, price quality is pretty good, concerning the Amazon shipping and transportation very well as usual.</v>
      </c>
    </row>
    <row r="456">
      <c r="A456" s="1">
        <v>5.0</v>
      </c>
      <c r="B456" s="1" t="s">
        <v>455</v>
      </c>
      <c r="C456" t="str">
        <f>IFERROR(__xludf.DUMMYFUNCTION("GOOGLETRANSLATE(B456, ""es"", ""en"")"),"good! recomento &lt;div id = ""video-block-R10JGUJ9CO5TDO"" class = ""section a-a-a-spacing-small spacing-top-video mini-block""&gt; &lt;div tabindex = ""0"" class = ""airy airy- svg vmin-supported airy-skin-beacon ""style ="" background-color: rgb (0, 0, 0) posit"&amp;"ion: relative; width: 100%; height: 100%; font-size: 0px; overflow: hidden; outline: none; ""&gt; &lt;div class ="" airy-renderer-container ""style ="" position: relative; height: 100%; width: 100%; ""&gt; &lt;video id ="" 7 ""preload ="" auto ""src = ""https://image"&amp;"s-eu.ssl-images-amazon.com/images/I/B1izqZwp-6S.mp4"" style = ""position: absolute; left: 0px; top: 0px; overflow: hidden; height: 1px; width: 1px; ""&gt; &lt;/ video&gt; &lt;/ div&gt; &lt;div id ="" airy-slate-preload ""style ="" background-color: rgb (0, 0, 0); backgroun"&amp;"d-image: url (&amp; quot; https : //images-eu.ssl-images-amazon.com/images/I/81HD7yPZM2S.png&amp;quot;); background-size: Contain; background-position: center center; background-repeat: no-repeat; position: absolute; top: 0px; left: 0px; visibility: visible; widt"&amp;"h: 100%; height: 100%; ""&gt; &lt;/ div&gt; &lt;iframe scrolling ="" no ""frameborder ="" 0 ""src ="" about: blank ""style ="" display: none; ""&gt; &lt;/ iframe&gt; &lt;div tabindex ="" - 1 ""class ="" airy-controls-container ""style ="" opacity: 0 ; visibility: hidden; ""&gt; &lt;di"&amp;"v tabindex ="" - 1 ""class ="" airy-screen-size-toggle airy-fullscreen ""&gt; &lt;/ div&gt; &lt;div tabindex ="" - 1 ""class ="" airy-container-bottom "" &gt; &lt;div tabindex = ""- 1"" class = ""airy-track-bar-spacer-left"" style = ""width: 11px;""&gt; &lt;/ div&gt; &lt;div tabindex "&amp;"= ""- 1"" class = ""airy-play- airy toggle-play ""style ="" width: 12px; margin-right: 12px; ""&gt; &lt;/ div&gt; &lt;div tabindex ="" - 1 ""class ="" airy-audio-elements ""style ="" float: right; width: 34px; ""&gt; &lt;div tabindex ="" - 1 ""class ="" airy-audio-toggle a"&amp;"iry-on ""&gt; &lt;/ div&gt; &lt;div tabindex ="" - 1 ""class ="" airy-audio-container ""style = ""opacity: 0; visibility: hidden; ""&gt; &lt;div tabindex ="" - 1 ""class ="" airy-audio-track-bar ""style ="" height: 80%; ""&gt; &lt;div tabindex ="" - 1 ""class ="" airy-audio- Scr"&amp;"ubber-bar ""style ="" height: 85%; ""&gt; &lt;/ div&gt; &lt;div tabindex ="" - 1 ""class ="" airy-audio-scrubber ""style ="" height: 12px; bottom 85% ""&gt; &lt;/ div&gt; &lt;/ div&gt; &lt;/ div&gt; &lt;/ div&gt; &lt;div tabindex ="" - 1 ""class ="" airy-duration-label ""style ="" float: right; w"&amp;"idth: 26px; margin-right: 4px; text-align: center; ""&gt; 0:00 &lt;/ div&gt; &lt;div tabindex ="" - 1 ""class ="" airy-track-bar-spacer-right ""style ="" float: right; width: 11px; ""&gt; &lt;/ div&gt; &lt;div tabindex ="" - 1 ""class ="" airy-track-bar-container ""style ="" mar"&amp;"gin-left: 35px; margin-right: 75px; ""&gt; &lt;div tabindex ="" - 1 ""class ="" airy-airy-track-bar vertically-centering-table ""&gt; &lt;div tabindex ="" - 1 ""class ="" airy-Vertical-centering- table-cell ""&gt; &lt;div tabindex ="" - 1 ""class ="" airy-track-bar-element"&amp;"s ""&gt; &lt;div tabindex ="" - 1 ""class ="" airy-progress-bar ""&gt; &lt;/ div&gt; &lt;div tabindex = ""- 1"" class = ""airy-scrubber-bar""&gt; &lt;/ div&gt; &lt;div tabindex = ""- 1"" class = ""airy-scrubber""&gt; &lt;div tabindex = ""- 1"" class = ""airy-scrubber- icon ""&gt; &lt;/ div&gt; &lt;div "&amp;"tabindex ="" - 1 ""class ="" airy-adjusted-AUI-tooltip ""style ="" opacity: 0; visibility: hidden; ""&gt; &lt;div tabindex ="" - 1 ""class ="" airy-adjusted-aui-tooltip-inner ""&gt; &lt;div tabindex ="" - 1 ""class ="" airy-current-time-label ""&gt; 0: 00 &lt;/ div&gt; &lt;/ div"&amp;"&gt; &lt;div tabindex = ""- 1"" class = ""airy-adjusted-AUI-arrow-border""&gt; &lt;div tabindex = ""- 1"" class = ""airy-adjusted-AUI-arrow"" &gt; &lt;/ div&gt; &lt;/ div&gt; &lt;/ div&gt; &lt;/ div&gt; &lt;/ div&gt; &lt;/ div&gt; &lt;/ div&gt; &lt;/ div&gt; &lt;/ div&gt; &lt;/ div&gt; &lt;div tabindex = ""- 1"" class = ""airy-age-"&amp;"gate airy-stage airy-Vertical-centering-table airy-dialog"" style = ""opacity: 0; visibility: hidden; ""&gt; &lt;div tabindex ="" - 1 ""class ="" airy-age-gate-Vertical-centering-table-cell airy-Vertical-centering-table-cell ""&gt; &lt;div tabindex ="" - 1 ""class = "&amp;"""airy-Vertical-centering-wrapper airy-age-gate-elements-wrapper""&gt; &lt;div tabindex = ""- 1"" class = ""airy-age-gate-elements airy-dialog-elements""&gt; &lt;div tabindex = "" -1 ""class ="" airy-age-gate-prompt ""&gt; This video is not Intended for all audiences Wh"&amp;"at date were you born &lt;/ div&gt; &lt;div tabindex =.?"" - 1 ""class ="" airy-age-gate -inputs airy-dialog-inner-elements ""&gt; &lt;select tabindex ="" - 1 ""class ="" airy-age-gate-month ""&gt; &lt;option value ="" 1 ""&gt; January &lt;/ option&gt; &lt;option value ="" 2 ""&gt; February"&amp;" &lt;/ option&gt; &lt;option value ="" 3 ""&gt; March &lt;/ option&gt; &lt;option value ="" 4 ""&gt; April &lt;/ option&gt; &lt;option value ="" 5 ""&gt; May &lt;/ option&gt; &lt;option value = ""6""&gt; June &lt;/ option&gt; &lt;option value = ""7""&gt; July &lt;/ option&gt; &lt;option value = ""8""&gt; August &lt;/ option&gt; &lt;op"&amp;"tion value = ""9""&gt; September &lt;/ option&gt; &lt;option value = ""10""&gt; October &lt;/ option&gt; &lt;option value = ""11""&gt; November &lt;/ option&gt; &lt;option value = ""12""&gt; December &lt;/ option&gt; &lt;/ select&gt; &lt;select tabindex = ""- 1"" class = ""airy-age-gate-day""&gt; &lt;opti on value"&amp;" = ""1""&gt; 1 &lt;/ option&gt; &lt;option value = ""2""&gt; 2 &lt;/ option&gt; &lt;option value = ""3""&gt; 3 &lt;/ option&gt; &lt;option value = ""4""&gt; 4 &lt;/ option &gt; &lt;option value = ""5""&gt; 5 &lt;/ option&gt; &lt;option value = ""6""&gt; 6 &lt;/ option&gt; &lt;option value = ""7""&gt; 7 &lt;/ option&gt; &lt;option value ="&amp;" ""8""&gt; 8 &lt; / option&gt; &lt;option value = ""9""&gt; 9 &lt;/ option&gt; &lt;option value = ""10""&gt; 10 &lt;/ option&gt; &lt;option value = ""11""&gt; 11 &lt;/ option&gt; &lt;option value = ""12""&gt; 12 &lt;/ option&gt; &lt;option value = ""13""&gt; 13 &lt;/ option&gt; &lt;option value = ""14""&gt; 14 &lt;/ option&gt; &lt;option"&amp;" value = ""15""&gt; 15 &lt;/ option&gt; &lt;option value = ""16 ""&gt; 16 &lt;/ option&gt; &lt;option value ="" 17 ""&gt; 17 &lt;/ option&gt; &lt;option value ="" 18 ""&gt; 18 &lt;/ option&gt; &lt;option value ="" 19 ""&gt; 19 &lt;/ option&gt; &lt;option value = ""20""&gt; 20 &lt;/ option&gt; &lt;option value = ""21""&gt; 21 &lt;/ "&amp;"option&gt; &lt;option value = ""22""&gt; 22 &lt;/ option&gt; &lt;option value = ""23""&gt; 23 &lt;/ option&gt; &lt;option value = ""24""&gt; 24 &lt;/ option&gt; &lt;option value = ""25""&gt; 25 &lt;/ option&gt; &lt;option value = ""26""&gt; 26 &lt;/ option&gt; &lt;option value = ""27""&gt; 27 &lt;/ option&gt; &lt;option value = ""2"&amp;"8""&gt; 28 &lt;/ option&gt; &lt;option value = ""29""&gt; 29 &lt;/ option&gt; &lt;option value = ""30""&gt; 30 &lt;/ option&gt; &lt;option value = ""31""&gt; 31 &lt;/ option&gt; &lt;/ select&gt; &lt;select tabindex = ""- 1"" class = ""airy-age-gate-year""&gt; &lt;option value = ""2019""&gt; 2019 &lt;/ option&gt; &lt; option v"&amp;"alue = ""2018""&gt; 2018 &lt;/ option&gt; &lt;option value = ""2017""&gt; 2017 &lt;/ option&gt; &lt;option value = ""2016""&gt; ​​2016 &lt;/ option&gt; &lt;option value = ""2015""&gt; 2015 &lt;/ option &gt; &lt;option value = ""2014""&gt; 2014 &lt;/ option&gt; &lt;option value = ""2013""&gt; 2013 &lt;/ option&gt; &lt;option v"&amp;"alue = ""2012""&gt; 2012 &lt;/ option&gt; &lt;option value = ""2011""&gt; 2011 &lt; / option&gt; &lt;option value = ""2010""&gt; 2010 &lt;/ option&gt; &lt;option value = ""2009""&gt; 2009 &lt;/ option&gt; &lt;option value = ""2008""&gt; 2008 &lt;/ option&gt; &lt;option value = ""2007""&gt; 2007 &lt;/ option&gt; &lt;option val"&amp;"ue = ""2006""&gt; 2006 &lt;/ option&gt; &lt;option value = ""2005""&gt; 2005 &lt;/ option&gt; &lt;option value = ""2004""&gt; 2004 &lt;/ option&gt; &lt;option value = ""2003 ""&gt; 2003 &lt;/ option&gt; &lt;option value ="" 2002 ""&gt; 2002 &lt;/ option&gt; &lt;option value ="" 2001 ""&gt; 2001 &lt;/ option&gt; &lt;option val"&amp;"ue ="" 2000 ""&gt; 2000 &lt;/ option&gt; &lt;option value = ""1999""&gt; 1999 &lt;/ option&gt; &lt;option value = ""1998""&gt; 1998 &lt;/ option&gt; &lt;option value = ""1997""&gt; 1997 &lt;/ option&gt; &lt;option value = ""1996""&gt; 1996 &lt;/ option&gt; &lt;option value = ""1995""&gt; 1995 &lt;/ option&gt; &lt;option value"&amp;" = ""1994""&gt; 1994 &lt;/ option&gt; &lt;option value = ""1993""&gt; 1993 &lt;/ option&gt; &lt;option value = ""1992""&gt; 1992 &lt;/ option&gt; &lt;option value = ""1991""&gt; 1991 &lt;/ option&gt; &lt;option value = ""1990""&gt; 1990 &lt;/ option&gt; &lt;option value = "" 1989 ""&gt; 1989 &lt;/ option&gt; &lt;option value "&amp;"="" 1988 ""&gt; 1988 &lt;/ option&gt; &lt;option value ="" 1987 ""&gt; 1987 &lt;/ option&gt; &lt;option value ="" 1986 ""&gt; 1986 &lt;/ option&gt; &lt;value option = ""1985""&gt; 1985 &lt;/ option&gt; &lt;option value = ""1984""&gt; 1984 &lt;/ option&gt; &lt;option value = ""1983""&gt; 1983 &lt;/ option&gt; &lt;option value "&amp;"= ""1982""&gt; 1982 &lt;/ option&gt; &lt; option value = ""1981""&gt; 1981 &lt;/ option&gt; &lt;option value = ""1980""&gt; 1980 &lt;/ option&gt; &lt;option value = ""1979""&gt; 1979 &lt;/ option&gt; &lt;option value = ""1978""&gt; 1978 &lt;/ option &gt; &lt;option value = ""1977""&gt; 1977 &lt;/ option&gt; &lt;option value ="&amp;" ""1976""&gt; 1976 &lt;/ option&gt; &lt;option value = ""1975""&gt; 1975 &lt;/ option&gt; &lt;option value = ""1974""&gt; 1974 &lt; / option&gt; &lt;option value = ""1973""&gt; 1973 &lt;/ option&gt; &lt;option value = ""1972""&gt; 1972 &lt;/ option&gt; &lt;option value = ""1971""&gt; 1971 &lt;/ option&gt; &lt;option value = "&amp;"""1970""&gt; 1970 &lt;/ option&gt; &lt;option value = ""1969""&gt; 1969 &lt;/ option&gt; &lt;option value = ""1968""&gt; 1968 &lt;/ option&gt; &lt;option value = ""1967""&gt; 1967 &lt;/ option&gt; &lt;option value = ""1966 ""&gt; 1966 &lt;/ option&gt; &lt;option value ="" 1965 ""&gt; 1965 &lt;/ option&gt; &lt;option value ="""&amp;" 1964 ""&gt; 1964 &lt;/ option&gt; &lt;option value ="" 1963 ""&gt; 1963 &lt;/ option&gt; &lt;option value = ""1962""&gt; 1962 &lt;/ option&gt; &lt;option value = ""1961""&gt; 1961 &lt;/ option&gt; &lt;option value = ""1960""&gt; 1960 &lt;/ op tion&gt; &lt;option value = ""1959""&gt; 1959 &lt;/ option&gt; &lt;option value = "&amp;"""1958""&gt; 1958 &lt;/ option&gt; &lt;option value = ""1957""&gt; 1957 &lt;/ option&gt; &lt;option value = ""1956""&gt; 1956 &lt;/ option&gt; &lt;option value = ""1955""&gt; 1955 &lt;/ option&gt; &lt;option value = ""1954""&gt; 1954 &lt;/ option&gt; &lt;option value = ""1953""&gt; 1953 &lt;/ option&gt; &lt;option value = ""1"&amp;"952"" &gt; 1952 &lt;/ option&gt; &lt;option value = ""1951""&gt; 1951 &lt;/ option&gt; &lt;option value = ""1950""&gt; 1950 &lt;/ option&gt; &lt;option value = ""1949""&gt; 1949 &lt;/ option&gt; &lt;option value = "" 1948 ""&gt; 1948 &lt;/ option&gt; &lt;option value ="" 1947 ""&gt; 1947 &lt;/ option&gt; &lt;option value ="" "&amp;"1946 ""&gt; 1946 &lt;/ option&gt; &lt;option value ="" 1945 ""&gt; 1945 &lt;/ option&gt; &lt;value option = ""1944""&gt; 1944 &lt;/ option&gt; &lt;option value = ""1943""&gt; 1943 &lt;/ option&gt; &lt;option value = ""1942""&gt; 1942 &lt;/ option&gt; &lt;option value = ""1941""&gt; 1941 &lt;/ option&gt; &lt; option value = """&amp;"1940""&gt; 1940 &lt;/ option&gt; &lt;option value = ""1939""&gt; 1939 &lt;/ option&gt; &lt;option value = ""1938""&gt; 1938 &lt;/ option&gt; &lt;option value = ""1937""&gt; 1937 &lt;/ option &gt; &lt;option value = ""1936""&gt; 1936 &lt;/ option&gt; &lt;option value = ""1935""&gt; 1935 &lt;/ option&gt; &lt;option value = ""19"&amp;"34""&gt; 1934 &lt;/ option&gt; &lt;option value = ""1933""&gt; 1933 &lt; / option&gt; &lt;option value = ""1932""&gt; 1932 &lt;/ option&gt; &lt;option value = ""1931""&gt; 1931 &lt;/ option&gt; &lt;option v alue = ""1930""&gt; 1930 &lt;/ option&gt; &lt;option value = ""1929""&gt; 1929 &lt;/ option&gt; &lt;option value = ""192"&amp;"8""&gt; 1928 &lt;/ option&gt; &lt;option value = ""1927""&gt; 1927 &lt;/ option&gt; &lt;option value = ""1926""&gt; 1926 &lt;/ option&gt; &lt;option value = ""1925""&gt; 1925 &lt;/ option&gt; &lt;option value = ""1924""&gt; 1924 &lt;/ option&gt; &lt;option value = ""1923""&gt; 1923 &lt;/ option&gt; &lt;option value = ""1922"""&amp;"&gt; 1922 &lt;/ option&gt; &lt;option value = ""1921""&gt; 1921 &lt;/ option&gt; &lt;option value = ""1920""&gt; 1920 &lt;/ option&gt; &lt;option value = ""1919""&gt; 1919 &lt;/ option&gt; &lt;option value = ""1918""&gt; 1918 &lt;/ option&gt; &lt;option value = ""1917""&gt; 1917 &lt;/ option&gt; &lt;option value = ""1916""&gt; 1"&amp;"916 &lt;/ option&gt; &lt;option value = ""1915"" &gt; 1915 &lt;/ option&gt; &lt;option value = ""1914""&gt; 1914 &lt;/ option&gt; &lt;option value = ""1913""&gt; 1913 &lt;/ option&gt; &lt;option value = ""1912""&gt; 1912 &lt;/ option&gt; &lt;option value = "" 1911 ""&gt; 1911 &lt;/ option&gt; &lt;option value ="" 1910 ""&gt; "&amp;"1910 &lt;/ option&gt; &lt;option value ="" 1909 ""&gt; 1909 &lt;/ option&gt; &lt;option value ="" 1908 ""&gt; 1908 &lt;/ option&gt; &lt;value option = ""1907""&gt; 1907 &lt;/ option&gt; &lt;option value = ""1906""&gt; 1906 &lt;/ option&gt; &lt;option value = ""1905""&gt; 1905 &lt;/ option&gt; &lt;option value = ""1904""&gt; 1"&amp;"904 &lt;/ option&gt; &lt; option value = ""1903""&gt; 1903 &lt;/ option&gt; &lt;option value = ""1902""&gt; 1902 &lt;/ option&gt; &lt;option value = ""1901""&gt; 19 01 &lt;/ option&gt; &lt;option value = ""1900""&gt; 1900 &lt;/ option&gt; &lt;/ select&gt; &lt;div tabindex = ""- 1"" class = ""airy-age-gate-submit airy"&amp;"-submit-button airy airy-submit- disabled ""&gt; Submit &lt;/ div&gt; &lt;/ div&gt; &lt;/ div&gt; &lt;/ div&gt; &lt;/ div&gt; &lt;/ div&gt; &lt;div tabindex ="" - 1 ""class ="" airy-install-flash-dialog airy-stage airy -vertical-centering-table-dialog airy airy-denied ""style ="" opacity: 0; visi"&amp;"bility: hidden; ""&gt; &lt;div tabindex ="" - 1 ""class ="" airy-install-flash-Vertical-centering-table-cell airy-Vertical-centering-table-cell ""&gt; &lt;div tabindex ="" - 1 ""class = ""airy-Vertical-centering-wrapper airy-install-flash-elements-wrapper""&gt; &lt;div tab"&amp;"index = ""- 1"" class = ""airy-install-flash-elements airy-dialog-elements""&gt; &lt;div tabindex = "" -1 ""class ="" airy-install-flash-prompt ""&gt; Adobe Flash Player is required to watch this video &lt;/ div&gt; &lt;div tabindex =."" - 1 ""class ="" airy-install-flash-"&amp;"button-wrapper airy -dialog-inner-elements ""&gt; &lt;div tabindex ="" - 1 ""class ="" airy-install-flash-button airy-button ""&gt; install Flash Player &lt;/ div&gt; &lt;/ div&gt; &lt;/ div&gt; &lt;/ div&gt; &lt;/ div&gt; &lt;/ div&gt; &lt;div tabindex = ""- 1"" class = ""airy-video-unsupported-dialog"&amp;" airy-stage airy-Vertical-centering-table airy-dialog airy-denied"" style = ""opacity: 0; visibility: hidden; ""&gt; &lt;div tabindex ="" - 1 ""class ="" airy-video-unsupported-Vertical-centering-table-cell airy-Vertical-centering-table-cell ""&gt; &lt;div tabindex ="&amp;""" - 1 ""class = ""airy-Vertical-centering-wrapper airy-video-unsupported-elements-wrapper""&gt; &lt;div tabindex = ""- 1"" class = ""airy-video-unsupported-elements airy-dialog-elements""&gt; &lt;div tabindex = "" -1 ""class ="" airy-video-unsupported-prompt ""&gt; &lt;/ "&amp;"div&gt; &lt;/ div&gt; &lt;/ div&gt; &lt;/ div&gt; &lt;/ div&gt; &lt;div tabindex ="" - 1 ""class ="" airy-loading- spinner-stage airy-stage ""&gt; &lt;div tabindex ="" - 1 ""class ="" airy-loading-spinner-Vertical-centering-table-cell airy-Vertical-centering-table-cell ""&gt; &lt;div tabindex ="""&amp;" - 1 ""class ="" airy-loading-spinner-container airy-scalable-hint-container ""&gt; &lt;div tabindex ="" - 1 ""class ="" airy-loading-spinner-dummy airy-scalable-dummy ""&gt; &lt;/ div&gt; &lt; div tabindex = ""- 1"" class = ""airy-loading-spinner airy-hint"" style = ""vis"&amp;"ibility: hidden;""&gt; &lt;/ div&gt; &lt;/ div&gt; &lt;/ div&gt; &lt;/ div&gt; &lt;div tabindex = ""- 1 ""class ="" airy-ads-screen-size-toggle airy-screen-size-toggle-fullscreen airy ""style ="" visibility: hidden; ""&gt; &lt;/ div&gt; &lt;div tabindex = ""-1"" class = ""airy-ad-prompt-container"&amp;""" style = ""visibility: hidden;""&gt; &lt;div tabindex = ""- 1"" class = ""airy-ad-prompt-Vertical-centering-table-vertically airy centering-table ""&gt; &lt;div tabindex ="" - 1 ""class ="" airy-ad-prompt-Vertical-centering-table-cell airy-Vertical-centering-table-"&amp;"cell ""&gt; &lt;div tabindex ="" - 1 ""class = ""airy-ad-prompt-label""&gt; &lt;/ div&gt; &lt;/ div&gt; &lt;/ div&gt; &lt;/ div&gt; &lt;div tabindex = ""- 1"" class = ""airy-ads-controls-container"" style = ""visibility: hidden; ""&gt; &lt;div tabindex ="" - 1 ""class ="" airy-ads-audio-toggle ai"&amp;"ry-audio-toggle airy-on ""style ="" visibility: hidden; ""&gt; &lt;/ div&gt; &lt;div tabindex ="" - 1 ""class ="" airy-time-remaining-label-container ""&gt; &lt;div tabindex ="" - 1 ""class ="" airy-time-remaining-Vertical-centering-table airy-Vertical-centering-table ""&gt; "&amp;"&lt;div tabindex = ""- 1"" class = ""airy-time-remaining-Vertical-centering-table-cell airy-Vertical-centering-table-cell""&gt; &lt;div tabindex = ""- 1"" class = ""airy-Vertical-centering-wrapper airy-time-remaining-label-wrapper ""&gt; &lt;div tabindex ="" - 1 ""class"&amp;" ="" airy-time-remaining-label ""style ="" visibility: hidden; ""&gt; &lt;/ div&gt; &lt;div tabi ndex = ""- 1"" class = ""airy-ad-skip"" style = ""visibility: hidden;""&gt; &lt;/ div&gt; &lt;div tabindex = ""- 1"" class = ""airy-ad-end"" style = ""visibility: hidden ""&gt; &lt;/ div&gt; "&amp;"&lt;/ div&gt; &lt;/ div&gt; &lt;/ div&gt; &lt;/ div&gt; &lt;div tabindex ="" - 1 ""class ="" airy-learn-more ""style ="" visibility: hidden; ""&gt; &lt;/ div&gt; &lt;/ div&gt; &lt;div tabindex = ""- 1"" class = ""airy-play-toggle-hint-stage airy-stage airy-cursor""&gt; &lt;div tabindex = ""- 1"" class = "&amp;"""airy-play -toggle-hint-Vertical-centering-table-cell airy-Vertical-centering-table-cell airy-cursor ""&gt; &lt;div tabindex ="" - 1 ""class ="" airy-play-toggle-hint-container airy-scalable- Hint-container ""&gt; &lt;div tabindex ="" - 1 ""class ="" airy-play-toggl"&amp;"e-hint-dummy airy-scalable-dummy ""&gt; &lt;/ div&gt; &lt;div tabindex ="" - 1 ""class ="" airy-play -toggle-hint hint airy-airy-play-hint ""style ="" opacity: 1; visibility: visible; ""&gt; &lt;/ div&gt; &lt;/ div&gt; &lt;/ div&gt; &lt;/ div&gt; &lt;div tabindex ="" - 1 ""class ="" airy-replay-h"&amp;"int-stage airy-stage ""style ="" visibility: hidden ; ""&gt; &lt;div tabindex ="" - 1 ""class ="" airy-replay-hint-Vertical-centering-table-cell airy-Vertical-centering-table-cell airy-cursor ""&gt; &lt;div tabindex ="" - 1 ""class = ""airy-replay-hint-container airy"&amp;"-scalable-hint-container""&gt; &lt;div tabindex = ""- 1"" class = ""airy-replay-hint-dummy airy-scalable-dummy""&gt; &lt;/ div&gt; &lt;div tabindex = ""- 1"" class = ""airy-replay-hint airy-hint""&gt; &lt;/ div&gt; &lt;/ div&gt; &lt;/ div&gt; &lt;/ div&gt; &lt;div tabindex = ""- 1"" class = ""airy-auto"&amp;"play-hint -stage airy-stage ""style ="" visibility: hidden; ""&gt; &lt;div tabindex ="" - 1 ""class ="" airy-autoplay-hint-Vertical-centering-table-cell airy-Vertical-centering-table-cell airy- cursor ""&gt; &lt;div tabindex ="" - 1 ""class ="" autoplay airy-airy-hin"&amp;"t-container-scalable-hint-container ""&gt; &lt;div tabindex ="" - 1 ""class ="" airy-autoplay-hint-dummy airy- scalable-dummy ""&gt; &lt;/ div&gt; &lt;/ div&gt; &lt;/ div&gt; &lt;/ div&gt; &lt;/ div&gt; &lt;/ div&gt; &lt;input type ="" hidden ""name ="" ""value ="" https: // images-eu .ssl-images-amazo"&amp;"n.com / images / I / B1izqZwp-6S.mp4 ""Class ="" video-url ""&gt; &lt;input type ="" hidden ""name ="" ""value ="" https://images-eu.ssl-images-amazon.com/images/I/81HD7yPZM2S.png ""class ="" video-slate-img-url ""&gt; &amp; nbsp; is a pretty mini backpack, which I li"&amp;"ke very much fits pocket")</f>
        <v>good! recomento &lt;div id = "video-block-R10JGUJ9CO5TDO" class = "section a-a-a-spacing-small spacing-top-video mini-block"&gt; &lt;div tabindex = "0" class = "airy airy- svg vmin-supported airy-skin-beacon "style =" background-color: rgb (0, 0, 0) position: relative; width: 100%; height: 100%; font-size: 0px; overflow: hidden; outline: none; "&gt; &lt;div class =" airy-renderer-container "style =" position: relative; height: 100%; width: 100%; "&gt; &lt;video id =" 7 "preload =" auto "src = "https://images-eu.ssl-images-amazon.com/images/I/B1izqZwp-6S.mp4" style = "position: absolute; left: 0px; top: 0px; overflow: hidden; height: 1px; width: 1px; "&gt; &lt;/ video&gt; &lt;/ div&gt; &lt;div id =" airy-slate-preload "style =" background-color: rgb (0, 0, 0); background-image: url (&amp; quot; https : //images-eu.ssl-images-amazon.com/images/I/81HD7yPZM2S.png&amp;quot;); background-size: Contain; background-position: center center; background-repeat: no-repeat; position: absolute; top: 0px; left: 0px; visibility: visible; width: 100%; height: 100%; "&gt; &lt;/ div&gt; &lt;iframe scrolling =" no "frameborder =" 0 "src =" about: blank "style =" display: none; "&gt; &lt;/ iframe&gt; &lt;div tabindex =" - 1 "class =" airy-controls-container "style =" opacity: 0 ; visibility: hidden; "&gt; &lt;div tabindex =" - 1 "class =" airy-screen-size-toggle airy-fullscreen "&gt; &lt;/ div&gt; &lt;div tabindex =" - 1 "class =" airy-container-bottom " &gt; &lt;div tabindex = "- 1" class = "airy-track-bar-spacer-left" style = "width: 11px;"&gt; &lt;/ div&gt; &lt;div tabindex = "- 1" class = "airy-play- airy toggle-play "style =" width: 12px; margin-right: 12px; "&gt; &lt;/ div&gt; &lt;div tabindex =" - 1 "class =" airy-audio-elements "style =" float: right; width: 34px; "&gt; &lt;div tabindex =" - 1 "class =" airy-audio-toggle airy-on "&gt; &lt;/ div&gt; &lt;div tabindex =" - 1 "class =" airy-audio-container "style = "opacity: 0; visibility: hidden; "&gt; &lt;div tabindex =" - 1 "class =" airy-audio-track-bar "style =" height: 80%; "&gt; &lt;div tabindex =" - 1 "class =" airy-audio- Scrubber-bar "style =" height: 85%; "&gt; &lt;/ div&gt; &lt;div tabindex =" - 1 "class =" airy-audio-scrubber "style =" height: 12px; bottom 85% "&gt; &lt;/ div&gt; &lt;/ div&gt; &lt;/ div&gt; &lt;/ div&gt; &lt;div tabindex =" - 1 "class =" airy-duration-label "style =" float: right; width: 26px; margin-right: 4px; text-align: center; "&gt; 0:00 &lt;/ div&gt; &lt;div tabindex =" - 1 "class =" airy-track-bar-spacer-right "style =" float: right; width: 11px; "&gt; &lt;/ div&gt; &lt;div tabindex =" - 1 "class =" airy-track-bar-container "style =" margin-left: 35px; margin-right: 75px; "&gt; &lt;div tabindex =" - 1 "class =" airy-airy-track-bar vertically-centering-table "&gt; &lt;div tabindex =" - 1 "class =" airy-Vertical-centering- table-cell "&gt; &lt;div tabindex =" - 1 "class =" airy-track-bar-elements "&gt; &lt;div tabindex =" - 1 "class =" airy-progress-bar "&gt; &lt;/ div&gt; &lt;div tabindex = "- 1" class = "airy-scrubber-bar"&gt; &lt;/ div&gt; &lt;div tabindex = "- 1" class = "airy-scrubber"&gt; &lt;div tabindex = "- 1" class = "airy-scrubber- icon "&gt; &lt;/ div&gt; &lt;div tabindex =" - 1 "class =" airy-adjusted-AUI-tooltip "style =" opacity: 0; visibility: hidden; "&gt; &lt;div tabindex =" - 1 "class =" airy-adjusted-aui-tooltip-inner "&gt; &lt;div tabindex =" - 1 "class =" airy-current-time-label "&gt; 0: 00 &lt;/ div&gt; &lt;/ div&gt; &lt;div tabindex = "- 1" class = "airy-adjusted-AUI-arrow-border"&gt; &lt;div tabindex = "- 1" class = "airy-adjusted-AUI-arrow" &gt; &lt;/ div&gt; &lt;/ div&gt; &lt;/ div&gt; &lt;/ div&gt; &lt;/ div&gt; &lt;/ div&gt; &lt;/ div&gt; &lt;/ div&gt; &lt;/ div&gt; &lt;/ div&gt; &lt;div tabindex = "- 1" class = "airy-age-gate airy-stage airy-Vertical-centering-table airy-dialog" style = "opacity: 0; visibility: hidden; "&gt; &lt;div tabindex =" - 1 "class =" airy-age-gate-Vertical-centering-table-cell airy-Vertical-centering-table-cell "&gt; &lt;div tabindex =" - 1 "class = "airy-Vertical-centering-wrapper airy-age-gate-elements-wrapper"&gt; &lt;div tabindex = "- 1" class = "airy-age-gate-elements airy-dialog-elements"&gt; &lt;div tabindex = " -1 "class =" airy-age-gate-prompt "&gt; This video is not Intended for all audiences What date were you born &lt;/ div&gt; &lt;div tabindex =.?" - 1 "class =" airy-age-gate -inputs airy-dialog-inner-elements "&gt; &lt;select tabindex =" - 1 "class =" airy-age-gate-month "&gt; &lt;option value =" 1 "&gt; January &lt;/ option&gt; &lt;option value =" 2 "&gt; February &lt;/ option&gt; &lt;option value =" 3 "&gt; March &lt;/ option&gt; &lt;option value =" 4 "&gt; April &lt;/ option&gt; &lt;option value =" 5 "&gt; May &lt;/ option&gt; &lt;option value = "6"&gt; June &lt;/ option&gt; &lt;option value = "7"&gt; July &lt;/ option&gt; &lt;option value = "8"&gt; August &lt;/ option&gt; &lt;option value = "9"&gt; September &lt;/ option&gt; &lt;option value = "10"&gt; October &lt;/ option&gt; &lt;option value = "11"&gt; November &lt;/ option&gt; &lt;option value = "12"&gt; December &lt;/ option&gt; &lt;/ select&gt; &lt;select tabindex = "- 1" class = "airy-age-gate-day"&gt; &lt;opti on value = "1"&gt; 1 &lt;/ option&gt; &lt;option value = "2"&gt; 2 &lt;/ option&gt; &lt;option value = "3"&gt; 3 &lt;/ option&gt; &lt;option value = "4"&gt; 4 &lt;/ option &gt; &lt;option value = "5"&gt; 5 &lt;/ option&gt; &lt;option value = "6"&gt; 6 &lt;/ option&gt; &lt;option value = "7"&gt; 7 &lt;/ option&gt; &lt;option value = "8"&gt; 8 &lt; / option&gt; &lt;option value = "9"&gt; 9 &lt;/ option&gt; &lt;option value = "10"&gt; 10 &lt;/ option&gt; &lt;option value = "11"&gt; 11 &lt;/ option&gt; &lt;option value = "12"&gt; 12 &lt;/ option&gt; &lt;option value = "13"&gt; 13 &lt;/ option&gt; &lt;option value = "14"&gt; 14 &lt;/ option&gt; &lt;option value = "15"&gt; 15 &lt;/ option&gt; &lt;option value = "16 "&gt; 16 &lt;/ option&gt; &lt;option value =" 17 "&gt; 17 &lt;/ option&gt; &lt;option value =" 18 "&gt; 18 &lt;/ option&gt; &lt;option value =" 19 "&gt; 19 &lt;/ option&gt; &lt;option value = "20"&gt; 20 &lt;/ option&gt; &lt;option value = "21"&gt; 21 &lt;/ option&gt; &lt;option value = "22"&gt; 22 &lt;/ option&gt; &lt;option value = "23"&gt; 23 &lt;/ option&gt; &lt;option value = "24"&gt; 24 &lt;/ option&gt; &lt;option value = "25"&gt; 25 &lt;/ option&gt; &lt;option value = "26"&gt; 26 &lt;/ option&gt; &lt;option value = "27"&gt; 27 &lt;/ option&gt; &lt;option value = "28"&gt; 28 &lt;/ option&gt; &lt;option value = "29"&gt; 29 &lt;/ option&gt; &lt;option value = "30"&gt; 30 &lt;/ option&gt; &lt;option value = "31"&gt; 31 &lt;/ option&gt; &lt;/ select&gt; &lt;select tabindex = "- 1" class = "airy-age-gate-year"&gt; &lt;option value = "2019"&gt; 2019 &lt;/ option&gt; &lt; option value = "2018"&gt; 2018 &lt;/ option&gt; &lt;option value = "2017"&gt; 2017 &lt;/ option&gt; &lt;option value = "2016"&gt; ​​2016 &lt;/ option&gt; &lt;option value = "2015"&gt; 2015 &lt;/ option &gt; &lt;option value = "2014"&gt; 2014 &lt;/ option&gt; &lt;option value = "2013"&gt; 2013 &lt;/ option&gt; &lt;option value = "2012"&gt; 2012 &lt;/ option&gt; &lt;option value = "2011"&gt; 2011 &lt; / option&gt; &lt;option value = "2010"&gt; 2010 &lt;/ option&gt; &lt;option value = "2009"&gt; 2009 &lt;/ option&gt; &lt;option value = "2008"&gt; 2008 &lt;/ option&gt; &lt;option value = "2007"&gt; 2007 &lt;/ option&gt; &lt;option value = "2006"&gt; 2006 &lt;/ option&gt; &lt;option value = "2005"&gt; 2005 &lt;/ option&gt; &lt;option value = "2004"&gt; 2004 &lt;/ option&gt; &lt;option value = "2003 "&gt; 2003 &lt;/ option&gt; &lt;option value =" 2002 "&gt; 2002 &lt;/ option&gt; &lt;option value =" 2001 "&gt; 2001 &lt;/ option&gt; &lt;option value =" 2000 "&gt; 2000 &lt;/ option&gt; &lt;option value = "1999"&gt; 1999 &lt;/ option&gt; &lt;option value = "1998"&gt; 1998 &lt;/ option&gt; &lt;option value = "1997"&gt; 1997 &lt;/ option&gt; &lt;option value = "1996"&gt; 1996 &lt;/ option&gt; &lt;option value = "1995"&gt; 1995 &lt;/ option&gt; &lt;option value = "1994"&gt; 1994 &lt;/ option&gt; &lt;option value = "1993"&gt; 1993 &lt;/ option&gt; &lt;option value = "1992"&gt; 1992 &lt;/ option&gt; &lt;option value = "1991"&gt; 1991 &lt;/ option&gt; &lt;option value = "1990"&gt; 1990 &lt;/ option&gt; &lt;option value = " 1989 "&gt; 1989 &lt;/ option&gt; &lt;option value =" 1988 "&gt; 1988 &lt;/ option&gt; &lt;option value =" 1987 "&gt; 1987 &lt;/ option&gt; &lt;option value =" 1986 "&gt; 1986 &lt;/ option&gt; &lt;value option = "1985"&gt; 1985 &lt;/ option&gt; &lt;option value = "1984"&gt; 1984 &lt;/ option&gt; &lt;option value = "1983"&gt; 1983 &lt;/ option&gt; &lt;option value = "1982"&gt; 1982 &lt;/ option&gt; &lt; option value = "1981"&gt; 1981 &lt;/ option&gt; &lt;option value = "1980"&gt; 1980 &lt;/ option&gt; &lt;option value = "1979"&gt; 1979 &lt;/ option&gt; &lt;option value = "1978"&gt; 1978 &lt;/ option &gt; &lt;option value = "1977"&gt; 1977 &lt;/ option&gt; &lt;option value = "1976"&gt; 1976 &lt;/ option&gt; &lt;option value = "1975"&gt; 1975 &lt;/ option&gt; &lt;option value = "1974"&gt; 1974 &lt; / option&gt; &lt;option value = "1973"&gt; 1973 &lt;/ option&gt; &lt;option value = "1972"&gt; 1972 &lt;/ option&gt; &lt;option value = "1971"&gt; 1971 &lt;/ option&gt; &lt;option value = "1970"&gt; 1970 &lt;/ option&gt; &lt;option value = "1969"&gt; 1969 &lt;/ option&gt; &lt;option value = "1968"&gt; 1968 &lt;/ option&gt; &lt;option value = "1967"&gt; 1967 &lt;/ option&gt; &lt;option value = "1966 "&gt; 1966 &lt;/ option&gt; &lt;option value =" 1965 "&gt; 1965 &lt;/ option&gt; &lt;option value =" 1964 "&gt; 1964 &lt;/ option&gt; &lt;option value =" 1963 "&gt; 1963 &lt;/ option&gt; &lt;option value = "1962"&gt; 1962 &lt;/ option&gt; &lt;option value = "1961"&gt; 1961 &lt;/ option&gt; &lt;option value = "1960"&gt; 1960 &lt;/ op tion&gt; &lt;option value = "1959"&gt; 1959 &lt;/ option&gt; &lt;option value = "1958"&gt; 1958 &lt;/ option&gt; &lt;option value = "1957"&gt; 1957 &lt;/ option&gt; &lt;option value = "1956"&gt; 1956 &lt;/ option&gt; &lt;option value = "1955"&gt; 1955 &lt;/ option&gt; &lt;option value = "1954"&gt; 1954 &lt;/ option&gt; &lt;option value = "1953"&gt; 1953 &lt;/ option&gt; &lt;option value = "1952" &gt; 1952 &lt;/ option&gt; &lt;option value = "1951"&gt; 1951 &lt;/ option&gt; &lt;option value = "1950"&gt; 1950 &lt;/ option&gt; &lt;option value = "1949"&gt; 1949 &lt;/ option&gt; &lt;option value = " 1948 "&gt; 1948 &lt;/ option&gt; &lt;option value =" 1947 "&gt; 1947 &lt;/ option&gt; &lt;option value =" 1946 "&gt; 1946 &lt;/ option&gt; &lt;option value =" 1945 "&gt; 1945 &lt;/ option&gt; &lt;value option = "1944"&gt; 1944 &lt;/ option&gt; &lt;option value = "1943"&gt; 1943 &lt;/ option&gt; &lt;option value = "1942"&gt; 1942 &lt;/ option&gt; &lt;option value = "1941"&gt; 1941 &lt;/ option&gt; &lt; option value = "1940"&gt; 1940 &lt;/ option&gt; &lt;option value = "1939"&gt; 1939 &lt;/ option&gt; &lt;option value = "1938"&gt; 1938 &lt;/ option&gt; &lt;option value = "1937"&gt; 1937 &lt;/ option &gt; &lt;option value = "1936"&gt; 1936 &lt;/ option&gt; &lt;option value = "1935"&gt; 1935 &lt;/ option&gt; &lt;option value = "1934"&gt; 1934 &lt;/ option&gt; &lt;option value = "1933"&gt; 1933 &lt; / option&gt; &lt;option value = "1932"&gt; 1932 &lt;/ option&gt; &lt;option value = "1931"&gt; 1931 &lt;/ option&gt; &lt;option v alue = "1930"&gt; 1930 &lt;/ option&gt; &lt;option value = "1929"&gt; 1929 &lt;/ option&gt; &lt;option value = "1928"&gt; 1928 &lt;/ option&gt; &lt;option value = "1927"&gt; 1927 &lt;/ option&gt; &lt;option value = "1926"&gt; 1926 &lt;/ option&gt; &lt;option value = "1925"&gt; 1925 &lt;/ option&gt; &lt;option value = "1924"&gt; 1924 &lt;/ option&gt; &lt;option value = "1923"&gt; 1923 &lt;/ option&gt; &lt;option value = "1922"&gt; 1922 &lt;/ option&gt; &lt;option value = "1921"&gt; 1921 &lt;/ option&gt; &lt;option value = "1920"&gt; 1920 &lt;/ option&gt; &lt;option value = "1919"&gt; 1919 &lt;/ option&gt; &lt;option value = "1918"&gt; 1918 &lt;/ option&gt; &lt;option value = "1917"&gt; 1917 &lt;/ option&gt; &lt;option value = "1916"&gt; 1916 &lt;/ option&gt; &lt;option value = "1915" &gt; 1915 &lt;/ option&gt; &lt;option value = "1914"&gt; 1914 &lt;/ option&gt; &lt;option value = "1913"&gt; 1913 &lt;/ option&gt; &lt;option value = "1912"&gt; 1912 &lt;/ option&gt; &lt;option value = " 1911 "&gt; 1911 &lt;/ option&gt; &lt;option value =" 1910 "&gt; 1910 &lt;/ option&gt; &lt;option value =" 1909 "&gt; 1909 &lt;/ option&gt; &lt;option value =" 1908 "&gt; 1908 &lt;/ option&gt; &lt;value option = "1907"&gt; 1907 &lt;/ option&gt; &lt;option value = "1906"&gt; 1906 &lt;/ option&gt; &lt;option value = "1905"&gt; 1905 &lt;/ option&gt; &lt;option value = "1904"&gt; 1904 &lt;/ option&gt; &lt; option value = "1903"&gt; 1903 &lt;/ option&gt; &lt;option value = "1902"&gt; 1902 &lt;/ option&gt; &lt;option value = "1901"&gt; 19 01 &lt;/ option&gt; &lt;option value = "1900"&gt; 1900 &lt;/ option&gt; &lt;/ select&gt; &lt;div tabindex = "- 1" class = "airy-age-gate-submit airy-submit-button airy airy-submit- disabled "&gt; Submit &lt;/ div&gt; &lt;/ div&gt; &lt;/ div&gt; &lt;/ div&gt; &lt;/ div&gt; &lt;/ div&gt; &lt;div tabindex =" - 1 "class =" airy-install-flash-dialog airy-stage airy -vertical-centering-table-dialog airy airy-denied "style =" opacity: 0; visibility: hidden; "&gt; &lt;div tabindex =" - 1 "class =" airy-install-flash-Vertical-centering-table-cell airy-Vertical-centering-table-cell "&gt; &lt;div tabindex =" - 1 "class = "airy-Vertical-centering-wrapper airy-install-flash-elements-wrapper"&gt; &lt;div tabindex = "- 1" class = "airy-install-flash-elements airy-dialog-elements"&gt; &lt;div tabindex = " -1 "class =" airy-install-flash-prompt "&gt; Adobe Flash Player is required to watch this video &lt;/ div&gt; &lt;div tabindex =." - 1 "class =" airy-install-flash-button-wrapper airy -dialog-inner-elements "&gt; &lt;div tabindex =" - 1 "class =" airy-install-flash-button airy-button "&gt; install Flash Player &lt;/ div&gt; &lt;/ div&gt; &lt;/ div&gt; &lt;/ div&gt; &lt;/ div&gt; &lt;/ div&gt; &lt;div tabindex = "- 1" class = "airy-video-unsupported-dialog airy-stage airy-Vertical-centering-table airy-dialog airy-denied" style = "opacity: 0; visibility: hidden; "&gt; &lt;div tabindex =" - 1 "class =" airy-video-unsupported-Vertical-centering-table-cell airy-Vertical-centering-table-cell "&gt; &lt;div tabindex =" - 1 "class = "airy-Vertical-centering-wrapper airy-video-unsupported-elements-wrapper"&gt; &lt;div tabindex = "- 1" class = "airy-video-unsupported-elements airy-dialog-elements"&gt; &lt;div tabindex = " -1 "class =" airy-video-unsupported-prompt "&gt; &lt;/ div&gt; &lt;/ div&gt; &lt;/ div&gt; &lt;/ div&gt; &lt;/ div&gt; &lt;div tabindex =" - 1 "class =" airy-loading- spinner-stage airy-stage "&gt; &lt;div tabindex =" - 1 "class =" airy-loading-spinner-Vertical-centering-table-cell airy-Vertical-centering-table-cell "&gt; &lt;div tabindex =" - 1 "class =" airy-loading-spinner-container airy-scalable-hint-container "&gt; &lt;div tabindex =" - 1 "class =" airy-loading-spinner-dummy airy-scalable-dummy "&gt; &lt;/ div&gt; &lt; div tabindex = "- 1" class = "airy-loading-spinner airy-hint" style = "visibility: hidden;"&gt; &lt;/ div&gt; &lt;/ div&gt; &lt;/ div&gt; &lt;/ div&gt; &lt;div tabindex = "- 1 "class =" airy-ads-screen-size-toggle airy-screen-size-toggle-fullscreen airy "style =" visibility: hidden; "&gt; &lt;/ div&gt; &lt;div tabindex = "-1" class = "airy-ad-prompt-container" style = "visibility: hidden;"&gt; &lt;div tabindex = "- 1" class = "airy-ad-prompt-Vertical-centering-table-vertically airy centering-table "&gt; &lt;div tabindex =" - 1 "class =" airy-ad-prompt-Vertical-centering-table-cell airy-Vertical-centering-table-cell "&gt; &lt;div tabindex =" - 1 "class = "airy-ad-prompt-label"&gt; &lt;/ div&gt; &lt;/ div&gt; &lt;/ div&gt; &lt;/ div&gt; &lt;div tabindex = "- 1" class = "airy-ads-controls-container" style = "visibility: hidden; "&gt; &lt;div tabindex =" - 1 "class =" airy-ads-audio-toggle airy-audio-toggle airy-on "style =" visibility: hidden; "&gt; &lt;/ div&gt; &lt;div tabindex =" - 1 "class =" airy-time-remaining-label-container "&gt; &lt;div tabindex =" - 1 "class =" airy-time-remaining-Vertical-centering-table airy-Vertical-centering-table "&gt; &lt;div tabindex = "- 1" class = "airy-time-remaining-Vertical-centering-table-cell airy-Vertical-centering-table-cell"&gt; &lt;div tabindex = "- 1" class = "airy-Vertical-centering-wrapper airy-time-remaining-label-wrapper "&gt; &lt;div tabindex =" - 1 "class =" airy-time-remaining-label "style =" visibility: hidden; "&gt; &lt;/ div&gt; &lt;div tabi ndex = "- 1" class = "airy-ad-skip" style = "visibility: hidden;"&gt; &lt;/ div&gt; &lt;div tabindex = "- 1" class = "airy-ad-end" style = "visibility: hidden "&gt; &lt;/ div&gt; &lt;/ div&gt; &lt;/ div&gt; &lt;/ div&gt; &lt;/ div&gt; &lt;div tabindex =" - 1 "class =" airy-learn-more "style =" visibility: hidden; "&gt; &lt;/ div&gt; &lt;/ div&gt; &lt;div tabindex = "- 1" class = "airy-play-toggle-hint-stage airy-stage airy-cursor"&gt; &lt;div tabindex = "- 1" class = "airy-play -toggle-hint-Vertical-centering-table-cell airy-Vertical-centering-table-cell airy-cursor "&gt; &lt;div tabindex =" - 1 "class =" airy-play-toggle-hint-container airy-scalable- Hint-container "&gt; &lt;div tabindex =" - 1 "class =" airy-play-toggle-hint-dummy airy-scalable-dummy "&gt; &lt;/ div&gt; &lt;div tabindex =" - 1 "class =" airy-play -toggle-hint hint airy-airy-play-hint "style =" opacity: 1; visibility: visible; "&gt; &lt;/ div&gt; &lt;/ div&gt; &lt;/ div&gt; &lt;/ div&gt; &lt;div tabindex =" - 1 "class =" airy-replay-hint-stage airy-stage "style =" visibility: hidden ; "&gt; &lt;div tabindex =" - 1 "class =" airy-replay-hint-Vertical-centering-table-cell airy-Vertical-centering-table-cell airy-cursor "&gt; &lt;div tabindex =" - 1 "class = "airy-replay-hint-container airy-scalable-hint-container"&gt; &lt;div tabindex = "- 1" class = "airy-replay-hint-dummy airy-scalable-dummy"&gt; &lt;/ div&gt; &lt;div tabindex = "- 1" class = "airy-replay-hint airy-hint"&gt; &lt;/ div&gt; &lt;/ div&gt; &lt;/ div&gt; &lt;/ div&gt; &lt;div tabindex = "- 1" class = "airy-autoplay-hint -stage airy-stage "style =" visibility: hidden; "&gt; &lt;div tabindex =" - 1 "class =" airy-autoplay-hint-Vertical-centering-table-cell airy-Vertical-centering-table-cell airy- cursor "&gt; &lt;div tabindex =" - 1 "class =" autoplay airy-airy-hint-container-scalable-hint-container "&gt; &lt;div tabindex =" - 1 "class =" airy-autoplay-hint-dummy airy- scalable-dummy "&gt; &lt;/ div&gt; &lt;/ div&gt; &lt;/ div&gt; &lt;/ div&gt; &lt;/ div&gt; &lt;/ div&gt; &lt;input type =" hidden "name =" "value =" https: // images-eu .ssl-images-amazon.com / images / I / B1izqZwp-6S.mp4 "Class =" video-url "&gt; &lt;input type =" hidden "name =" "value =" https://images-eu.ssl-images-amazon.com/images/I/81HD7yPZM2S.png "class =" video-slate-img-url "&gt; &amp; nbsp; is a pretty mini backpack, which I like very much fits pocket</v>
      </c>
    </row>
    <row r="457">
      <c r="A457" s="1">
        <v>5.0</v>
      </c>
      <c r="B457" s="1" t="s">
        <v>456</v>
      </c>
      <c r="C457" t="str">
        <f>IFERROR(__xludf.DUMMYFUNCTION("GOOGLETRANSLATE(B457, ""es"", ""en"")"),"Better than expected quality product. It is presented in a case with instruction manual and warranty. Good finishes, and so far works perfectly without delay or advance the time")</f>
        <v>Better than expected quality product. It is presented in a case with instruction manual and warranty. Good finishes, and so far works perfectly without delay or advance the time</v>
      </c>
    </row>
    <row r="458">
      <c r="A458" s="1">
        <v>5.0</v>
      </c>
      <c r="B458" s="1" t="s">
        <v>457</v>
      </c>
      <c r="C458" t="str">
        <f>IFERROR(__xludf.DUMMYFUNCTION("GOOGLETRANSLATE(B458, ""es"", ""en"")"),"VERY GOOD IS VITAL TODAY TO TAKE WITH YOU THE CAMERA DIGITAL PHOTO AND A MEMORY CARD LIKE THIS TWO IN TWO TO BE ABLE TO TAKE WITH YOU ALL THAT YOUR EYES DECIDE WHAT IS INTERESTING FOR YOU AND YOUR NETWORK OF FRIENDS WITH THAT share your life .TARJETA MEMO"&amp;"RY 64GB ""Many hours of good memories PLACES MARAVILLOSOS STATES TO LIFE FOREVER .-"" .- G R A T I A ​​S")</f>
        <v>VERY GOOD IS VITAL TODAY TO TAKE WITH YOU THE CAMERA DIGITAL PHOTO AND A MEMORY CARD LIKE THIS TWO IN TWO TO BE ABLE TO TAKE WITH YOU ALL THAT YOUR EYES DECIDE WHAT IS INTERESTING FOR YOU AND YOUR NETWORK OF FRIENDS WITH THAT share your life .TARJETA MEMORY 64GB "Many hours of good memories PLACES MARAVILLOSOS STATES TO LIFE FOREVER .-" .- G R A T I A ​​S</v>
      </c>
    </row>
    <row r="459">
      <c r="A459" s="1">
        <v>5.0</v>
      </c>
      <c r="B459" s="1" t="s">
        <v>458</v>
      </c>
      <c r="C459" t="str">
        <f>IFERROR(__xludf.DUMMYFUNCTION("GOOGLETRANSLATE(B459, ""es"", ""en"")"),"All great works. Good quality. I've used it a few times and going great. Simply plug it into your laptop and get to spend slides. Windows makes installation in seconds. It is very useful to bring the tab to attach it to your pocket and that result as a ba"&amp;"llpoint pen. You can magrearlo at the conference as if such were. The perfect pointer, not dazzles as more powerful than if the room is a bit dark, shine much more than annoying and counterproductive resulting dispositive. And the materials seem of good q"&amp;"uality, so great.")</f>
        <v>All great works. Good quality. I've used it a few times and going great. Simply plug it into your laptop and get to spend slides. Windows makes installation in seconds. It is very useful to bring the tab to attach it to your pocket and that result as a ballpoint pen. You can magrearlo at the conference as if such were. The perfect pointer, not dazzles as more powerful than if the room is a bit dark, shine much more than annoying and counterproductive resulting dispositive. And the materials seem of good quality, so great.</v>
      </c>
    </row>
    <row r="460">
      <c r="A460" s="1">
        <v>5.0</v>
      </c>
      <c r="B460" s="1" t="s">
        <v>459</v>
      </c>
      <c r="C460" t="str">
        <f>IFERROR(__xludf.DUMMYFUNCTION("GOOGLETRANSLATE(B460, ""es"", ""en"")"),"Battery length I bought these headphones for use at work. The truth that moment very happy with her performance. The battery gives me full shift (8 hours) and are very comfortable to be worn. They bring different sizes to suit the ear, according to each p"&amp;"erson. The sound quality very good, very good bass. Very pleased summary")</f>
        <v>Battery length I bought these headphones for use at work. The truth that moment very happy with her performance. The battery gives me full shift (8 hours) and are very comfortable to be worn. They bring different sizes to suit the ear, according to each person. The sound quality very good, very good bass. Very pleased summary</v>
      </c>
    </row>
    <row r="461">
      <c r="A461" s="1">
        <v>5.0</v>
      </c>
      <c r="B461" s="1" t="s">
        <v>460</v>
      </c>
      <c r="C461" t="str">
        <f>IFERROR(__xludf.DUMMYFUNCTION("GOOGLETRANSLATE(B461, ""es"", ""en"")"),"well Perfect")</f>
        <v>well Perfect</v>
      </c>
    </row>
    <row r="462">
      <c r="A462" s="1">
        <v>5.0</v>
      </c>
      <c r="B462" s="1" t="s">
        <v>461</v>
      </c>
      <c r="C462" t="str">
        <f>IFERROR(__xludf.DUMMYFUNCTION("GOOGLETRANSLATE(B462, ""es"", ""en"")"),"excellent excellent")</f>
        <v>excellent excellent</v>
      </c>
    </row>
    <row r="463">
      <c r="A463" s="1">
        <v>5.0</v>
      </c>
      <c r="B463" s="1" t="s">
        <v>462</v>
      </c>
      <c r="C463" t="str">
        <f>IFERROR(__xludf.DUMMYFUNCTION("GOOGLETRANSLATE(B463, ""es"", ""en"")"),"Aromas I bought this nice box with 8 cans of essential oils, each of a different flavor and as I usually use a humidifier to the changing'm not tired of the same flavor every day. I put some drops in water and the leaves turn aromatized steam.")</f>
        <v>Aromas I bought this nice box with 8 cans of essential oils, each of a different flavor and as I usually use a humidifier to the changing'm not tired of the same flavor every day. I put some drops in water and the leaves turn aromatized steam.</v>
      </c>
    </row>
    <row r="464">
      <c r="A464" s="1">
        <v>5.0</v>
      </c>
      <c r="B464" s="1" t="s">
        <v>463</v>
      </c>
      <c r="C464" t="str">
        <f>IFERROR(__xludf.DUMMYFUNCTION("GOOGLETRANSLATE(B464, ""es"", ""en"")"),"Recomendables are great! Support is good for low-impact sport, by giving read reviews and asked for a size much less than I am and remain great, so I recommend ordering 2 sizes smaller than you usually use")</f>
        <v>Recomendables are great! Support is good for low-impact sport, by giving read reviews and asked for a size much less than I am and remain great, so I recommend ordering 2 sizes smaller than you usually use</v>
      </c>
    </row>
    <row r="465">
      <c r="A465" s="1">
        <v>5.0</v>
      </c>
      <c r="B465" s="1" t="s">
        <v>464</v>
      </c>
      <c r="C465" t="str">
        <f>IFERROR(__xludf.DUMMYFUNCTION("GOOGLETRANSLATE(B465, ""es"", ""en"")"),"It is just what you'd expect from a midi cable.")</f>
        <v>It is just what you'd expect from a midi cable.</v>
      </c>
    </row>
    <row r="466">
      <c r="A466" s="1">
        <v>5.0</v>
      </c>
      <c r="B466" s="1" t="s">
        <v>465</v>
      </c>
      <c r="C466" t="str">
        <f>IFERROR(__xludf.DUMMYFUNCTION("GOOGLETRANSLATE(B466, ""es"", ""en"")"),"perfect all ok")</f>
        <v>perfect all ok</v>
      </c>
    </row>
    <row r="467">
      <c r="A467" s="1">
        <v>5.0</v>
      </c>
      <c r="B467" s="1" t="s">
        <v>466</v>
      </c>
      <c r="C467" t="str">
        <f>IFERROR(__xludf.DUMMYFUNCTION("GOOGLETRANSLATE(B467, ""es"", ""en"")"),"The classics never fail. Casio handles a simple, classic and useful. I took the lead 20 minutes the first week, but I suspect it had to do something accidentally, because since I came back to put in perfect working hour.")</f>
        <v>The classics never fail. Casio handles a simple, classic and useful. I took the lead 20 minutes the first week, but I suspect it had to do something accidentally, because since I came back to put in perfect working hour.</v>
      </c>
    </row>
    <row r="468">
      <c r="A468" s="1">
        <v>5.0</v>
      </c>
      <c r="B468" s="1" t="s">
        <v>467</v>
      </c>
      <c r="C468" t="str">
        <f>IFERROR(__xludf.DUMMYFUNCTION("GOOGLETRANSLATE(B468, ""es"", ""en"")"),"Ok right")</f>
        <v>Ok right</v>
      </c>
    </row>
    <row r="469">
      <c r="A469" s="1">
        <v>5.0</v>
      </c>
      <c r="B469" s="1" t="s">
        <v>468</v>
      </c>
      <c r="C469" t="str">
        <f>IFERROR(__xludf.DUMMYFUNCTION("GOOGLETRANSLATE(B469, ""es"", ""en"")"),"Practical and good material has enough weight to dispense the heat without having to juggle with both hands, although it should be slightly secure the bracket.")</f>
        <v>Practical and good material has enough weight to dispense the heat without having to juggle with both hands, although it should be slightly secure the bracket.</v>
      </c>
    </row>
    <row r="470">
      <c r="A470" s="1">
        <v>5.0</v>
      </c>
      <c r="B470" s="1" t="s">
        <v>469</v>
      </c>
      <c r="C470" t="str">
        <f>IFERROR(__xludf.DUMMYFUNCTION("GOOGLETRANSLATE(B470, ""es"", ""en"")"),"Just an absolute joy to say they are the best and most comfortable shoes I've ever had. They fit my wide foot perfectly. I have problems with the Achilles' heel when I played football and I are great because they have a high heel and are very fluffy. Reco"&amp;"mmended to 100%.")</f>
        <v>Just an absolute joy to say they are the best and most comfortable shoes I've ever had. They fit my wide foot perfectly. I have problems with the Achilles' heel when I played football and I are great because they have a high heel and are very fluffy. Recommended to 100%.</v>
      </c>
    </row>
    <row r="471">
      <c r="A471" s="1">
        <v>5.0</v>
      </c>
      <c r="B471" s="1" t="s">
        <v>470</v>
      </c>
      <c r="C471" t="str">
        <f>IFERROR(__xludf.DUMMYFUNCTION("GOOGLETRANSLATE(B471, ""es"", ""en"")"),"Tal Cual like the photos I liked the shirt fabric, something negative is it's a bit long, but looks great tucked into his pants!")</f>
        <v>Tal Cual like the photos I liked the shirt fabric, something negative is it's a bit long, but looks great tucked into his pants!</v>
      </c>
    </row>
    <row r="472">
      <c r="A472" s="1">
        <v>5.0</v>
      </c>
      <c r="B472" s="1" t="s">
        <v>471</v>
      </c>
      <c r="C472" t="str">
        <f>IFERROR(__xludf.DUMMYFUNCTION("GOOGLETRANSLATE(B472, ""es"", ""en"")"),"very good right all, I have used with two children and last long, are of good quality and meet expectations. worth the money I paid.")</f>
        <v>very good right all, I have used with two children and last long, are of good quality and meet expectations. worth the money I paid.</v>
      </c>
    </row>
    <row r="473">
      <c r="A473" s="1">
        <v>5.0</v>
      </c>
      <c r="B473" s="1" t="s">
        <v>238</v>
      </c>
      <c r="C473" t="str">
        <f>IFERROR(__xludf.DUMMYFUNCTION("GOOGLETRANSLATE(B473, ""es"", ""en"")"),"perfect perfect")</f>
        <v>perfect perfect</v>
      </c>
    </row>
    <row r="474">
      <c r="A474" s="1">
        <v>2.0</v>
      </c>
      <c r="B474" s="1" t="s">
        <v>472</v>
      </c>
      <c r="C474" t="str">
        <f>IFERROR(__xludf.DUMMYFUNCTION("GOOGLETRANSLATE(B474, ""es"", ""en"")"),"I bought very large size XS, and it is huge")</f>
        <v>I bought very large size XS, and it is huge</v>
      </c>
    </row>
    <row r="475">
      <c r="A475" s="1">
        <v>3.0</v>
      </c>
      <c r="B475" s="1" t="s">
        <v>473</v>
      </c>
      <c r="C475" t="str">
        <f>IFERROR(__xludf.DUMMYFUNCTION("GOOGLETRANSLATE(B475, ""es"", ""en"")"),"Bonitisimos larger than expected, they are heavy")</f>
        <v>Bonitisimos larger than expected, they are heavy</v>
      </c>
    </row>
    <row r="476">
      <c r="A476" s="1">
        <v>1.0</v>
      </c>
      <c r="B476" s="1" t="s">
        <v>474</v>
      </c>
      <c r="C476" t="str">
        <f>IFERROR(__xludf.DUMMYFUNCTION("GOOGLETRANSLATE(B476, ""es"", ""en"")"),"are not originals are not originals. They do not adapt well to the whole, with some movement disengages from the pin and the terminal continues to send messages that connect an original.")</f>
        <v>are not originals are not originals. They do not adapt well to the whole, with some movement disengages from the pin and the terminal continues to send messages that connect an original.</v>
      </c>
    </row>
    <row r="477">
      <c r="A477" s="1">
        <v>1.0</v>
      </c>
      <c r="B477" s="1" t="s">
        <v>475</v>
      </c>
      <c r="C477" t="str">
        <f>IFERROR(__xludf.DUMMYFUNCTION("GOOGLETRANSLATE(B477, ""es"", ""en"")"),"Lousy From day worked very slow. A month later it used 3 times when they had to copy some media, no longer works and do not recognize the devices.")</f>
        <v>Lousy From day worked very slow. A month later it used 3 times when they had to copy some media, no longer works and do not recognize the devices.</v>
      </c>
    </row>
    <row r="478">
      <c r="A478" s="1">
        <v>4.0</v>
      </c>
      <c r="B478" s="1" t="s">
        <v>476</v>
      </c>
      <c r="C478" t="str">
        <f>IFERROR(__xludf.DUMMYFUNCTION("GOOGLETRANSLATE(B478, ""es"", ""en"")"),"Good buy. Very simple to program, uncomplicated, it seems sturdy and comes with screws and holes for anchoring. Quality and price, good.")</f>
        <v>Good buy. Very simple to program, uncomplicated, it seems sturdy and comes with screws and holes for anchoring. Quality and price, good.</v>
      </c>
    </row>
    <row r="479">
      <c r="A479" s="1">
        <v>4.0</v>
      </c>
      <c r="B479" s="1" t="s">
        <v>477</v>
      </c>
      <c r="C479" t="str">
        <f>IFERROR(__xludf.DUMMYFUNCTION("GOOGLETRANSLATE(B479, ""es"", ""en"")"),"Pretty pretty pretty and they do not weigh much.")</f>
        <v>Pretty pretty pretty and they do not weigh much.</v>
      </c>
    </row>
    <row r="480">
      <c r="A480" s="1">
        <v>4.0</v>
      </c>
      <c r="B480" s="1" t="s">
        <v>478</v>
      </c>
      <c r="C480" t="str">
        <f>IFERROR(__xludf.DUMMYFUNCTION("GOOGLETRANSLATE(B480, ""es"", ""en"")"),"In my case they carved more than normal sneakers are fine in design and quality but I left me pretty big 37, I usually use this number.")</f>
        <v>In my case they carved more than normal sneakers are fine in design and quality but I left me pretty big 37, I usually use this number.</v>
      </c>
    </row>
    <row r="481">
      <c r="A481" s="1">
        <v>4.0</v>
      </c>
      <c r="B481" s="1" t="s">
        <v>479</v>
      </c>
      <c r="C481" t="str">
        <f>IFERROR(__xludf.DUMMYFUNCTION("GOOGLETRANSLATE(B481, ""es"", ""en"")"),"This molt bé M'ha agradat that també is pogui fer serve the cotxe")</f>
        <v>This molt bé M'ha agradat that també is pogui fer serve the cotxe</v>
      </c>
    </row>
    <row r="482">
      <c r="A482" s="1">
        <v>4.0</v>
      </c>
      <c r="B482" s="1" t="s">
        <v>480</v>
      </c>
      <c r="C482" t="str">
        <f>IFERROR(__xludf.DUMMYFUNCTION("GOOGLETRANSLATE(B482, ""es"", ""en"")"),"DISAPPOINTED Buenas tardes. I bought two units of this model, generally happy, but hoping to have updates that improve their capabilities, which ""evolved"" as we see in other brands happens every few months. To this day there has been none, nor as promis"&amp;"ed to the mapping for more than one plant, nor any who added any of the multiple possibilities we see these machines in other brands, cleaning modes, etc. A SALUTE TO ALL")</f>
        <v>DISAPPOINTED Buenas tardes. I bought two units of this model, generally happy, but hoping to have updates that improve their capabilities, which "evolved" as we see in other brands happens every few months. To this day there has been none, nor as promised to the mapping for more than one plant, nor any who added any of the multiple possibilities we see these machines in other brands, cleaning modes, etc. A SALUTE TO ALL</v>
      </c>
    </row>
    <row r="483">
      <c r="A483" s="1">
        <v>5.0</v>
      </c>
      <c r="B483" s="1" t="s">
        <v>481</v>
      </c>
      <c r="C483" t="str">
        <f>IFERROR(__xludf.DUMMYFUNCTION("GOOGLETRANSLATE(B483, ""es"", ""en"")"),"Just what I needed it fair that I was looking for")</f>
        <v>Just what I needed it fair that I was looking for</v>
      </c>
    </row>
    <row r="484">
      <c r="A484" s="1">
        <v>5.0</v>
      </c>
      <c r="B484" s="1" t="s">
        <v>482</v>
      </c>
      <c r="C484" t="str">
        <f>IFERROR(__xludf.DUMMYFUNCTION("GOOGLETRANSLATE(B484, ""es"", ""en"")"),"👍👍👍 perfect !! It's great, my 8 year old daughter loves it. Good buy. 👍👍👍")</f>
        <v>👍👍👍 perfect !! It's great, my 8 year old daughter loves it. Good buy. 👍👍👍</v>
      </c>
    </row>
    <row r="485">
      <c r="A485" s="1">
        <v>5.0</v>
      </c>
      <c r="B485" s="1" t="s">
        <v>483</v>
      </c>
      <c r="C485" t="str">
        <f>IFERROR(__xludf.DUMMYFUNCTION("GOOGLETRANSLATE(B485, ""es"", ""en"")"),"Very good boots high quality workmanship and materials. They look great with jeans. I found them at half price in store so happy. They are not as thought but for winter are perfect for mid-season")</f>
        <v>Very good boots high quality workmanship and materials. They look great with jeans. I found them at half price in store so happy. They are not as thought but for winter are perfect for mid-season</v>
      </c>
    </row>
    <row r="486">
      <c r="A486" s="1">
        <v>5.0</v>
      </c>
      <c r="B486" s="1" t="s">
        <v>484</v>
      </c>
      <c r="C486" t="str">
        <f>IFERROR(__xludf.DUMMYFUNCTION("GOOGLETRANSLATE(B486, ""es"", ""en"")"),"Buenissimo I was not convinced to buy it because it had the movie many times and thought that would no longer be emocinante history. No doubt I was wrong. I finished in 3 days. It was like back has to get into the story of the movie but with more scenes a"&amp;"nd everything more detailed. In the movie they skip some things.")</f>
        <v>Buenissimo I was not convinced to buy it because it had the movie many times and thought that would no longer be emocinante history. No doubt I was wrong. I finished in 3 days. It was like back has to get into the story of the movie but with more scenes and everything more detailed. In the movie they skip some things.</v>
      </c>
    </row>
    <row r="487">
      <c r="A487" s="1">
        <v>5.0</v>
      </c>
      <c r="B487" s="1" t="s">
        <v>485</v>
      </c>
      <c r="C487" t="str">
        <f>IFERROR(__xludf.DUMMYFUNCTION("GOOGLETRANSLATE(B487, ""es"", ""en"")"),"Best Value. The best value for money. I tried the xiaomi and future Enacfire plus and Enacfire e-18, the latter two top rated on Amazon, and xiaomi the like, all I stay with them, especially for the size, very small, the future plus also they work very we"&amp;"ll but are great.")</f>
        <v>Best Value. The best value for money. I tried the xiaomi and future Enacfire plus and Enacfire e-18, the latter two top rated on Amazon, and xiaomi the like, all I stay with them, especially for the size, very small, the future plus also they work very well but are great.</v>
      </c>
    </row>
    <row r="488">
      <c r="A488" s="1">
        <v>5.0</v>
      </c>
      <c r="B488" s="1" t="s">
        <v>486</v>
      </c>
      <c r="C488" t="str">
        <f>IFERROR(__xludf.DUMMYFUNCTION("GOOGLETRANSLATE(B488, ""es"", ""en"")"),"Daisy Chain and Snowflake Pendant in Sterling Silver Made in 925 sterling silver with a chain length: 45-50 cm has a rhodium finish that will not rust. The pendant is a snowflake, with 5A Zirconia. It has a size 14.48 * 12.59 mm and weighing 3.6 g. I thou"&amp;"ght it was bigger on the pictures, but really the chain is finite and quite tiny snowflake. I am delighted. I bought it as a gift for my partner and has great resemblance, it has been in love with her and that was my intention. With what I can only say GO"&amp;"AL ACHIEVED. It has been a wonderful lesson and I'm repeating myself, when I have some justification for another gift. I am very happy with the manufacturer and seller that motivated me to make the purchase. I attached some pictures to you appreciate: The"&amp;" perfect packaging. Lovely gift box. And delicacy in the good work of all those who have tried my order and product. Clearly I repeat and repeat every few minutes.")</f>
        <v>Daisy Chain and Snowflake Pendant in Sterling Silver Made in 925 sterling silver with a chain length: 45-50 cm has a rhodium finish that will not rust. The pendant is a snowflake, with 5A Zirconia. It has a size 14.48 * 12.59 mm and weighing 3.6 g. I thought it was bigger on the pictures, but really the chain is finite and quite tiny snowflake. I am delighted. I bought it as a gift for my partner and has great resemblance, it has been in love with her and that was my intention. With what I can only say GOAL ACHIEVED. It has been a wonderful lesson and I'm repeating myself, when I have some justification for another gift. I am very happy with the manufacturer and seller that motivated me to make the purchase. I attached some pictures to you appreciate: The perfect packaging. Lovely gift box. And delicacy in the good work of all those who have tried my order and product. Clearly I repeat and repeat every few minutes.</v>
      </c>
    </row>
    <row r="489">
      <c r="A489" s="1">
        <v>5.0</v>
      </c>
      <c r="B489" s="1" t="s">
        <v>487</v>
      </c>
      <c r="C489" t="str">
        <f>IFERROR(__xludf.DUMMYFUNCTION("GOOGLETRANSLATE(B489, ""es"", ""en"")"),"Needed at home fulfills its function")</f>
        <v>Needed at home fulfills its function</v>
      </c>
    </row>
    <row r="490">
      <c r="A490" s="1">
        <v>5.0</v>
      </c>
      <c r="B490" s="1" t="s">
        <v>238</v>
      </c>
      <c r="C490" t="str">
        <f>IFERROR(__xludf.DUMMYFUNCTION("GOOGLETRANSLATE(B490, ""es"", ""en"")"),"perfect perfect")</f>
        <v>perfect perfect</v>
      </c>
    </row>
    <row r="491">
      <c r="A491" s="1">
        <v>5.0</v>
      </c>
      <c r="B491" s="1" t="s">
        <v>488</v>
      </c>
      <c r="C491" t="str">
        <f>IFERROR(__xludf.DUMMYFUNCTION("GOOGLETRANSLATE(B491, ""es"", ""en"")"),"It works well and offer worth")</f>
        <v>It works well and offer worth</v>
      </c>
    </row>
    <row r="492">
      <c r="A492" s="1">
        <v>5.0</v>
      </c>
      <c r="B492" s="1" t="s">
        <v>489</v>
      </c>
      <c r="C492" t="str">
        <f>IFERROR(__xludf.DUMMYFUNCTION("GOOGLETRANSLATE(B492, ""es"", ""en"")"),"CASIO = QUALITY I arrived a day later, rare in Amazon. Enpaquetado came well protected in a aluminum case, was out and give the day, month, right time as given light. Battery butt and without a scratch. The book also comes instructions in Spanish and that"&amp;" is welcome. It is very easy to handle and 2 times a day is updated when at least 2 times in the South. As usual in the Casio alarms sound low that it could have currado in a modern watch as this. As I have said repeatedly button operation is difficult be"&amp;"cause it does not project even has its positive side is more difficult to damage and not the entire day driving them is a lesser evil bone is. In light of the clock is powerful and lasts a couple of seconds each time given to the button, enough to see the"&amp;" time. The clock is that it is robust despite the rather ordinary / small measures. It is lightweight and more if you're used to watch hands like me. You can take a shower, go to the quiet pool because it is resistant to water and attest. In difinitiva if"&amp;" you are looking for a tough, solar clock, and it is not great this no doubt.")</f>
        <v>CASIO = QUALITY I arrived a day later, rare in Amazon. Enpaquetado came well protected in a aluminum case, was out and give the day, month, right time as given light. Battery butt and without a scratch. The book also comes instructions in Spanish and that is welcome. It is very easy to handle and 2 times a day is updated when at least 2 times in the South. As usual in the Casio alarms sound low that it could have currado in a modern watch as this. As I have said repeatedly button operation is difficult because it does not project even has its positive side is more difficult to damage and not the entire day driving them is a lesser evil bone is. In light of the clock is powerful and lasts a couple of seconds each time given to the button, enough to see the time. The clock is that it is robust despite the rather ordinary / small measures. It is lightweight and more if you're used to watch hands like me. You can take a shower, go to the quiet pool because it is resistant to water and attest. In difinitiva if you are looking for a tough, solar clock, and it is not great this no doubt.</v>
      </c>
    </row>
    <row r="493">
      <c r="A493" s="1">
        <v>5.0</v>
      </c>
      <c r="B493" s="1" t="s">
        <v>490</v>
      </c>
      <c r="C493" t="str">
        <f>IFERROR(__xludf.DUMMYFUNCTION("GOOGLETRANSLATE(B493, ""es"", ""en"")"),"Comfortable and easy to clean Love, they are very comfortable and easy to clean. Shipping as always perfect. Important to look at the average numbers, I chock 42.5, I had previously asked for 43 but could change smoothly and comfortably you collect them a"&amp;"t home.")</f>
        <v>Comfortable and easy to clean Love, they are very comfortable and easy to clean. Shipping as always perfect. Important to look at the average numbers, I chock 42.5, I had previously asked for 43 but could change smoothly and comfortably you collect them at home.</v>
      </c>
    </row>
    <row r="494">
      <c r="A494" s="1">
        <v>5.0</v>
      </c>
      <c r="B494" s="1" t="s">
        <v>491</v>
      </c>
      <c r="C494" t="str">
        <f>IFERROR(__xludf.DUMMYFUNCTION("GOOGLETRANSLATE(B494, ""es"", ""en"")"),"Genial is much better when it arrives! Startled for good!")</f>
        <v>Genial is much better when it arrives! Startled for good!</v>
      </c>
    </row>
    <row r="495">
      <c r="A495" s="1">
        <v>5.0</v>
      </c>
      <c r="B495" s="1" t="s">
        <v>492</v>
      </c>
      <c r="C495" t="str">
        <f>IFERROR(__xludf.DUMMYFUNCTION("GOOGLETRANSLATE(B495, ""es"", ""en"")"),"The lasting odor tried yesterday for the first time and I love, lasting smell with about 5 drops enough, bienen box.")</f>
        <v>The lasting odor tried yesterday for the first time and I love, lasting smell with about 5 drops enough, bienen box.</v>
      </c>
    </row>
    <row r="496">
      <c r="A496" s="1">
        <v>5.0</v>
      </c>
      <c r="B496" s="1" t="s">
        <v>493</v>
      </c>
      <c r="C496" t="str">
        <f>IFERROR(__xludf.DUMMYFUNCTION("GOOGLETRANSLATE(B496, ""es"", ""en"")"),"Stylish I liked but I had to return it because the pants I was fine, but the jacket size M is very tight and I was very small.")</f>
        <v>Stylish I liked but I had to return it because the pants I was fine, but the jacket size M is very tight and I was very small.</v>
      </c>
    </row>
    <row r="497">
      <c r="A497" s="1">
        <v>5.0</v>
      </c>
      <c r="B497" s="1" t="s">
        <v>494</v>
      </c>
      <c r="C497" t="str">
        <f>IFERROR(__xludf.DUMMYFUNCTION("GOOGLETRANSLATE(B497, ""es"", ""en"")"),"Good for any portable SSD is noted change response speed and execution on my laptop, a MacBook pro 2012, a pleasure to work with now. Let's see how long that way.")</f>
        <v>Good for any portable SSD is noted change response speed and execution on my laptop, a MacBook pro 2012, a pleasure to work with now. Let's see how long that way.</v>
      </c>
    </row>
    <row r="498">
      <c r="A498" s="1">
        <v>5.0</v>
      </c>
      <c r="B498" s="1" t="s">
        <v>495</v>
      </c>
      <c r="C498" t="str">
        <f>IFERROR(__xludf.DUMMYFUNCTION("GOOGLETRANSLATE(B498, ""es"", ""en"")"),"It is big enough and good quality Mouse large enough to cover the area you use the mouse and keyboard.")</f>
        <v>It is big enough and good quality Mouse large enough to cover the area you use the mouse and keyboard.</v>
      </c>
    </row>
    <row r="499">
      <c r="A499" s="1">
        <v>5.0</v>
      </c>
      <c r="B499" s="1" t="s">
        <v>496</v>
      </c>
      <c r="C499" t="str">
        <f>IFERROR(__xludf.DUMMYFUNCTION("GOOGLETRANSLATE(B499, ""es"", ""en"")"),"Lingfeng ye love Me, I have to check on that work properly and I was hooked him, could not stop cantar.asi my daughter wants to sing every day.")</f>
        <v>Lingfeng ye love Me, I have to check on that work properly and I was hooked him, could not stop cantar.asi my daughter wants to sing every day.</v>
      </c>
    </row>
    <row r="500">
      <c r="A500" s="1">
        <v>5.0</v>
      </c>
      <c r="B500" s="1" t="s">
        <v>497</v>
      </c>
      <c r="C500" t="str">
        <f>IFERROR(__xludf.DUMMYFUNCTION("GOOGLETRANSLATE(B500, ""es"", ""en"")"),"They have enchanted me. I love the selection next. At the opening they were all tightly closed and sealed and I love the little box to have it come all well kept and tidy. I've used it to put in a humidor with few smells much droplets. It is a soft scent "&amp;"that not gets in the nose that sometimes annoying, this is perfect. It also comes a piece of paper out of oil profits. Is a wise buy, recomendadosimo.")</f>
        <v>They have enchanted me. I love the selection next. At the opening they were all tightly closed and sealed and I love the little box to have it come all well kept and tidy. I've used it to put in a humidor with few smells much droplets. It is a soft scent that not gets in the nose that sometimes annoying, this is perfect. It also comes a piece of paper out of oil profits. Is a wise buy, recomendadosimo.</v>
      </c>
    </row>
    <row r="501">
      <c r="A501" s="1">
        <v>5.0</v>
      </c>
      <c r="B501" s="1" t="s">
        <v>498</v>
      </c>
      <c r="C501" t="str">
        <f>IFERROR(__xludf.DUMMYFUNCTION("GOOGLETRANSLATE(B501, ""es"", ""en"")"),"Well I expected wue")</f>
        <v>Well I expected wue</v>
      </c>
    </row>
    <row r="502">
      <c r="A502" s="1">
        <v>2.0</v>
      </c>
      <c r="B502" s="1" t="s">
        <v>499</v>
      </c>
      <c r="C502" t="str">
        <f>IFERROR(__xludf.DUMMYFUNCTION("GOOGLETRANSLATE(B502, ""es"", ""en"")"),"Poor quality boots are not bad but are broken cords hitches on the first day")</f>
        <v>Poor quality boots are not bad but are broken cords hitches on the first day</v>
      </c>
    </row>
    <row r="503">
      <c r="A503" s="1">
        <v>3.0</v>
      </c>
      <c r="B503" s="1" t="s">
        <v>500</v>
      </c>
      <c r="C503" t="str">
        <f>IFERROR(__xludf.DUMMYFUNCTION("GOOGLETRANSLATE(B503, ""es"", ""en"")"),"Well but I had to be exchanged slippers are very cool but gives little difference size 2 numbers")</f>
        <v>Well but I had to be exchanged slippers are very cool but gives little difference size 2 numbers</v>
      </c>
    </row>
    <row r="504">
      <c r="A504" s="1">
        <v>3.0</v>
      </c>
      <c r="B504" s="1" t="s">
        <v>501</v>
      </c>
      <c r="C504" t="str">
        <f>IFERROR(__xludf.DUMMYFUNCTION("GOOGLETRANSLATE(B504, ""es"", ""en"")"),"Cheaper than the essence in small packages is not easy to use because it does not bring dropper.")</f>
        <v>Cheaper than the essence in small packages is not easy to use because it does not bring dropper.</v>
      </c>
    </row>
    <row r="505">
      <c r="A505" s="1">
        <v>1.0</v>
      </c>
      <c r="B505" s="1" t="s">
        <v>502</v>
      </c>
      <c r="C505" t="str">
        <f>IFERROR(__xludf.DUMMYFUNCTION("GOOGLETRANSLATE(B505, ""es"", ""en"")"),"Disappointed poor quality, are short, in a month or so I already broke the left ear, and that no misuse")</f>
        <v>Disappointed poor quality, are short, in a month or so I already broke the left ear, and that no misuse</v>
      </c>
    </row>
    <row r="506">
      <c r="A506" s="1">
        <v>1.0</v>
      </c>
      <c r="B506" s="1" t="s">
        <v>503</v>
      </c>
      <c r="C506" t="str">
        <f>IFERROR(__xludf.DUMMYFUNCTION("GOOGLETRANSLATE(B506, ""es"", ""en"")"),"Does not work .... does not work, nothing else put the card next to a technician came the message ... damaged SD card, phone or recognize her, and only to be restarted, the technician put the adapter that brings a PC or recognized and on top desconfiguro "&amp;"all USB ports and readers, put it on another PC and did the same, I suspect it was a fake and made some tests with positive results ""forgery"" Good thing no install it on my tablet medium / high or my phone range, if not, do not know what would have happ"&amp;"ened, if I desconfuguro poeque 2 pcs not say anything what you could have done to my devices. A been returned for these reasons.")</f>
        <v>Does not work .... does not work, nothing else put the card next to a technician came the message ... damaged SD card, phone or recognize her, and only to be restarted, the technician put the adapter that brings a PC or recognized and on top desconfiguro all USB ports and readers, put it on another PC and did the same, I suspect it was a fake and made some tests with positive results "forgery" Good thing no install it on my tablet medium / high or my phone range, if not, do not know what would have happened, if I desconfuguro poeque 2 pcs not say anything what you could have done to my devices. A been returned for these reasons.</v>
      </c>
    </row>
    <row r="507">
      <c r="A507" s="1">
        <v>1.0</v>
      </c>
      <c r="B507" s="1" t="s">
        <v>504</v>
      </c>
      <c r="C507" t="str">
        <f>IFERROR(__xludf.DUMMYFUNCTION("GOOGLETRANSLATE(B507, ""es"", ""en"")"),"Not get it to work without network cable in less than an hour sent him to return amazon for 2 reasons. The first reason is that no network cable (connect with thought put network). The second reason is I can not recognize the Mac hard drive, do not know i"&amp;"f I do something wrong but because no one Led you indicate which state is the disc that has not had to do to make it work. Probare with another brand, because I can not find how to make it work.")</f>
        <v>Not get it to work without network cable in less than an hour sent him to return amazon for 2 reasons. The first reason is that no network cable (connect with thought put network). The second reason is I can not recognize the Mac hard drive, do not know if I do something wrong but because no one Led you indicate which state is the disc that has not had to do to make it work. Probare with another brand, because I can not find how to make it work.</v>
      </c>
    </row>
    <row r="508">
      <c r="A508" s="1">
        <v>4.0</v>
      </c>
      <c r="B508" s="1" t="s">
        <v>505</v>
      </c>
      <c r="C508" t="str">
        <f>IFERROR(__xludf.DUMMYFUNCTION("GOOGLETRANSLATE(B508, ""es"", ""en"")"),"Well, for my child Good product, like photo")</f>
        <v>Well, for my child Good product, like photo</v>
      </c>
    </row>
    <row r="509">
      <c r="A509" s="1">
        <v>4.0</v>
      </c>
      <c r="B509" s="1" t="s">
        <v>506</v>
      </c>
      <c r="C509" t="str">
        <f>IFERROR(__xludf.DUMMYFUNCTION("GOOGLETRANSLATE(B509, ""es"", ""en"")"),"Okay I'm very nice, all are not of the whole round, it has shaped a bit mashed but the brightness is nice.")</f>
        <v>Okay I'm very nice, all are not of the whole round, it has shaped a bit mashed but the brightness is nice.</v>
      </c>
    </row>
    <row r="510">
      <c r="A510" s="1">
        <v>4.0</v>
      </c>
      <c r="B510" s="1" t="s">
        <v>507</v>
      </c>
      <c r="C510" t="str">
        <f>IFERROR(__xludf.DUMMYFUNCTION("GOOGLETRANSLATE(B510, ""es"", ""en"")"),"good packing tape packing tape at a very affordable price")</f>
        <v>good packing tape packing tape at a very affordable price</v>
      </c>
    </row>
    <row r="511">
      <c r="A511" s="1">
        <v>4.0</v>
      </c>
      <c r="B511" s="1" t="s">
        <v>508</v>
      </c>
      <c r="C511" t="str">
        <f>IFERROR(__xludf.DUMMYFUNCTION("GOOGLETRANSLATE(B511, ""es"", ""en"")"),"While they are fine for the price they have. Dry quickly. Waist tightened a little and leave a mark, which is the only thing I did not like much.")</f>
        <v>While they are fine for the price they have. Dry quickly. Waist tightened a little and leave a mark, which is the only thing I did not like much.</v>
      </c>
    </row>
    <row r="512">
      <c r="A512" s="1">
        <v>5.0</v>
      </c>
      <c r="B512" s="1" t="s">
        <v>509</v>
      </c>
      <c r="C512" t="str">
        <f>IFERROR(__xludf.DUMMYFUNCTION("GOOGLETRANSLATE(B512, ""es"", ""en"")"),"Super calentitas good product. Mine are pink and are monísimas")</f>
        <v>Super calentitas good product. Mine are pink and are monísimas</v>
      </c>
    </row>
    <row r="513">
      <c r="A513" s="1">
        <v>5.0</v>
      </c>
      <c r="B513" s="1" t="s">
        <v>510</v>
      </c>
      <c r="C513" t="str">
        <f>IFERROR(__xludf.DUMMYFUNCTION("GOOGLETRANSLATE(B513, ""es"", ""en"")"),"Good value for money was a gift. It works perfectly. The only thing that was wrong and I bought this instead of that comes with the table stand. very fast shipping and product quality relative to price. To start recording is great. I recommend it")</f>
        <v>Good value for money was a gift. It works perfectly. The only thing that was wrong and I bought this instead of that comes with the table stand. very fast shipping and product quality relative to price. To start recording is great. I recommend it</v>
      </c>
    </row>
    <row r="514">
      <c r="A514" s="1">
        <v>5.0</v>
      </c>
      <c r="B514" s="1" t="s">
        <v>511</v>
      </c>
      <c r="C514" t="str">
        <f>IFERROR(__xludf.DUMMYFUNCTION("GOOGLETRANSLATE(B514, ""es"", ""en"")"),"They come two packs good one, did not know. The material is good and durable, volvere to buy go great with my laminator")</f>
        <v>They come two packs good one, did not know. The material is good and durable, volvere to buy go great with my laminator</v>
      </c>
    </row>
    <row r="515">
      <c r="A515" s="1">
        <v>5.0</v>
      </c>
      <c r="B515" s="1" t="s">
        <v>512</v>
      </c>
      <c r="C515" t="str">
        <f>IFERROR(__xludf.DUMMYFUNCTION("GOOGLETRANSLATE(B515, ""es"", ""en"")"),"Good value / price'm super happy with the purchase. A sweatshirt good quality at a good price.")</f>
        <v>Good value / price'm super happy with the purchase. A sweatshirt good quality at a good price.</v>
      </c>
    </row>
    <row r="516">
      <c r="A516" s="1">
        <v>5.0</v>
      </c>
      <c r="B516" s="1" t="s">
        <v>513</v>
      </c>
      <c r="C516" t="str">
        <f>IFERROR(__xludf.DUMMYFUNCTION("GOOGLETRANSLATE(B516, ""es"", ""en"")"),"Best in town for my best bottles")</f>
        <v>Best in town for my best bottles</v>
      </c>
    </row>
    <row r="517">
      <c r="A517" s="1">
        <v>5.0</v>
      </c>
      <c r="B517" s="1" t="s">
        <v>514</v>
      </c>
      <c r="C517" t="str">
        <f>IFERROR(__xludf.DUMMYFUNCTION("GOOGLETRANSLATE(B517, ""es"", ""en"")"),"Very good product very good product. Perfectly fulfills what it promises and certainly significantly reduce colic totally recommend this product. Thank you")</f>
        <v>Very good product very good product. Perfectly fulfills what it promises and certainly significantly reduce colic totally recommend this product. Thank you</v>
      </c>
    </row>
    <row r="518">
      <c r="A518" s="1">
        <v>5.0</v>
      </c>
      <c r="B518" s="1" t="s">
        <v>515</v>
      </c>
      <c r="C518" t="str">
        <f>IFERROR(__xludf.DUMMYFUNCTION("GOOGLETRANSLATE(B518, ""es"", ""en"")"),"100 100 recommended for sound and function to meet exercise. Q better than expected. Avoids much external noise, avoiding those there q q placed on top of the ears are both me and bother me.")</f>
        <v>100 100 recommended for sound and function to meet exercise. Q better than expected. Avoids much external noise, avoiding those there q q placed on top of the ears are both me and bother me.</v>
      </c>
    </row>
    <row r="519">
      <c r="A519" s="1">
        <v>5.0</v>
      </c>
      <c r="B519" s="1" t="s">
        <v>516</v>
      </c>
      <c r="C519" t="str">
        <f>IFERROR(__xludf.DUMMYFUNCTION("GOOGLETRANSLATE(B519, ""es"", ""en"")"),"OK works fine, 100% recommended")</f>
        <v>OK works fine, 100% recommended</v>
      </c>
    </row>
    <row r="520">
      <c r="A520" s="1">
        <v>5.0</v>
      </c>
      <c r="B520" s="1" t="s">
        <v>517</v>
      </c>
      <c r="C520" t="str">
        <f>IFERROR(__xludf.DUMMYFUNCTION("GOOGLETRANSLATE(B520, ""es"", ""en"")"),"THIS WELL vastante good and cheap enough fulfills + use it professionally for interviews without much importacia")</f>
        <v>THIS WELL vastante good and cheap enough fulfills + use it professionally for interviews without much importacia</v>
      </c>
    </row>
    <row r="521">
      <c r="A521" s="1">
        <v>5.0</v>
      </c>
      <c r="B521" s="1" t="s">
        <v>518</v>
      </c>
      <c r="C521" t="str">
        <f>IFERROR(__xludf.DUMMYFUNCTION("GOOGLETRANSLATE(B521, ""es"", ""en"")"),"Clogs quality service package unfortunate clogs are very nice and are very good quality and very comfortable. As for the delivery service package unfortunate, long overdue and barias claims, a horror ...")</f>
        <v>Clogs quality service package unfortunate clogs are very nice and are very good quality and very comfortable. As for the delivery service package unfortunate, long overdue and barias claims, a horror ...</v>
      </c>
    </row>
    <row r="522">
      <c r="A522" s="1">
        <v>5.0</v>
      </c>
      <c r="B522" s="1" t="s">
        <v>519</v>
      </c>
      <c r="C522" t="str">
        <f>IFERROR(__xludf.DUMMYFUNCTION("GOOGLETRANSLATE(B522, ""es"", ""en"")"),"I was surprised look perfect material and quality of the shoe in general")</f>
        <v>I was surprised look perfect material and quality of the shoe in general</v>
      </c>
    </row>
    <row r="523">
      <c r="A523" s="1">
        <v>5.0</v>
      </c>
      <c r="B523" s="1" t="s">
        <v>520</v>
      </c>
      <c r="C523" t="str">
        <f>IFERROR(__xludf.DUMMYFUNCTION("GOOGLETRANSLATE(B523, ""es"", ""en"")"),"Aromas therapeutic ... We love the aroma therapeutic gives a wonderful smell of home. recommended 100x100")</f>
        <v>Aromas therapeutic ... We love the aroma therapeutic gives a wonderful smell of home. recommended 100x100</v>
      </c>
    </row>
    <row r="524">
      <c r="A524" s="1">
        <v>5.0</v>
      </c>
      <c r="B524" s="1" t="s">
        <v>521</v>
      </c>
      <c r="C524" t="str">
        <f>IFERROR(__xludf.DUMMYFUNCTION("GOOGLETRANSLATE(B524, ""es"", ""en"")"),"Comfort Very good all")</f>
        <v>Comfort Very good all</v>
      </c>
    </row>
    <row r="525">
      <c r="A525" s="1">
        <v>5.0</v>
      </c>
      <c r="B525" s="1" t="s">
        <v>522</v>
      </c>
      <c r="C525" t="str">
        <f>IFERROR(__xludf.DUMMYFUNCTION("GOOGLETRANSLATE(B525, ""es"", ""en"")"),"Perfect. Perfect size perfect quality every perfect everything perfect perfect all that's what my boyfriend says.")</f>
        <v>Perfect. Perfect size perfect quality every perfect everything perfect perfect all that's what my boyfriend says.</v>
      </c>
    </row>
    <row r="526">
      <c r="A526" s="1">
        <v>5.0</v>
      </c>
      <c r="B526" s="1" t="s">
        <v>523</v>
      </c>
      <c r="C526" t="str">
        <f>IFERROR(__xludf.DUMMYFUNCTION("GOOGLETRANSLATE(B526, ""es"", ""en"")"),"Great buy. Good price, quality and capacity, light, although it is thicker than other models, their ability worth, all in a pocket.")</f>
        <v>Great buy. Good price, quality and capacity, light, although it is thicker than other models, their ability worth, all in a pocket.</v>
      </c>
    </row>
    <row r="527">
      <c r="A527" s="1">
        <v>5.0</v>
      </c>
      <c r="B527" s="1" t="s">
        <v>524</v>
      </c>
      <c r="C527" t="str">
        <f>IFERROR(__xludf.DUMMYFUNCTION("GOOGLETRANSLATE(B527, ""es"", ""en"")"),"Brilliant brilliant")</f>
        <v>Brilliant brilliant</v>
      </c>
    </row>
    <row r="528">
      <c r="A528" s="1">
        <v>5.0</v>
      </c>
      <c r="B528" s="1" t="s">
        <v>525</v>
      </c>
      <c r="C528" t="str">
        <f>IFERROR(__xludf.DUMMYFUNCTION("GOOGLETRANSLATE(B528, ""es"", ""en"")"),"perfect for my mother liked it. It is perfect. Thank you")</f>
        <v>perfect for my mother liked it. It is perfect. Thank you</v>
      </c>
    </row>
    <row r="529">
      <c r="A529" s="1">
        <v>5.0</v>
      </c>
      <c r="B529" s="1" t="s">
        <v>526</v>
      </c>
      <c r="C529" t="str">
        <f>IFERROR(__xludf.DUMMYFUNCTION("GOOGLETRANSLATE(B529, ""es"", ""en"")"),"XV It is perfectly fitted the external disk. For the price q has not ask for more. Good looks and I recommend it.")</f>
        <v>XV It is perfectly fitted the external disk. For the price q has not ask for more. Good looks and I recommend it.</v>
      </c>
    </row>
    <row r="530">
      <c r="A530" s="1">
        <v>2.0</v>
      </c>
      <c r="B530" s="1" t="s">
        <v>527</v>
      </c>
      <c r="C530" t="str">
        <f>IFERROR(__xludf.DUMMYFUNCTION("GOOGLETRANSLATE(B530, ""es"", ""en"")"),"It seemed like a bargain but the final 30 € thrown away do not think I put them ... besides Brown is not podrque is not brown, taupe :( is a shame because they painted a whole pretty good. I've tried and the toe to being close is pretty bad. it happened t"&amp;"o me the repayment period and the end me have to stay :( Regarding quality, something sturdy material and is not comfortable to go barefoot. he also had a projection on the coordoneras washer and I have scratched the entire foot :( well, I've already put "&amp;"right the washer in place but that ... the color is a disappointment and the photos do not do justice at all.")</f>
        <v>It seemed like a bargain but the final 30 € thrown away do not think I put them ... besides Brown is not podrque is not brown, taupe :( is a shame because they painted a whole pretty good. I've tried and the toe to being close is pretty bad. it happened to me the repayment period and the end me have to stay :( Regarding quality, something sturdy material and is not comfortable to go barefoot. he also had a projection on the coordoneras washer and I have scratched the entire foot :( well, I've already put right the washer in place but that ... the color is a disappointment and the photos do not do justice at all.</v>
      </c>
    </row>
    <row r="531">
      <c r="A531" s="1">
        <v>3.0</v>
      </c>
      <c r="B531" s="1" t="s">
        <v>528</v>
      </c>
      <c r="C531" t="str">
        <f>IFERROR(__xludf.DUMMYFUNCTION("GOOGLETRANSLATE(B531, ""es"", ""en"")"),"suspiciously small and poorly packed not get to try the product because I was very small. The label came to the shoe caught the original looked like, and I can not say that I look like copies, but the packaging had really bad. It was a bag without any ide"&amp;"ntification. I found it strange not to come in the box.")</f>
        <v>suspiciously small and poorly packed not get to try the product because I was very small. The label came to the shoe caught the original looked like, and I can not say that I look like copies, but the packaging had really bad. It was a bag without any identification. I found it strange not to come in the box.</v>
      </c>
    </row>
    <row r="532">
      <c r="A532" s="1">
        <v>3.0</v>
      </c>
      <c r="B532" s="1" t="s">
        <v>529</v>
      </c>
      <c r="C532" t="str">
        <f>IFERROR(__xludf.DUMMYFUNCTION("GOOGLETRANSLATE(B532, ""es"", ""en"")"),"It is very light and convenient quality and price are RIGHT")</f>
        <v>It is very light and convenient quality and price are RIGHT</v>
      </c>
    </row>
    <row r="533">
      <c r="A533" s="1">
        <v>1.0</v>
      </c>
      <c r="B533" s="1" t="s">
        <v>530</v>
      </c>
      <c r="C533" t="str">
        <f>IFERROR(__xludf.DUMMYFUNCTION("GOOGLETRANSLATE(B533, ""es"", ""en"")"),"That I will not ask for more &lt;div id = ""video-block-RREXNMAMW1XYD"" class = ""a-section a-spacing-small a-spacing-top mini video-block""&gt; &lt;div tabindex = ""0"" class = ""airy airy-svg vmin-unsupported airy-skin-beacon"" style = ""background-color: rgb (0"&amp;", 0, 0) position: relative; width: 100%; height: 100%; font-size: 0px; overflow: hidden; outline: none; ""&gt; &lt;div class ="" airy-renderer-container ""style ="" position: relative; height: 100%; width: 100%; ""&gt; &lt;video id ="" 7 ""preload ="" auto ""src ="" "&amp;"https://images-eu.ssl-images-amazon.com/images/I/A1f-JTSIl5S.mp4 ""style ="" position: absolute; left: 0px; top: 0px; overflow: hidden; height: 1px; width: 1px; ""&gt; &lt;/ video&gt; &lt;/ div&gt; &lt;div id ="" airy-slate-preload ""style ="" background-color: rgb (0, 0, "&amp;"0); background-image: url (&amp; quot; https: //images-eu.ssl-images-amazon.com/images/I/71lofTzhJAS.png&amp;quot;); background-size: Contain; background-position: center center; background-repeat: no-repeat; position: absolute; top: 0px; left: 0px; visibility: v"&amp;"isible; width: 100%; height: 100%; ""&gt; &lt;/ div&gt; &lt;if Rame scrolling = ""no"" frameborder = ""0"" src = ""about: blank"" style = ""display: none;""&gt; &lt;/ iframe&gt; &lt;div tabindex = ""- 1"" class = ""airy-controls-container"" style = ""opacity: 0; visibility: hidd"&amp;"en; ""&gt; &lt;div tabindex ="" - 1 ""class ="" airy-screen-size-toggle airy-fullscreen ""&gt; &lt;/ div&gt; &lt;div tabindex ="" - 1 ""class ="" airy-container-bottom "" &gt; &lt;div tabindex = ""- 1"" class = ""airy-track-bar-spacer-left"" style = ""width: 11px;""&gt; &lt;/ div&gt; &lt;di"&amp;"v tabindex = ""- 1"" class = ""airy-play- airy toggle-play ""style ="" width: 12px; margin-right: 12px; ""&gt; &lt;/ div&gt; &lt;div tabindex ="" - 1 ""class ="" airy-audio-elements ""style ="" float: right; width: 34px; ""&gt; &lt;div tabindex ="" - 1 ""class ="" airy-aud"&amp;"io-toggle airy-on ""&gt; &lt;/ div&gt; &lt;div tabindex ="" - 1 ""class ="" airy-audio-container ""style = ""opacity: 0; visibility: hidden; ""&gt; &lt;div tabindex ="" - 1 ""class ="" airy-audio-track-bar ""style ="" height: 80%; ""&gt; &lt;div tabindex ="" - 1 ""class ="" airy"&amp;"-audio- Scrubber-bar ""style ="" height: 85%; ""&gt; &lt;/ div&gt; &lt;div tabindex ="" - 1 ""class ="" airy-audio-scrubber ""style ="" height: 12px; bottom 85% ""&gt; &lt;/ div&gt; &lt;/ div&gt; &lt;/ div&gt; &lt;/ div&gt; &lt;div tabindex ="" - 1 ""class ="" airy-duration-label ""style ="" floa"&amp;"t: right; width: 26px; margin-right: 4px; text-align: center; ""&gt; 0:00 &lt;/ div&gt; &lt;div tabindex ="" - 1 ""class ="" airy-track-bar-spacer-right ""style ="" float: right; width: 11px; ""&gt; &lt;/ div&gt; &lt;div tabindex ="" - 1 ""class ="" airy-track-bar-container ""st"&amp;"yle ="" margin-left: 35px; margin-right: 75px; ""&gt; &lt;div tabindex ="" - 1 ""class ="" airy-airy-track-bar vertically-centering-table ""&gt; &lt;div tabindex ="" - 1 ""class ="" airy-Vertical-centering- table-cell ""&gt; &lt;div tabindex ="" - 1 ""class ="" airy-track-"&amp;"bar-elements ""&gt; &lt;div tabindex ="" - 1 ""class ="" airy-progress-bar ""&gt; &lt;/ div&gt; &lt;div tabindex = ""- 1"" class = ""airy-scrubber-bar""&gt; &lt;/ div&gt; &lt;div tabindex = ""- 1"" class = ""airy-scrubber""&gt; &lt;div tabindex = ""- 1"" class = ""airy-scrubber- icon ""&gt; &lt;/"&amp;" div&gt; &lt;div tabindex ="" - 1 ""class ="" airy-adjusted-AUI-tooltip ""style ="" opacity: 0; visibility: hidden; ""&gt; &lt;div tabindex ="" - 1 ""class ="" airy-adjusted-aui-tooltip-inner ""&gt; &lt;div tabindex ="" - 1 ""class ="" airy-current-time-label ""&gt; 0: 00 &lt;/ "&amp;"div&gt; &lt;/ div&gt; &lt;div tabindex = ""- 1"" class = ""airy-adjusted-AUI-arrow-border""&gt; &lt;div tabindex = ""- 1"" class = ""airy-adjusted-AUI-arrow"" &gt; &lt;/ div&gt; &lt;/ div&gt; &lt;/ div&gt; &lt;/ div&gt; &lt;/ div&gt; &lt;/ div&gt; &lt;/ div&gt; &lt;/ div&gt; &lt;/ div&gt; &lt;/ div&gt; &lt;div tabindex = ""- 1"" class = "&amp;"""airy-age-gate airy-stage airy-Vertical-centering-table airy-dialog"" style = ""opacity: 0; visibility: hidden; ""&gt; &lt;div tabindex ="" - 1 ""class ="" airy-age-gate-Vertical-centering-table-cell airy-Vertical-centering-table-cell ""&gt; &lt;div tabindex ="" - 1"&amp;" ""class = ""airy-Vertical-centering-wrapper airy-age-gate-elements-wrapper""&gt; &lt;div tabindex = ""- 1"" class = ""airy-age-gate-elements airy-dialog-elements""&gt; &lt;div tabindex = "" -1 ""class ="" airy-age-gate-prompt ""&gt; This video is not Intended for all a"&amp;"udiences What date were you born &lt;/ div&gt; &lt;div tabindex =.?"" - 1 ""class ="" airy-age-gate -inputs airy-dialog-inner-elements ""&gt; &lt;select tabindex ="" - 1 ""class ="" airy-age-gate-month ""&gt; &lt;option value ="" 1 ""&gt; January &lt;/ option&gt; &lt;option value ="" 2 "&amp;"""&gt; February &lt;/ option&gt; &lt;option value ="" 3 ""&gt; March &lt;/ option&gt; &lt;option value ="" 4 ""&gt; April &lt;/ option&gt; &lt;option value ="" 5 ""&gt; May &lt;/ option&gt; &lt;option value = ""6""&gt; June &lt;/ option&gt; &lt;option value = ""7""&gt; July &lt;/ option&gt; &lt;option value = ""8""&gt; August &lt;/"&amp;" option&gt; &lt;option value = ""9""&gt; September &lt;/ option&gt; &lt;option value = ""10""&gt; October &lt;/ option&gt; &lt;option value = ""11""&gt; November &lt;/ option&gt; &lt;option value = ""12""&gt; December &lt;/ option&gt; &lt;/ select&gt; &lt;select tabindex = ""- 1"" class = ""airy-age-gate-day""&gt; &lt;o"&amp;"pti on value = ""1""&gt; 1 &lt;/ option&gt; &lt;option value = ""2""&gt; 2 &lt;/ option&gt; &lt;option value = ""3""&gt; 3 &lt;/ option&gt; &lt;option value = ""4""&gt; 4 &lt;/ option &gt; &lt;option value = ""5""&gt; 5 &lt;/ option&gt; &lt;option value = ""6""&gt; 6 &lt;/ option&gt; &lt;option value = ""7""&gt; 7 &lt;/ option&gt; &lt;op"&amp;"tion value = ""8""&gt; 8 &lt; / option&gt; &lt;option value = ""9""&gt; 9 &lt;/ option&gt; &lt;option value = ""10""&gt; 10 &lt;/ option&gt; &lt;option value = ""11""&gt; 11 &lt;/ option&gt; &lt;option value = ""12""&gt; 12 &lt;/ option&gt; &lt;option value = ""13""&gt; 13 &lt;/ option&gt; &lt;option value = ""14""&gt; 14 &lt;/ opt"&amp;"ion&gt; &lt;option value = ""15""&gt; 15 &lt;/ option&gt; &lt;option value = ""16 ""&gt; 16 &lt;/ option&gt; &lt;option value ="" 17 ""&gt; 17 &lt;/ option&gt; &lt;option value ="" 18 ""&gt; 18 &lt;/ option&gt; &lt;option value ="" 19 ""&gt; 19 &lt;/ option&gt; &lt;option value = ""20""&gt; 20 &lt;/ option&gt; &lt;option value = """&amp;"21""&gt; 21 &lt;/ option&gt; &lt;option value = ""22""&gt; 22 &lt;/ option&gt; &lt;option value = ""23""&gt; 23 &lt;/ option&gt; &lt;option value = ""24""&gt; 24 &lt;/ option&gt; &lt;option value = ""25""&gt; 25 &lt;/ option&gt; &lt;option value = ""26""&gt; 26 &lt;/ option&gt; &lt;option value = ""27""&gt; 27 &lt;/ option&gt; &lt;option"&amp;" value = ""28""&gt; 28 &lt;/ option&gt; &lt;option value = ""29""&gt; 29 &lt;/ option&gt; &lt;option value = ""30""&gt; 30 &lt;/ option&gt; &lt;option value = ""31""&gt; 31 &lt;/ option&gt; &lt;/ select&gt; &lt;select tabindex = ""- 1"" class = ""airy-age-gate-year""&gt; &lt;option value = ""2019""&gt; 2019 &lt;/ option"&amp;"&gt; &lt; option value = ""2018""&gt; 2018 &lt;/ option&gt; &lt;option value = ""2017""&gt; 2017 &lt;/ option&gt; &lt;option value = ""2016""&gt; ​​2016 &lt;/ option&gt; &lt;option value = ""2015""&gt; 2015 &lt;/ option &gt; &lt;option value = ""2014""&gt; 2014 &lt;/ option&gt; &lt;option value = ""2013""&gt; 2013 &lt;/ optio"&amp;"n&gt; &lt;option value = ""2012""&gt; 2012 &lt;/ option&gt; &lt;option value = ""2011""&gt; 2011 &lt; / option&gt; &lt;option value = ""2010""&gt; 2010 &lt;/ option&gt; &lt;option value = ""2009""&gt; 2009 &lt;/ option&gt; &lt;option value = ""2008""&gt; 2008 &lt;/ option&gt; &lt;option value = ""2007""&gt; 2007 &lt;/ option&gt;"&amp;" &lt;option value = ""2006""&gt; 2006 &lt;/ option&gt; &lt;option value = ""2005""&gt; 2005 &lt;/ option&gt; &lt;option value = ""2004""&gt; 2004 &lt;/ option&gt; &lt;option value = ""2003 ""&gt; 2003 &lt;/ option&gt; &lt;option value ="" 2002 ""&gt; 2002 &lt;/ option&gt; &lt;option value ="" 2001 ""&gt; 2001 &lt;/ option&gt;"&amp;" &lt;option value ="" 2000 ""&gt; 2000 &lt;/ option&gt; &lt;option value = ""1999""&gt; 1999 &lt;/ option&gt; &lt;option value = ""1998""&gt; 1998 &lt;/ option&gt; &lt;option value = ""1997""&gt; 1997 &lt;/ option&gt; &lt;option value = ""1996""&gt; 1996 &lt;/ option&gt; &lt;option value = ""1995""&gt; 1995 &lt;/ option&gt; &lt;"&amp;"option value = ""1994""&gt; 1994 &lt;/ option&gt; &lt;option value = ""1993""&gt; 1993 &lt;/ option&gt; &lt;option value = ""1992""&gt; 1992 &lt;/ option&gt; &lt;option value = ""1991""&gt; 1991 &lt;/ option&gt; &lt;option value = ""1990""&gt; 1990 &lt;/ option&gt; &lt;option value = "" 1989 ""&gt; 1989 &lt;/ option&gt; &lt;o"&amp;"ption value ="" 1988 ""&gt; 1988 &lt;/ option&gt; &lt;option value ="" 1987 ""&gt; 1987 &lt;/ option&gt; &lt;option value ="" 1986 ""&gt; 1986 &lt;/ option&gt; &lt;value option = ""1985""&gt; 1985 &lt;/ option&gt; &lt;option value = ""1984""&gt; 1984 &lt;/ option&gt; &lt;option value = ""1983""&gt; 1983 &lt;/ option&gt; &lt;o"&amp;"ption value = ""1982""&gt; 1982 &lt;/ option&gt; &lt; option value = ""1981""&gt; 1981 &lt;/ option&gt; &lt;option value = ""1980""&gt; 1980 &lt;/ option&gt; &lt;option value = ""1979""&gt; 1979 &lt;/ option&gt; &lt;option value = ""1978""&gt; 1978 &lt;/ option &gt; &lt;option value = ""1977""&gt; 1977 &lt;/ option&gt; &lt;op"&amp;"tion value = ""1976""&gt; 1976 &lt;/ option&gt; &lt;option value = ""1975""&gt; 1975 &lt;/ option&gt; &lt;option value = ""1974""&gt; 1974 &lt; / option&gt; &lt;option value = ""1973""&gt; 1973 &lt;/ option&gt; &lt;option value = ""1972""&gt; 1972 &lt;/ option&gt; &lt;option value = ""1971""&gt; 1971 &lt;/ option&gt; &lt;opti"&amp;"on value = ""1970""&gt; 1970 &lt;/ option&gt; &lt;option value = ""1969""&gt; 1969 &lt;/ option&gt; &lt;option value = ""1968""&gt; 1968 &lt;/ option&gt; &lt;option value = ""1967""&gt; 1967 &lt;/ option&gt; &lt;option value = ""1966 ""&gt; 1966 &lt;/ option&gt; &lt;option value ="" 1965 ""&gt; 1965 &lt;/ option&gt; &lt;optio"&amp;"n value ="" 1964 ""&gt; 1964 &lt;/ option&gt; &lt;option value ="" 1963 ""&gt; 1963 &lt;/ option&gt; &lt;option value = ""1962""&gt; 1962 &lt;/ option&gt; &lt;option value = ""1961""&gt; 1961 &lt;/ option&gt; &lt;option value = ""1960""&gt; 1960 &lt;/ op tion&gt; &lt;option value = ""1959""&gt; 1959 &lt;/ option&gt; &lt;optio"&amp;"n value = ""1958""&gt; 1958 &lt;/ option&gt; &lt;option value = ""1957""&gt; 1957 &lt;/ option&gt; &lt;option value = ""1956""&gt; 1956 &lt;/ option&gt; &lt;option value = ""1955""&gt; 1955 &lt;/ option&gt; &lt;option value = ""1954""&gt; 1954 &lt;/ option&gt; &lt;option value = ""1953""&gt; 1953 &lt;/ option&gt; &lt;option v"&amp;"alue = ""1952"" &gt; 1952 &lt;/ option&gt; &lt;option value = ""1951""&gt; 1951 &lt;/ option&gt; &lt;option value = ""1950""&gt; 1950 &lt;/ option&gt; &lt;option value = ""1949""&gt; 1949 &lt;/ option&gt; &lt;option value = "" 1948 ""&gt; 1948 &lt;/ option&gt; &lt;option value ="" 1947 ""&gt; 1947 &lt;/ option&gt; &lt;option "&amp;"value ="" 1946 ""&gt; 1946 &lt;/ option&gt; &lt;option value ="" 1945 ""&gt; 1945 &lt;/ option&gt; &lt;value option = ""1944""&gt; 1944 &lt;/ option&gt; &lt;option value = ""1943""&gt; 1943 &lt;/ option&gt; &lt;option value = ""1942""&gt; 1942 &lt;/ option&gt; &lt;option value = ""1941""&gt; 1941 &lt;/ option&gt; &lt; option "&amp;"value = ""1940""&gt; 1940 &lt;/ option&gt; &lt;option value = ""1939""&gt; 1939 &lt;/ option&gt; &lt;option value = ""1938""&gt; 1938 &lt;/ option&gt; &lt;option value = ""1937""&gt; 1937 &lt;/ option &gt; &lt;option value = ""1936""&gt; 1936 &lt;/ option&gt; &lt;option value = ""1935""&gt; 1935 &lt;/ option&gt; &lt;option va"&amp;"lue = ""1934""&gt; 1934 &lt;/ option&gt; &lt;option value = ""1933""&gt; 1933 &lt; / option&gt; &lt;option value = ""1932""&gt; 1932 &lt;/ option&gt; &lt;option value = ""1931""&gt; 1931 &lt;/ option&gt; &lt;option v alue = ""1930""&gt; 1930 &lt;/ option&gt; &lt;option value = ""1929""&gt; 1929 &lt;/ option&gt; &lt;option val"&amp;"ue = ""1928""&gt; 1928 &lt;/ option&gt; &lt;option value = ""1927""&gt; 1927 &lt;/ option&gt; &lt;option value = ""1926""&gt; 1926 &lt;/ option&gt; &lt;option value = ""1925""&gt; 1925 &lt;/ option&gt; &lt;option value = ""1924""&gt; 1924 &lt;/ option&gt; &lt;option value = ""1923""&gt; 1923 &lt;/ option&gt; &lt;option value "&amp;"= ""1922""&gt; 1922 &lt;/ option&gt; &lt;option value = ""1921""&gt; 1921 &lt;/ option&gt; &lt;option value = ""1920""&gt; 1920 &lt;/ option&gt; &lt;option value = ""1919""&gt; 1919 &lt;/ option&gt; &lt;option value = ""1918""&gt; 1918 &lt;/ option&gt; &lt;option value = ""1917""&gt; 1917 &lt;/ option&gt; &lt;option value = "&amp;"""1916""&gt; 1916 &lt;/ option&gt; &lt;option value = ""1915"" &gt; 1915 &lt;/ option&gt; &lt;option value = ""1914""&gt; 1914 &lt;/ option&gt; &lt;option value = ""1913""&gt; 1913 &lt;/ option&gt; &lt;option value = ""1912""&gt; 1912 &lt;/ option&gt; &lt;option value = "" 1911 ""&gt; 1911 &lt;/ option&gt; &lt;option value ="&amp;""" 1910 ""&gt; 1910 &lt;/ option&gt; &lt;option value ="" 1909 ""&gt; 1909 &lt;/ option&gt; &lt;option value ="" 1908 ""&gt; 1908 &lt;/ option&gt; &lt;value option = ""1907""&gt; 1907 &lt;/ option&gt; &lt;option value = ""1906""&gt; 1906 &lt;/ option&gt; &lt;option value = ""1905""&gt; 1905 &lt;/ option&gt; &lt;option value ="&amp;" ""1904""&gt; 1904 &lt;/ option&gt; &lt; option value = ""1903""&gt; 1903 &lt;/ option&gt; &lt;option value = ""1902""&gt; 1902 &lt;/ option&gt; &lt;option value = ""1901""&gt; 19 01 &lt;/ option&gt; &lt;option value = ""1900""&gt; 1900 &lt;/ option&gt; &lt;/ select&gt; &lt;div tabindex = ""- 1"" class = ""airy-age-gate"&amp;"-submit airy-submit-button airy airy-submit- disabled ""&gt; Submit &lt;/ div&gt; &lt;/ div&gt; &lt;/ div&gt; &lt;/ div&gt; &lt;/ div&gt; &lt;/ div&gt; &lt;div tabindex ="" - 1 ""class ="" airy-install-flash-dialog airy-stage airy -vertical-centering-table-dialog airy airy-denied ""style ="" opac"&amp;"ity: 0; visibility: hidden; ""&gt; &lt;div tabindex ="" - 1 ""class ="" airy-install-flash-Vertical-centering-table-cell airy-Vertical-centering-table-cell ""&gt; &lt;div tabindex ="" - 1 ""class = ""airy-Vertical-centering-wrapper airy-install-flash-elements-wrapper"&amp;"""&gt; &lt;div tabindex = ""- 1"" class = ""airy-install-flash-elements airy-dialog-elements""&gt; &lt;div tabindex = "" -1 ""class ="" airy-install-flash-prompt ""&gt; Adobe Flash Player is required to watch this video &lt;/ div&gt; &lt;div tabindex =."" - 1 ""class ="" airy-in"&amp;"stall-flash-button-wrapper airy -dialog-inner-elements ""&gt; &lt;div tabindex ="" - 1 ""class ="" airy-install-flash-button airy-button ""&gt; install Flash Player &lt;/ div&gt; &lt;/ div&gt; &lt;/ div&gt; &lt;/ div&gt; &lt;/ div&gt; &lt;/ div&gt; &lt;div tabindex = ""- 1"" class = ""airy-video-unsupp"&amp;"orted-dialog airy-stage airy-Vertical-centering-table airy-dialog airy-denied"" style = ""opacity: 0; visibility: hidden; ""&gt; &lt;div tabindex ="" - 1 ""class ="" airy-video-unsupported-Vertical-centering-table-cell airy-Vertical-centering-table-cell ""&gt; &lt;di"&amp;"v tabindex ="" - 1 ""class = ""airy-Vertical-centering-wrapper airy-video-unsupported-elements-wrapper""&gt; &lt;div tabindex = ""- 1"" class = ""airy-video-unsupported-elements airy-dialog-elements""&gt; &lt;div tabindex = "" -1 ""class ="" airy-video-unsupported-pr"&amp;"ompt ""&gt; &lt;/ div&gt; &lt;/ div&gt; &lt;/ div&gt; &lt;/ div&gt; &lt;/ div&gt; &lt;div tabindex ="" - 1 ""class ="" airy-loading- spinner-stage airy-stage ""&gt; &lt;div tabindex ="" - 1 ""class ="" airy-loading-spinner-Vertical-centering-table-cell airy-Vertical-centering-table-cell ""&gt; &lt;div "&amp;"tabindex ="" - 1 ""class ="" airy-loading-spinner-container airy-scalable-hint-container ""&gt; &lt;div tabindex ="" - 1 ""class ="" airy-loading-spinner-dummy airy-scalable-dummy ""&gt; &lt;/ div&gt; &lt; div tabindex = ""- 1"" class = ""airy-loading-spinner airy-hint"" s"&amp;"tyle = ""visibility: hidden;""&gt; &lt;/ div&gt; &lt;/ div&gt; &lt;/ div&gt; &lt;/ div&gt; &lt;div tabindex = ""- 1 ""class ="" airy-ads-screen-size-toggle airy-screen-size-toggle-fullscreen airy ""style ="" visibility: hidden; ""&gt; &lt;/ div&gt; &lt;div tabindex = ""-1"" class = ""airy-ad-prom"&amp;"pt-container"" style = ""visibility: hidden;""&gt; &lt;div tabindex = ""- 1"" class = ""airy-ad-prompt-Vertical-centering-table-vertically airy centering-table ""&gt; &lt;div tabindex ="" - 1 ""class ="" airy-ad-prompt-Vertical-centering-table-cell airy-Vertical-cent"&amp;"ering-table-cell ""&gt; &lt;div tabindex ="" - 1 ""class = ""airy-ad-prompt-label""&gt; &lt;/ div&gt; &lt;/ div&gt; &lt;/ div&gt; &lt;/ div&gt; &lt;div tabindex = ""- 1"" class = ""airy-ads-controls-container"" style = ""visibility: hidden; ""&gt; &lt;div tabindex ="" - 1 ""class ="" airy-ads-aud"&amp;"io-toggle airy-audio-toggle airy-on ""style ="" visibility: hidden; ""&gt; &lt;/ div&gt; &lt;div tabindex ="" - 1 ""class ="" airy-time-remaining-label-container ""&gt; &lt;div tabindex ="" - 1 ""class ="" airy-time-remaining-Vertical-centering-table airy-Vertical-centerin"&amp;"g-table ""&gt; &lt;div tabindex = ""- 1"" class = ""airy-time-remaining-Vertical-centering-table-cell airy-Vertical-centering-table-cell""&gt; &lt;div tabindex = ""- 1"" class = ""airy-Vertical-centering-wrapper airy-time-remaining-label-wrapper ""&gt; &lt;div tabindex ="""&amp;" - 1 ""class ="" airy-time-remaining-label ""style ="" visibility: hidden; ""&gt; &lt;/ div&gt; &lt;div tabi ndex = ""- 1"" class = ""airy-ad-skip"" style = ""visibility: hidden;""&gt; &lt;/ div&gt; &lt;div tabindex = ""- 1"" class = ""airy-ad-end"" style = ""visibility: hidden "&amp;"""&gt; &lt;/ div&gt; &lt;/ div&gt; &lt;/ div&gt; &lt;/ div&gt; &lt;/ div&gt; &lt;div tabindex ="" - 1 ""class ="" airy-learn-more ""style ="" visibility: hidden; ""&gt; &lt;/ div&gt; &lt;/ div&gt; &lt;div tabindex = ""- 1"" class = ""airy-play-toggle-hint-stage airy-stage airy-cursor""&gt; &lt;div tabindex = ""- 1"&amp;""" class = ""airy-play -toggle-hint-Vertical-centering-table-cell airy-Vertical-centering-table-cell airy-cursor ""&gt; &lt;div tabindex ="" - 1 ""class ="" airy-play-toggle-hint-container airy-scalable- Hint-container ""&gt; &lt;div tabindex ="" - 1 ""class ="" airy"&amp;"-play-toggle-hint-dummy airy-scalable-dummy ""&gt; &lt;/ div&gt; &lt;div tabindex ="" - 1 ""class ="" airy-play -toggle-hint hint airy-airy-play-hint ""style ="" opacity: 1; visibility: visible; ""&gt; &lt;/ div&gt; &lt;/ div&gt; &lt;/ div&gt; &lt;/ div&gt; &lt;div tabindex ="" - 1 ""class ="" ai"&amp;"ry-replay-hint-stage airy-stage ""style ="" visibility: hidden ; ""&gt; &lt;div tabindex ="" - 1 ""class ="" airy-replay-hint-Vertical-centering-table-cell airy-Vertical-centering-table-cell airy-cursor ""&gt; &lt;div tabindex ="" - 1 ""class = ""airy-replay-hint-con"&amp;"tainer airy-scalable-hint-container""&gt; &lt;div tabindex = ""- 1"" class = ""airy-replay-hint-dummy airy-scalable-dummy""&gt; &lt;/ div&gt; &lt;div tabindex = ""- 1"" class = ""airy-replay-hint airy-hint""&gt; &lt;/ div&gt; &lt;/ div&gt; &lt;/ div&gt; &lt;/ div&gt; &lt;div tabindex = ""- 1"" class = "&amp;"""airy-autoplay-hint -stage airy-stage ""style ="" visibility: hidden; ""&gt; &lt;div tabindex ="" - 1 ""class ="" airy-autoplay-hint-Vertical-centering-table-cell airy-Vertical-centering-table-cell airy- cursor ""&gt; &lt;div tabindex ="" - 1 ""class ="" autoplay ai"&amp;"ry-airy-hint-container-scalable-hint-container ""&gt; &lt;div tabindex ="" - 1 ""class ="" airy-autoplay-hint-dummy airy- scalable-dummy ""&gt; &lt;/ div&gt; &lt;/ div&gt; &lt;/ div&gt; &lt;/ div&gt; &lt;/ div&gt; &lt;/ div&gt; &lt;input type ="" hidden ""name ="" ""value ="" https: // images-eu .ssl-i"&amp;"mages-amazon.com / images / I / A1f-JTSIl5S.mp4 ""Class ="" video-url ""&gt; &lt;input type ="" hidden ""name ="" ""value ="" https://images-eu.ssl-images-amazon.com/images/I/71lofTzhJAS.png ""class ="" video-slate-img-url ""&gt; &amp; nbsp; has been unboxed and paper"&amp;"less")</f>
        <v>That I will not ask for more &lt;div id = "video-block-RREXNMAMW1XYD" class = "a-section a-spacing-small a-spacing-top mini video-block"&gt; &lt;div tabindex = "0" class = "airy airy-svg vmin-unsupported airy-skin-beacon" style = "background-color: rgb (0, 0, 0) position: relative; width: 100%; height: 100%; font-size: 0px; overflow: hidden; outline: none; "&gt; &lt;div class =" airy-renderer-container "style =" position: relative; height: 100%; width: 100%; "&gt; &lt;video id =" 7 "preload =" auto "src =" https://images-eu.ssl-images-amazon.com/images/I/A1f-JTSIl5S.mp4 "style =" position: absolute; left: 0px; top: 0px; overflow: hidden; height: 1px; width: 1px; "&gt; &lt;/ video&gt; &lt;/ div&gt; &lt;div id =" airy-slate-preload "style =" background-color: rgb (0, 0, 0); background-image: url (&amp; quot; https: //images-eu.ssl-images-amazon.com/images/I/71lofTzhJAS.png&amp;quot;); background-size: Contain; background-position: center center; background-repeat: no-repeat; position: absolute; top: 0px; left: 0px; visibility: visible; width: 100%; height: 100%; "&gt; &lt;/ div&gt; &lt;if Rame scrolling = "no" frameborder = "0" src = "about: blank" style = "display: none;"&gt; &lt;/ iframe&gt; &lt;div tabindex = "- 1" class = "airy-controls-container" style = "opacity: 0; visibility: hidden; "&gt; &lt;div tabindex =" - 1 "class =" airy-screen-size-toggle airy-fullscreen "&gt; &lt;/ div&gt; &lt;div tabindex =" - 1 "class =" airy-container-bottom " &gt; &lt;div tabindex = "- 1" class = "airy-track-bar-spacer-left" style = "width: 11px;"&gt; &lt;/ div&gt; &lt;div tabindex = "- 1" class = "airy-play- airy toggle-play "style =" width: 12px; margin-right: 12px; "&gt; &lt;/ div&gt; &lt;div tabindex =" - 1 "class =" airy-audio-elements "style =" float: right; width: 34px; "&gt; &lt;div tabindex =" - 1 "class =" airy-audio-toggle airy-on "&gt; &lt;/ div&gt; &lt;div tabindex =" - 1 "class =" airy-audio-container "style = "opacity: 0; visibility: hidden; "&gt; &lt;div tabindex =" - 1 "class =" airy-audio-track-bar "style =" height: 80%; "&gt; &lt;div tabindex =" - 1 "class =" airy-audio- Scrubber-bar "style =" height: 85%; "&gt; &lt;/ div&gt; &lt;div tabindex =" - 1 "class =" airy-audio-scrubber "style =" height: 12px; bottom 85% "&gt; &lt;/ div&gt; &lt;/ div&gt; &lt;/ div&gt; &lt;/ div&gt; &lt;div tabindex =" - 1 "class =" airy-duration-label "style =" float: right; width: 26px; margin-right: 4px; text-align: center; "&gt; 0:00 &lt;/ div&gt; &lt;div tabindex =" - 1 "class =" airy-track-bar-spacer-right "style =" float: right; width: 11px; "&gt; &lt;/ div&gt; &lt;div tabindex =" - 1 "class =" airy-track-bar-container "style =" margin-left: 35px; margin-right: 75px; "&gt; &lt;div tabindex =" - 1 "class =" airy-airy-track-bar vertically-centering-table "&gt; &lt;div tabindex =" - 1 "class =" airy-Vertical-centering- table-cell "&gt; &lt;div tabindex =" - 1 "class =" airy-track-bar-elements "&gt; &lt;div tabindex =" - 1 "class =" airy-progress-bar "&gt; &lt;/ div&gt; &lt;div tabindex = "- 1" class = "airy-scrubber-bar"&gt; &lt;/ div&gt; &lt;div tabindex = "- 1" class = "airy-scrubber"&gt; &lt;div tabindex = "- 1" class = "airy-scrubber- icon "&gt; &lt;/ div&gt; &lt;div tabindex =" - 1 "class =" airy-adjusted-AUI-tooltip "style =" opacity: 0; visibility: hidden; "&gt; &lt;div tabindex =" - 1 "class =" airy-adjusted-aui-tooltip-inner "&gt; &lt;div tabindex =" - 1 "class =" airy-current-time-label "&gt; 0: 00 &lt;/ div&gt; &lt;/ div&gt; &lt;div tabindex = "- 1" class = "airy-adjusted-AUI-arrow-border"&gt; &lt;div tabindex = "- 1" class = "airy-adjusted-AUI-arrow" &gt; &lt;/ div&gt; &lt;/ div&gt; &lt;/ div&gt; &lt;/ div&gt; &lt;/ div&gt; &lt;/ div&gt; &lt;/ div&gt; &lt;/ div&gt; &lt;/ div&gt; &lt;/ div&gt; &lt;div tabindex = "- 1" class = "airy-age-gate airy-stage airy-Vertical-centering-table airy-dialog" style = "opacity: 0; visibility: hidden; "&gt; &lt;div tabindex =" - 1 "class =" airy-age-gate-Vertical-centering-table-cell airy-Vertical-centering-table-cell "&gt; &lt;div tabindex =" - 1 "class = "airy-Vertical-centering-wrapper airy-age-gate-elements-wrapper"&gt; &lt;div tabindex = "- 1" class = "airy-age-gate-elements airy-dialog-elements"&gt; &lt;div tabindex = " -1 "class =" airy-age-gate-prompt "&gt; This video is not Intended for all audiences What date were you born &lt;/ div&gt; &lt;div tabindex =.?" - 1 "class =" airy-age-gate -inputs airy-dialog-inner-elements "&gt; &lt;select tabindex =" - 1 "class =" airy-age-gate-month "&gt; &lt;option value =" 1 "&gt; January &lt;/ option&gt; &lt;option value =" 2 "&gt; February &lt;/ option&gt; &lt;option value =" 3 "&gt; March &lt;/ option&gt; &lt;option value =" 4 "&gt; April &lt;/ option&gt; &lt;option value =" 5 "&gt; May &lt;/ option&gt; &lt;option value = "6"&gt; June &lt;/ option&gt; &lt;option value = "7"&gt; July &lt;/ option&gt; &lt;option value = "8"&gt; August &lt;/ option&gt; &lt;option value = "9"&gt; September &lt;/ option&gt; &lt;option value = "10"&gt; October &lt;/ option&gt; &lt;option value = "11"&gt; November &lt;/ option&gt; &lt;option value = "12"&gt; December &lt;/ option&gt; &lt;/ select&gt; &lt;select tabindex = "- 1" class = "airy-age-gate-day"&gt; &lt;opti on value = "1"&gt; 1 &lt;/ option&gt; &lt;option value = "2"&gt; 2 &lt;/ option&gt; &lt;option value = "3"&gt; 3 &lt;/ option&gt; &lt;option value = "4"&gt; 4 &lt;/ option &gt; &lt;option value = "5"&gt; 5 &lt;/ option&gt; &lt;option value = "6"&gt; 6 &lt;/ option&gt; &lt;option value = "7"&gt; 7 &lt;/ option&gt; &lt;option value = "8"&gt; 8 &lt; / option&gt; &lt;option value = "9"&gt; 9 &lt;/ option&gt; &lt;option value = "10"&gt; 10 &lt;/ option&gt; &lt;option value = "11"&gt; 11 &lt;/ option&gt; &lt;option value = "12"&gt; 12 &lt;/ option&gt; &lt;option value = "13"&gt; 13 &lt;/ option&gt; &lt;option value = "14"&gt; 14 &lt;/ option&gt; &lt;option value = "15"&gt; 15 &lt;/ option&gt; &lt;option value = "16 "&gt; 16 &lt;/ option&gt; &lt;option value =" 17 "&gt; 17 &lt;/ option&gt; &lt;option value =" 18 "&gt; 18 &lt;/ option&gt; &lt;option value =" 19 "&gt; 19 &lt;/ option&gt; &lt;option value = "20"&gt; 20 &lt;/ option&gt; &lt;option value = "21"&gt; 21 &lt;/ option&gt; &lt;option value = "22"&gt; 22 &lt;/ option&gt; &lt;option value = "23"&gt; 23 &lt;/ option&gt; &lt;option value = "24"&gt; 24 &lt;/ option&gt; &lt;option value = "25"&gt; 25 &lt;/ option&gt; &lt;option value = "26"&gt; 26 &lt;/ option&gt; &lt;option value = "27"&gt; 27 &lt;/ option&gt; &lt;option value = "28"&gt; 28 &lt;/ option&gt; &lt;option value = "29"&gt; 29 &lt;/ option&gt; &lt;option value = "30"&gt; 30 &lt;/ option&gt; &lt;option value = "31"&gt; 31 &lt;/ option&gt; &lt;/ select&gt; &lt;select tabindex = "- 1" class = "airy-age-gate-year"&gt; &lt;option value = "2019"&gt; 2019 &lt;/ option&gt; &lt; option value = "2018"&gt; 2018 &lt;/ option&gt; &lt;option value = "2017"&gt; 2017 &lt;/ option&gt; &lt;option value = "2016"&gt; ​​2016 &lt;/ option&gt; &lt;option value = "2015"&gt; 2015 &lt;/ option &gt; &lt;option value = "2014"&gt; 2014 &lt;/ option&gt; &lt;option value = "2013"&gt; 2013 &lt;/ option&gt; &lt;option value = "2012"&gt; 2012 &lt;/ option&gt; &lt;option value = "2011"&gt; 2011 &lt; / option&gt; &lt;option value = "2010"&gt; 2010 &lt;/ option&gt; &lt;option value = "2009"&gt; 2009 &lt;/ option&gt; &lt;option value = "2008"&gt; 2008 &lt;/ option&gt; &lt;option value = "2007"&gt; 2007 &lt;/ option&gt; &lt;option value = "2006"&gt; 2006 &lt;/ option&gt; &lt;option value = "2005"&gt; 2005 &lt;/ option&gt; &lt;option value = "2004"&gt; 2004 &lt;/ option&gt; &lt;option value = "2003 "&gt; 2003 &lt;/ option&gt; &lt;option value =" 2002 "&gt; 2002 &lt;/ option&gt; &lt;option value =" 2001 "&gt; 2001 &lt;/ option&gt; &lt;option value =" 2000 "&gt; 2000 &lt;/ option&gt; &lt;option value = "1999"&gt; 1999 &lt;/ option&gt; &lt;option value = "1998"&gt; 1998 &lt;/ option&gt; &lt;option value = "1997"&gt; 1997 &lt;/ option&gt; &lt;option value = "1996"&gt; 1996 &lt;/ option&gt; &lt;option value = "1995"&gt; 1995 &lt;/ option&gt; &lt;option value = "1994"&gt; 1994 &lt;/ option&gt; &lt;option value = "1993"&gt; 1993 &lt;/ option&gt; &lt;option value = "1992"&gt; 1992 &lt;/ option&gt; &lt;option value = "1991"&gt; 1991 &lt;/ option&gt; &lt;option value = "1990"&gt; 1990 &lt;/ option&gt; &lt;option value = " 1989 "&gt; 1989 &lt;/ option&gt; &lt;option value =" 1988 "&gt; 1988 &lt;/ option&gt; &lt;option value =" 1987 "&gt; 1987 &lt;/ option&gt; &lt;option value =" 1986 "&gt; 1986 &lt;/ option&gt; &lt;value option = "1985"&gt; 1985 &lt;/ option&gt; &lt;option value = "1984"&gt; 1984 &lt;/ option&gt; &lt;option value = "1983"&gt; 1983 &lt;/ option&gt; &lt;option value = "1982"&gt; 1982 &lt;/ option&gt; &lt; option value = "1981"&gt; 1981 &lt;/ option&gt; &lt;option value = "1980"&gt; 1980 &lt;/ option&gt; &lt;option value = "1979"&gt; 1979 &lt;/ option&gt; &lt;option value = "1978"&gt; 1978 &lt;/ option &gt; &lt;option value = "1977"&gt; 1977 &lt;/ option&gt; &lt;option value = "1976"&gt; 1976 &lt;/ option&gt; &lt;option value = "1975"&gt; 1975 &lt;/ option&gt; &lt;option value = "1974"&gt; 1974 &lt; / option&gt; &lt;option value = "1973"&gt; 1973 &lt;/ option&gt; &lt;option value = "1972"&gt; 1972 &lt;/ option&gt; &lt;option value = "1971"&gt; 1971 &lt;/ option&gt; &lt;option value = "1970"&gt; 1970 &lt;/ option&gt; &lt;option value = "1969"&gt; 1969 &lt;/ option&gt; &lt;option value = "1968"&gt; 1968 &lt;/ option&gt; &lt;option value = "1967"&gt; 1967 &lt;/ option&gt; &lt;option value = "1966 "&gt; 1966 &lt;/ option&gt; &lt;option value =" 1965 "&gt; 1965 &lt;/ option&gt; &lt;option value =" 1964 "&gt; 1964 &lt;/ option&gt; &lt;option value =" 1963 "&gt; 1963 &lt;/ option&gt; &lt;option value = "1962"&gt; 1962 &lt;/ option&gt; &lt;option value = "1961"&gt; 1961 &lt;/ option&gt; &lt;option value = "1960"&gt; 1960 &lt;/ op tion&gt; &lt;option value = "1959"&gt; 1959 &lt;/ option&gt; &lt;option value = "1958"&gt; 1958 &lt;/ option&gt; &lt;option value = "1957"&gt; 1957 &lt;/ option&gt; &lt;option value = "1956"&gt; 1956 &lt;/ option&gt; &lt;option value = "1955"&gt; 1955 &lt;/ option&gt; &lt;option value = "1954"&gt; 1954 &lt;/ option&gt; &lt;option value = "1953"&gt; 1953 &lt;/ option&gt; &lt;option value = "1952" &gt; 1952 &lt;/ option&gt; &lt;option value = "1951"&gt; 1951 &lt;/ option&gt; &lt;option value = "1950"&gt; 1950 &lt;/ option&gt; &lt;option value = "1949"&gt; 1949 &lt;/ option&gt; &lt;option value = " 1948 "&gt; 1948 &lt;/ option&gt; &lt;option value =" 1947 "&gt; 1947 &lt;/ option&gt; &lt;option value =" 1946 "&gt; 1946 &lt;/ option&gt; &lt;option value =" 1945 "&gt; 1945 &lt;/ option&gt; &lt;value option = "1944"&gt; 1944 &lt;/ option&gt; &lt;option value = "1943"&gt; 1943 &lt;/ option&gt; &lt;option value = "1942"&gt; 1942 &lt;/ option&gt; &lt;option value = "1941"&gt; 1941 &lt;/ option&gt; &lt; option value = "1940"&gt; 1940 &lt;/ option&gt; &lt;option value = "1939"&gt; 1939 &lt;/ option&gt; &lt;option value = "1938"&gt; 1938 &lt;/ option&gt; &lt;option value = "1937"&gt; 1937 &lt;/ option &gt; &lt;option value = "1936"&gt; 1936 &lt;/ option&gt; &lt;option value = "1935"&gt; 1935 &lt;/ option&gt; &lt;option value = "1934"&gt; 1934 &lt;/ option&gt; &lt;option value = "1933"&gt; 1933 &lt; / option&gt; &lt;option value = "1932"&gt; 1932 &lt;/ option&gt; &lt;option value = "1931"&gt; 1931 &lt;/ option&gt; &lt;option v alue = "1930"&gt; 1930 &lt;/ option&gt; &lt;option value = "1929"&gt; 1929 &lt;/ option&gt; &lt;option value = "1928"&gt; 1928 &lt;/ option&gt; &lt;option value = "1927"&gt; 1927 &lt;/ option&gt; &lt;option value = "1926"&gt; 1926 &lt;/ option&gt; &lt;option value = "1925"&gt; 1925 &lt;/ option&gt; &lt;option value = "1924"&gt; 1924 &lt;/ option&gt; &lt;option value = "1923"&gt; 1923 &lt;/ option&gt; &lt;option value = "1922"&gt; 1922 &lt;/ option&gt; &lt;option value = "1921"&gt; 1921 &lt;/ option&gt; &lt;option value = "1920"&gt; 1920 &lt;/ option&gt; &lt;option value = "1919"&gt; 1919 &lt;/ option&gt; &lt;option value = "1918"&gt; 1918 &lt;/ option&gt; &lt;option value = "1917"&gt; 1917 &lt;/ option&gt; &lt;option value = "1916"&gt; 1916 &lt;/ option&gt; &lt;option value = "1915" &gt; 1915 &lt;/ option&gt; &lt;option value = "1914"&gt; 1914 &lt;/ option&gt; &lt;option value = "1913"&gt; 1913 &lt;/ option&gt; &lt;option value = "1912"&gt; 1912 &lt;/ option&gt; &lt;option value = " 1911 "&gt; 1911 &lt;/ option&gt; &lt;option value =" 1910 "&gt; 1910 &lt;/ option&gt; &lt;option value =" 1909 "&gt; 1909 &lt;/ option&gt; &lt;option value =" 1908 "&gt; 1908 &lt;/ option&gt; &lt;value option = "1907"&gt; 1907 &lt;/ option&gt; &lt;option value = "1906"&gt; 1906 &lt;/ option&gt; &lt;option value = "1905"&gt; 1905 &lt;/ option&gt; &lt;option value = "1904"&gt; 1904 &lt;/ option&gt; &lt; option value = "1903"&gt; 1903 &lt;/ option&gt; &lt;option value = "1902"&gt; 1902 &lt;/ option&gt; &lt;option value = "1901"&gt; 19 01 &lt;/ option&gt; &lt;option value = "1900"&gt; 1900 &lt;/ option&gt; &lt;/ select&gt; &lt;div tabindex = "- 1" class = "airy-age-gate-submit airy-submit-button airy airy-submit- disabled "&gt; Submit &lt;/ div&gt; &lt;/ div&gt; &lt;/ div&gt; &lt;/ div&gt; &lt;/ div&gt; &lt;/ div&gt; &lt;div tabindex =" - 1 "class =" airy-install-flash-dialog airy-stage airy -vertical-centering-table-dialog airy airy-denied "style =" opacity: 0; visibility: hidden; "&gt; &lt;div tabindex =" - 1 "class =" airy-install-flash-Vertical-centering-table-cell airy-Vertical-centering-table-cell "&gt; &lt;div tabindex =" - 1 "class = "airy-Vertical-centering-wrapper airy-install-flash-elements-wrapper"&gt; &lt;div tabindex = "- 1" class = "airy-install-flash-elements airy-dialog-elements"&gt; &lt;div tabindex = " -1 "class =" airy-install-flash-prompt "&gt; Adobe Flash Player is required to watch this video &lt;/ div&gt; &lt;div tabindex =." - 1 "class =" airy-install-flash-button-wrapper airy -dialog-inner-elements "&gt; &lt;div tabindex =" - 1 "class =" airy-install-flash-button airy-button "&gt; install Flash Player &lt;/ div&gt; &lt;/ div&gt; &lt;/ div&gt; &lt;/ div&gt; &lt;/ div&gt; &lt;/ div&gt; &lt;div tabindex = "- 1" class = "airy-video-unsupported-dialog airy-stage airy-Vertical-centering-table airy-dialog airy-denied" style = "opacity: 0; visibility: hidden; "&gt; &lt;div tabindex =" - 1 "class =" airy-video-unsupported-Vertical-centering-table-cell airy-Vertical-centering-table-cell "&gt; &lt;div tabindex =" - 1 "class = "airy-Vertical-centering-wrapper airy-video-unsupported-elements-wrapper"&gt; &lt;div tabindex = "- 1" class = "airy-video-unsupported-elements airy-dialog-elements"&gt; &lt;div tabindex = " -1 "class =" airy-video-unsupported-prompt "&gt; &lt;/ div&gt; &lt;/ div&gt; &lt;/ div&gt; &lt;/ div&gt; &lt;/ div&gt; &lt;div tabindex =" - 1 "class =" airy-loading- spinner-stage airy-stage "&gt; &lt;div tabindex =" - 1 "class =" airy-loading-spinner-Vertical-centering-table-cell airy-Vertical-centering-table-cell "&gt; &lt;div tabindex =" - 1 "class =" airy-loading-spinner-container airy-scalable-hint-container "&gt; &lt;div tabindex =" - 1 "class =" airy-loading-spinner-dummy airy-scalable-dummy "&gt; &lt;/ div&gt; &lt; div tabindex = "- 1" class = "airy-loading-spinner airy-hint" style = "visibility: hidden;"&gt; &lt;/ div&gt; &lt;/ div&gt; &lt;/ div&gt; &lt;/ div&gt; &lt;div tabindex = "- 1 "class =" airy-ads-screen-size-toggle airy-screen-size-toggle-fullscreen airy "style =" visibility: hidden; "&gt; &lt;/ div&gt; &lt;div tabindex = "-1" class = "airy-ad-prompt-container" style = "visibility: hidden;"&gt; &lt;div tabindex = "- 1" class = "airy-ad-prompt-Vertical-centering-table-vertically airy centering-table "&gt; &lt;div tabindex =" - 1 "class =" airy-ad-prompt-Vertical-centering-table-cell airy-Vertical-centering-table-cell "&gt; &lt;div tabindex =" - 1 "class = "airy-ad-prompt-label"&gt; &lt;/ div&gt; &lt;/ div&gt; &lt;/ div&gt; &lt;/ div&gt; &lt;div tabindex = "- 1" class = "airy-ads-controls-container" style = "visibility: hidden; "&gt; &lt;div tabindex =" - 1 "class =" airy-ads-audio-toggle airy-audio-toggle airy-on "style =" visibility: hidden; "&gt; &lt;/ div&gt; &lt;div tabindex =" - 1 "class =" airy-time-remaining-label-container "&gt; &lt;div tabindex =" - 1 "class =" airy-time-remaining-Vertical-centering-table airy-Vertical-centering-table "&gt; &lt;div tabindex = "- 1" class = "airy-time-remaining-Vertical-centering-table-cell airy-Vertical-centering-table-cell"&gt; &lt;div tabindex = "- 1" class = "airy-Vertical-centering-wrapper airy-time-remaining-label-wrapper "&gt; &lt;div tabindex =" - 1 "class =" airy-time-remaining-label "style =" visibility: hidden; "&gt; &lt;/ div&gt; &lt;div tabi ndex = "- 1" class = "airy-ad-skip" style = "visibility: hidden;"&gt; &lt;/ div&gt; &lt;div tabindex = "- 1" class = "airy-ad-end" style = "visibility: hidden "&gt; &lt;/ div&gt; &lt;/ div&gt; &lt;/ div&gt; &lt;/ div&gt; &lt;/ div&gt; &lt;div tabindex =" - 1 "class =" airy-learn-more "style =" visibility: hidden; "&gt; &lt;/ div&gt; &lt;/ div&gt; &lt;div tabindex = "- 1" class = "airy-play-toggle-hint-stage airy-stage airy-cursor"&gt; &lt;div tabindex = "- 1" class = "airy-play -toggle-hint-Vertical-centering-table-cell airy-Vertical-centering-table-cell airy-cursor "&gt; &lt;div tabindex =" - 1 "class =" airy-play-toggle-hint-container airy-scalable- Hint-container "&gt; &lt;div tabindex =" - 1 "class =" airy-play-toggle-hint-dummy airy-scalable-dummy "&gt; &lt;/ div&gt; &lt;div tabindex =" - 1 "class =" airy-play -toggle-hint hint airy-airy-play-hint "style =" opacity: 1; visibility: visible; "&gt; &lt;/ div&gt; &lt;/ div&gt; &lt;/ div&gt; &lt;/ div&gt; &lt;div tabindex =" - 1 "class =" airy-replay-hint-stage airy-stage "style =" visibility: hidden ; "&gt; &lt;div tabindex =" - 1 "class =" airy-replay-hint-Vertical-centering-table-cell airy-Vertical-centering-table-cell airy-cursor "&gt; &lt;div tabindex =" - 1 "class = "airy-replay-hint-container airy-scalable-hint-container"&gt; &lt;div tabindex = "- 1" class = "airy-replay-hint-dummy airy-scalable-dummy"&gt; &lt;/ div&gt; &lt;div tabindex = "- 1" class = "airy-replay-hint airy-hint"&gt; &lt;/ div&gt; &lt;/ div&gt; &lt;/ div&gt; &lt;/ div&gt; &lt;div tabindex = "- 1" class = "airy-autoplay-hint -stage airy-stage "style =" visibility: hidden; "&gt; &lt;div tabindex =" - 1 "class =" airy-autoplay-hint-Vertical-centering-table-cell airy-Vertical-centering-table-cell airy- cursor "&gt; &lt;div tabindex =" - 1 "class =" autoplay airy-airy-hint-container-scalable-hint-container "&gt; &lt;div tabindex =" - 1 "class =" airy-autoplay-hint-dummy airy- scalable-dummy "&gt; &lt;/ div&gt; &lt;/ div&gt; &lt;/ div&gt; &lt;/ div&gt; &lt;/ div&gt; &lt;/ div&gt; &lt;input type =" hidden "name =" "value =" https: // images-eu .ssl-images-amazon.com / images / I / A1f-JTSIl5S.mp4 "Class =" video-url "&gt; &lt;input type =" hidden "name =" "value =" https://images-eu.ssl-images-amazon.com/images/I/71lofTzhJAS.png "class =" video-slate-img-url "&gt; &amp; nbsp; has been unboxed and paperless</v>
      </c>
    </row>
    <row r="534">
      <c r="A534" s="1">
        <v>1.0</v>
      </c>
      <c r="B534" s="1" t="s">
        <v>531</v>
      </c>
      <c r="C534" t="str">
        <f>IFERROR(__xludf.DUMMYFUNCTION("GOOGLETRANSLATE(B534, ""es"", ""en"")"),"Smelly ... and poor quality as could be arrived well very fast, surprise .. must be boiled before use twice as in those twice the ass turned black and smelly ... very cheap but very bad")</f>
        <v>Smelly ... and poor quality as could be arrived well very fast, surprise .. must be boiled before use twice as in those twice the ass turned black and smelly ... very cheap but very bad</v>
      </c>
    </row>
    <row r="535">
      <c r="A535" s="1">
        <v>4.0</v>
      </c>
      <c r="B535" s="1" t="s">
        <v>532</v>
      </c>
      <c r="C535" t="str">
        <f>IFERROR(__xludf.DUMMYFUNCTION("GOOGLETRANSLATE(B535, ""es"", ""en"")"),"Original product meets expectations 128GB card really leaves 116Gb use a formatted time. Ronzan speed tests 100Mb / s specified by the manufacturer, and I think on the evidence does not reach the maximum because of the interface I'm using to make the meas"&amp;"urements. In actual use the phone works perfectly even recording video to 4k, so it meets expectations, no delays or failures reading. I have also used temporarily with the camera and have no latency issues, so that the operation is correct, the less time"&amp;". The card comes sealed with a logo HP security and a serial number of authenticity, it is appreciated that also includes a Sd-MMC card adapter. Meets Expectations")</f>
        <v>Original product meets expectations 128GB card really leaves 116Gb use a formatted time. Ronzan speed tests 100Mb / s specified by the manufacturer, and I think on the evidence does not reach the maximum because of the interface I'm using to make the measurements. In actual use the phone works perfectly even recording video to 4k, so it meets expectations, no delays or failures reading. I have also used temporarily with the camera and have no latency issues, so that the operation is correct, the less time. The card comes sealed with a logo HP security and a serial number of authenticity, it is appreciated that also includes a Sd-MMC card adapter. Meets Expectations</v>
      </c>
    </row>
    <row r="536">
      <c r="A536" s="1">
        <v>4.0</v>
      </c>
      <c r="B536" s="1" t="s">
        <v>533</v>
      </c>
      <c r="C536" t="str">
        <f>IFERROR(__xludf.DUMMYFUNCTION("GOOGLETRANSLATE(B536, ""es"", ""en"")"),"Watch tough and hard but with improved lighting have not been able to test all functions but for now very good, looks strong and tough (on YouTube can see videos of the dirty things that make you and Peluco is unfazed). Only has a small flaw ... in the da"&amp;"rk light is not very effective, digital displays virtually unseen (although neither is very important to me) and the hands of the clock are best viewed but not rocket's take. If you wake up at midnight and want to know the time will cost you a bit.")</f>
        <v>Watch tough and hard but with improved lighting have not been able to test all functions but for now very good, looks strong and tough (on YouTube can see videos of the dirty things that make you and Peluco is unfazed). Only has a small flaw ... in the dark light is not very effective, digital displays virtually unseen (although neither is very important to me) and the hands of the clock are best viewed but not rocket's take. If you wake up at midnight and want to know the time will cost you a bit.</v>
      </c>
    </row>
    <row r="537">
      <c r="A537" s="1">
        <v>4.0</v>
      </c>
      <c r="B537" s="1" t="s">
        <v>534</v>
      </c>
      <c r="C537" t="str">
        <f>IFERROR(__xludf.DUMMYFUNCTION("GOOGLETRANSLATE(B537, ""es"", ""en"")"),"Backup Deal")</f>
        <v>Backup Deal</v>
      </c>
    </row>
    <row r="538">
      <c r="A538" s="1">
        <v>4.0</v>
      </c>
      <c r="B538" s="1" t="s">
        <v>535</v>
      </c>
      <c r="C538" t="str">
        <f>IFERROR(__xludf.DUMMYFUNCTION("GOOGLETRANSLATE(B538, ""es"", ""en"")"),"It puts something small to a size 95 but it is something small for that size, drawing matched the advertised product")</f>
        <v>It puts something small to a size 95 but it is something small for that size, drawing matched the advertised product</v>
      </c>
    </row>
    <row r="539">
      <c r="A539" s="1">
        <v>4.0</v>
      </c>
      <c r="B539" s="1" t="s">
        <v>536</v>
      </c>
      <c r="C539" t="str">
        <f>IFERROR(__xludf.DUMMYFUNCTION("GOOGLETRANSLATE(B539, ""es"", ""en"")"),"Recommended for 4K videos microSDXC This type of memory is U3 type, which means it is particularly suitable for read and write transfers at very high speed, which is necessary if we want to record video in 4K. Because many phones already incorporate the p"&amp;"ossibility of recording this resolution, I think the investment is more than reasonable, since it has a high capacity and is a necessity for sizes 4K videos. I always recommend recording at maximum resolution, since nothing inside will be a standard and w"&amp;"ill continue a while, so if you are now recording in HD or FULLHD, error, within a time will seem blurry. The eye gets used to the good stuff soon. The microSD card is but comes with SD adapter, perfect for connecting to notebooks, for example, if you wan"&amp;"t to use as SD or make backups. I made a test and write speed exceeds 30 Mb / s, which is fine, but should be more to specification, although it is true that my laptop has more than 5 years. Operation in the short term has been correct. Also it promises t"&amp;"o be waterproof, although I've wanted to check it out. I understand that if he does not carry mechanical parts, but can not find much sense, because if you bring in a camera is not waterproof, do not know what use is that. To withstand the temperature see"&amp;"ms more logical because the devices are often very hot. In short, a very correct choice with good quality / price ratio. I do not put all the stars as it has not been tested long term and that will have to value it more carefully after continued usage tim"&amp;"e.")</f>
        <v>Recommended for 4K videos microSDXC This type of memory is U3 type, which means it is particularly suitable for read and write transfers at very high speed, which is necessary if we want to record video in 4K. Because many phones already incorporate the possibility of recording this resolution, I think the investment is more than reasonable, since it has a high capacity and is a necessity for sizes 4K videos. I always recommend recording at maximum resolution, since nothing inside will be a standard and will continue a while, so if you are now recording in HD or FULLHD, error, within a time will seem blurry. The eye gets used to the good stuff soon. The microSD card is but comes with SD adapter, perfect for connecting to notebooks, for example, if you want to use as SD or make backups. I made a test and write speed exceeds 30 Mb / s, which is fine, but should be more to specification, although it is true that my laptop has more than 5 years. Operation in the short term has been correct. Also it promises to be waterproof, although I've wanted to check it out. I understand that if he does not carry mechanical parts, but can not find much sense, because if you bring in a camera is not waterproof, do not know what use is that. To withstand the temperature seems more logical because the devices are often very hot. In short, a very correct choice with good quality / price ratio. I do not put all the stars as it has not been tested long term and that will have to value it more carefully after continued usage time.</v>
      </c>
    </row>
    <row r="540">
      <c r="A540" s="1">
        <v>5.0</v>
      </c>
      <c r="B540" s="1" t="s">
        <v>537</v>
      </c>
      <c r="C540" t="str">
        <f>IFERROR(__xludf.DUMMYFUNCTION("GOOGLETRANSLATE(B540, ""es"", ""en"")"),"Eva is great this pants and price much cheaper q in stores. It is quality and is very comfortable. I took the floor size M and q 38/40 and I will spend perfect. I recommend it")</f>
        <v>Eva is great this pants and price much cheaper q in stores. It is quality and is very comfortable. I took the floor size M and q 38/40 and I will spend perfect. I recommend it</v>
      </c>
    </row>
    <row r="541">
      <c r="A541" s="1">
        <v>5.0</v>
      </c>
      <c r="B541" s="1" t="s">
        <v>538</v>
      </c>
      <c r="C541" t="str">
        <f>IFERROR(__xludf.DUMMYFUNCTION("GOOGLETRANSLATE(B541, ""es"", ""en"")"),"I love!! Dude, but now I'm super happy, I love the fabric is nice and cool, fall, fine, great for summer, colors are accurate to the image, I am very cool, I'm thinking of buying another.")</f>
        <v>I love!! Dude, but now I'm super happy, I love the fabric is nice and cool, fall, fine, great for summer, colors are accurate to the image, I am very cool, I'm thinking of buying another.</v>
      </c>
    </row>
    <row r="542">
      <c r="A542" s="1">
        <v>5.0</v>
      </c>
      <c r="B542" s="1" t="s">
        <v>539</v>
      </c>
      <c r="C542" t="str">
        <f>IFERROR(__xludf.DUMMYFUNCTION("GOOGLETRANSLATE(B542, ""es"", ""en"")"),"Good sound quality I love them, are very comfortable to wear and listen to great. The battery lasts much longer than the cover itself acts Charger, is also very beautiful and elegant outside is like leather, for a gift are great.")</f>
        <v>Good sound quality I love them, are very comfortable to wear and listen to great. The battery lasts much longer than the cover itself acts Charger, is also very beautiful and elegant outside is like leather, for a gift are great.</v>
      </c>
    </row>
    <row r="543">
      <c r="A543" s="1">
        <v>5.0</v>
      </c>
      <c r="B543" s="1" t="s">
        <v>540</v>
      </c>
      <c r="C543" t="str">
        <f>IFERROR(__xludf.DUMMYFUNCTION("GOOGLETRANSLATE(B543, ""es"", ""en"")"),"As expected I arrived early and stay super-cool")</f>
        <v>As expected I arrived early and stay super-cool</v>
      </c>
    </row>
    <row r="544">
      <c r="A544" s="1">
        <v>5.0</v>
      </c>
      <c r="B544" s="1" t="s">
        <v>541</v>
      </c>
      <c r="C544" t="str">
        <f>IFERROR(__xludf.DUMMYFUNCTION("GOOGLETRANSLATE(B544, ""es"", ""en"")"),"Better skill than strength is a versatile and very useful cutter. Easy to use and practice. Cuts up to twelve sheets of paper. The arm has a good idea and the service excellent seller. I recommend it.")</f>
        <v>Better skill than strength is a versatile and very useful cutter. Easy to use and practice. Cuts up to twelve sheets of paper. The arm has a good idea and the service excellent seller. I recommend it.</v>
      </c>
    </row>
    <row r="545">
      <c r="A545" s="1">
        <v>5.0</v>
      </c>
      <c r="B545" s="1" t="s">
        <v>542</v>
      </c>
      <c r="C545" t="str">
        <f>IFERROR(__xludf.DUMMYFUNCTION("GOOGLETRANSLATE(B545, ""es"", ""en"")"),"Good buy I was impressed. Very comfortable with many cases for q what you please")</f>
        <v>Good buy I was impressed. Very comfortable with many cases for q what you please</v>
      </c>
    </row>
    <row r="546">
      <c r="A546" s="1">
        <v>5.0</v>
      </c>
      <c r="B546" s="1" t="s">
        <v>543</v>
      </c>
      <c r="C546" t="str">
        <f>IFERROR(__xludf.DUMMYFUNCTION("GOOGLETRANSLATE(B546, ""es"", ""en"")"),"There is a good quality price relation. I just totally recommended purchase is super easy to receive and link them with mobile (I have a redmi Xiaomi Note 7). Eye must withdraw a small blue plastiquito connections that will contact the box is put back in "&amp;"the box ensure that the connection points make contact with the box. They are bright red. Re-take and settings Mobile Bluetooth select and already we have q appear the Airdots even your battery level (to me came to me with 100%) and nothing else, I had q "&amp;"do anything else as I read some @ q all he had to match or something. They have a lot of volume and quality of sound is not q is spectacular but neither can you ask more for the price q have (as q songs and where have gone down). To receive calls there ar"&amp;"e only q Press one to hear and answer the call (I tried them inside the house and hear perfectly, I do not know on the street). Q so bad you can not change the song has q go to the phone to change but for the price (I bought them on Amazon for 21,80 € shi"&amp;"pping included) are a bargain. Purchase totally recommended.")</f>
        <v>There is a good quality price relation. I just totally recommended purchase is super easy to receive and link them with mobile (I have a redmi Xiaomi Note 7). Eye must withdraw a small blue plastiquito connections that will contact the box is put back in the box ensure that the connection points make contact with the box. They are bright red. Re-take and settings Mobile Bluetooth select and already we have q appear the Airdots even your battery level (to me came to me with 100%) and nothing else, I had q do anything else as I read some @ q all he had to match or something. They have a lot of volume and quality of sound is not q is spectacular but neither can you ask more for the price q have (as q songs and where have gone down). To receive calls there are only q Press one to hear and answer the call (I tried them inside the house and hear perfectly, I do not know on the street). Q so bad you can not change the song has q go to the phone to change but for the price (I bought them on Amazon for 21,80 € shipping included) are a bargain. Purchase totally recommended.</v>
      </c>
    </row>
    <row r="547">
      <c r="A547" s="1">
        <v>5.0</v>
      </c>
      <c r="B547" s="1" t="s">
        <v>544</v>
      </c>
      <c r="C547" t="str">
        <f>IFERROR(__xludf.DUMMYFUNCTION("GOOGLETRANSLATE(B547, ""es"", ""en"")"),"Meets expectations works well.")</f>
        <v>Meets expectations works well.</v>
      </c>
    </row>
    <row r="548">
      <c r="A548" s="1">
        <v>5.0</v>
      </c>
      <c r="B548" s="1" t="s">
        <v>545</v>
      </c>
      <c r="C548" t="str">
        <f>IFERROR(__xludf.DUMMYFUNCTION("GOOGLETRANSLATE(B548, ""es"", ""en"")"),"A 😊 I arrived perfectly happy to stay ami encantadicima guy will love 🤩😍gracias Amazon, 😊")</f>
        <v>A 😊 I arrived perfectly happy to stay ami encantadicima guy will love 🤩😍gracias Amazon, 😊</v>
      </c>
    </row>
    <row r="549">
      <c r="A549" s="1">
        <v>5.0</v>
      </c>
      <c r="B549" s="1" t="s">
        <v>546</v>
      </c>
      <c r="C549" t="str">
        <f>IFERROR(__xludf.DUMMYFUNCTION("GOOGLETRANSLATE(B549, ""es"", ""en"")"),"fast shipping and all right all right, good buy")</f>
        <v>fast shipping and all right all right, good buy</v>
      </c>
    </row>
    <row r="550">
      <c r="A550" s="1">
        <v>5.0</v>
      </c>
      <c r="B550" s="1" t="s">
        <v>547</v>
      </c>
      <c r="C550" t="str">
        <f>IFERROR(__xludf.DUMMYFUNCTION("GOOGLETRANSLATE(B550, ""es"", ""en"")"),"Do you really like it is practical")</f>
        <v>Do you really like it is practical</v>
      </c>
    </row>
    <row r="551">
      <c r="A551" s="1">
        <v>5.0</v>
      </c>
      <c r="B551" s="1" t="s">
        <v>548</v>
      </c>
      <c r="C551" t="str">
        <f>IFERROR(__xludf.DUMMYFUNCTION("GOOGLETRANSLATE(B551, ""es"", ""en"")"),"Fanny very practical Perfect")</f>
        <v>Fanny very practical Perfect</v>
      </c>
    </row>
    <row r="552">
      <c r="A552" s="1">
        <v>5.0</v>
      </c>
      <c r="B552" s="1" t="s">
        <v>549</v>
      </c>
      <c r="C552" t="str">
        <f>IFERROR(__xludf.DUMMYFUNCTION("GOOGLETRANSLATE(B552, ""es"", ""en"")"),"Perfect. He had long been behind some Timberland boots, after Amazon letting me an offer, I ventured to pay good money, very watered down, but still a significant amount. They have not disappointed, completely original, smelling skin, are calentitas, comp"&amp;"letely waterproof and just ask average number less fit like a glove authentic. Anyone who is thinking about buying winter boots, do not skimp on expenses, this type of boots accompany you for years and years.")</f>
        <v>Perfect. He had long been behind some Timberland boots, after Amazon letting me an offer, I ventured to pay good money, very watered down, but still a significant amount. They have not disappointed, completely original, smelling skin, are calentitas, completely waterproof and just ask average number less fit like a glove authentic. Anyone who is thinking about buying winter boots, do not skimp on expenses, this type of boots accompany you for years and years.</v>
      </c>
    </row>
    <row r="553">
      <c r="A553" s="1">
        <v>5.0</v>
      </c>
      <c r="B553" s="1" t="s">
        <v>550</v>
      </c>
      <c r="C553" t="str">
        <f>IFERROR(__xludf.DUMMYFUNCTION("GOOGLETRANSLATE(B553, ""es"", ""en"")"),"Super relaxing massage I've given a surprise to my wife, I gave her a massage and was delighted, really he likes the smell and said it was very relaxing, let that put horny as a bitch.")</f>
        <v>Super relaxing massage I've given a surprise to my wife, I gave her a massage and was delighted, really he likes the smell and said it was very relaxing, let that put horny as a bitch.</v>
      </c>
    </row>
    <row r="554">
      <c r="A554" s="1">
        <v>5.0</v>
      </c>
      <c r="B554" s="1" t="s">
        <v>551</v>
      </c>
      <c r="C554" t="str">
        <f>IFERROR(__xludf.DUMMYFUNCTION("GOOGLETRANSLATE(B554, ""es"", ""en"")"),"Heated quickly heated to 50-55 degrees 20 liters in aproximadamrbte 5 minutoa")</f>
        <v>Heated quickly heated to 50-55 degrees 20 liters in aproximadamrbte 5 minutoa</v>
      </c>
    </row>
    <row r="555">
      <c r="A555" s="1">
        <v>5.0</v>
      </c>
      <c r="B555" s="1" t="s">
        <v>552</v>
      </c>
      <c r="C555" t="str">
        <f>IFERROR(__xludf.DUMMYFUNCTION("GOOGLETRANSLATE(B555, ""es"", ""en"")"),"You are great! perfect number, my number is 40 and q have asked. Meals, waterproof and very warm. I use daily in London and delighted.")</f>
        <v>You are great! perfect number, my number is 40 and q have asked. Meals, waterproof and very warm. I use daily in London and delighted.</v>
      </c>
    </row>
    <row r="556">
      <c r="A556" s="1">
        <v>5.0</v>
      </c>
      <c r="B556" s="1" t="s">
        <v>553</v>
      </c>
      <c r="C556" t="str">
        <f>IFERROR(__xludf.DUMMYFUNCTION("GOOGLETRANSLATE(B556, ""es"", ""en"")"),"Producte adequat is such reflexed photo com, measure 40mm. i és força prim. Bellesa highlights the simplicitat seva. The vaig buy meva per la dona i will be contentíssima.")</f>
        <v>Producte adequat is such reflexed photo com, measure 40mm. i és força prim. Bellesa highlights the simplicitat seva. The vaig buy meva per la dona i will be contentíssima.</v>
      </c>
    </row>
    <row r="557">
      <c r="A557" s="1">
        <v>5.0</v>
      </c>
      <c r="B557" s="1" t="s">
        <v>554</v>
      </c>
      <c r="C557" t="str">
        <f>IFERROR(__xludf.DUMMYFUNCTION("GOOGLETRANSLATE(B557, ""es"", ""en"")"),"Great to talk took 3 days with him and is the best I've been able to buy, you hear perfectly and the battery lasts a lot. They are very comfortable to wear. Very happy with headphones")</f>
        <v>Great to talk took 3 days with him and is the best I've been able to buy, you hear perfectly and the battery lasts a lot. They are very comfortable to wear. Very happy with headphones</v>
      </c>
    </row>
    <row r="558">
      <c r="A558" s="1">
        <v>5.0</v>
      </c>
      <c r="B558" s="1" t="s">
        <v>555</v>
      </c>
      <c r="C558" t="str">
        <f>IFERROR(__xludf.DUMMYFUNCTION("GOOGLETRANSLATE(B558, ""es"", ""en"")"),"Correct small and powerful, I expected")</f>
        <v>Correct small and powerful, I expected</v>
      </c>
    </row>
    <row r="559">
      <c r="A559" s="1">
        <v>2.0</v>
      </c>
      <c r="B559" s="1" t="s">
        <v>556</v>
      </c>
      <c r="C559" t="str">
        <f>IFERROR(__xludf.DUMMYFUNCTION("GOOGLETRANSLATE(B559, ""es"", ""en"")"),"Do not buy milk formula had high hopes in calm teats because I had been told was best for mixing breast and bottle. These nipples do not serve only milk formula for feeding. Formula is constantly clogged with what makes children despair. I tried to desacr"&amp;" formula at higher temperature but still stuck. PSEA only breast milk is good.")</f>
        <v>Do not buy milk formula had high hopes in calm teats because I had been told was best for mixing breast and bottle. These nipples do not serve only milk formula for feeding. Formula is constantly clogged with what makes children despair. I tried to desacr formula at higher temperature but still stuck. PSEA only breast milk is good.</v>
      </c>
    </row>
    <row r="560">
      <c r="A560" s="1">
        <v>3.0</v>
      </c>
      <c r="B560" s="1" t="s">
        <v>557</v>
      </c>
      <c r="C560" t="str">
        <f>IFERROR(__xludf.DUMMYFUNCTION("GOOGLETRANSLATE(B560, ""es"", ""en"")"),"I've fulfills its function tested by plugging directly to the phone and a USB interface focusrite and working properly. I bought a mini foot (of putting on the table) and the weight falls sometimes; I recommend using a normal micro foot.")</f>
        <v>I've fulfills its function tested by plugging directly to the phone and a USB interface focusrite and working properly. I bought a mini foot (of putting on the table) and the weight falls sometimes; I recommend using a normal micro foot.</v>
      </c>
    </row>
    <row r="561">
      <c r="A561" s="1">
        <v>3.0</v>
      </c>
      <c r="B561" s="1" t="s">
        <v>558</v>
      </c>
      <c r="C561" t="str">
        <f>IFERROR(__xludf.DUMMYFUNCTION("GOOGLETRANSLATE(B561, ""es"", ""en"")"),"Quality improved quality normalita according to the price. Proper operation even if the cable is too stiff compared to others I have.")</f>
        <v>Quality improved quality normalita according to the price. Proper operation even if the cable is too stiff compared to others I have.</v>
      </c>
    </row>
    <row r="562">
      <c r="A562" s="1">
        <v>1.0</v>
      </c>
      <c r="B562" s="1" t="s">
        <v>559</v>
      </c>
      <c r="C562" t="str">
        <f>IFERROR(__xludf.DUMMYFUNCTION("GOOGLETRANSLATE(B562, ""es"", ""en"")"),"Disapointment am a computer, had a solid (marac Crucial) on my laptop 240GB giving me a reading speed of 540Mgb, I bought two equal and the two do not reach the same capacity, being the same make and the same model and the two 960gb according to the manuf"&amp;"acturer, one comes with 920gb and 890gb other ..... very strange and suspicious. The worst is that on the same laptop I only get 300Mbs read speed, a little more than half my old ssd 240GB. I suggest spending a little more money and buy another brand / mo"&amp;"del. A big disappointment")</f>
        <v>Disapointment am a computer, had a solid (marac Crucial) on my laptop 240GB giving me a reading speed of 540Mgb, I bought two equal and the two do not reach the same capacity, being the same make and the same model and the two 960gb according to the manufacturer, one comes with 920gb and 890gb other ..... very strange and suspicious. The worst is that on the same laptop I only get 300Mbs read speed, a little more than half my old ssd 240GB. I suggest spending a little more money and buy another brand / model. A big disappointment</v>
      </c>
    </row>
    <row r="563">
      <c r="A563" s="1">
        <v>1.0</v>
      </c>
      <c r="B563" s="1" t="s">
        <v>560</v>
      </c>
      <c r="C563" t="str">
        <f>IFERROR(__xludf.DUMMYFUNCTION("GOOGLETRANSLATE(B563, ""es"", ""en"")"),"Is false, imitation Chinese clock initially looked good but I saw the warranty card in which you must fill serial num etc etc and that is not so in the sieko watches (I have one). Also in the area where the bottom has defects are white spots that have not"&amp;" performed well cut it. In order not recommend better to buy one really even worth 35% more expensive than this.")</f>
        <v>Is false, imitation Chinese clock initially looked good but I saw the warranty card in which you must fill serial num etc etc and that is not so in the sieko watches (I have one). Also in the area where the bottom has defects are white spots that have not performed well cut it. In order not recommend better to buy one really even worth 35% more expensive than this.</v>
      </c>
    </row>
    <row r="564">
      <c r="A564" s="1">
        <v>4.0</v>
      </c>
      <c r="B564" s="1" t="s">
        <v>561</v>
      </c>
      <c r="C564" t="str">
        <f>IFERROR(__xludf.DUMMYFUNCTION("GOOGLETRANSLATE(B564, ""es"", ""en"")"),"Magnifico Scraper Most importantly does not scratch, scratch and other models to the end is annoying at the same time painful, this is very good and the telesopico be very long. I recommend it")</f>
        <v>Magnifico Scraper Most importantly does not scratch, scratch and other models to the end is annoying at the same time painful, this is very good and the telesopico be very long. I recommend it</v>
      </c>
    </row>
    <row r="565">
      <c r="A565" s="1">
        <v>4.0</v>
      </c>
      <c r="B565" s="1" t="s">
        <v>562</v>
      </c>
      <c r="C565" t="str">
        <f>IFERROR(__xludf.DUMMYFUNCTION("GOOGLETRANSLATE(B565, ""es"", ""en"")"),"Effective recommend for value for money, it goes fast, and weighs little. freight good prices as usual. I recommend the same as the data kimstom 100 g2 traveler, I got 2 and going great.")</f>
        <v>Effective recommend for value for money, it goes fast, and weighs little. freight good prices as usual. I recommend the same as the data kimstom 100 g2 traveler, I got 2 and going great.</v>
      </c>
    </row>
    <row r="566">
      <c r="A566" s="1">
        <v>4.0</v>
      </c>
      <c r="B566" s="1" t="s">
        <v>563</v>
      </c>
      <c r="C566" t="str">
        <f>IFERROR(__xludf.DUMMYFUNCTION("GOOGLETRANSLATE(B566, ""es"", ""en"")"),"Rode is, somewhat pricey but excellent quality. The suspension greatly reduces noise and vibration to the handle pole or accidentally hit. I use it mainly with a NTG4 and BOOMPOLE also Rode. After half a year has endured many shootings and continues as th"&amp;"e first day except for gray cushions, which are no longer dirtied while no one to clean, that Rode had been well in the black fabricate directly. If you are looking for sound equipment premium Rode is a great brand and its products are always of the highe"&amp;"st quality. All my stereo is Rode except the Tascam recorder is (as it is the only thing that does not make Rode) and the truth is that product you buy them a product that lasts years.")</f>
        <v>Rode is, somewhat pricey but excellent quality. The suspension greatly reduces noise and vibration to the handle pole or accidentally hit. I use it mainly with a NTG4 and BOOMPOLE also Rode. After half a year has endured many shootings and continues as the first day except for gray cushions, which are no longer dirtied while no one to clean, that Rode had been well in the black fabricate directly. If you are looking for sound equipment premium Rode is a great brand and its products are always of the highest quality. All my stereo is Rode except the Tascam recorder is (as it is the only thing that does not make Rode) and the truth is that product you buy them a product that lasts years.</v>
      </c>
    </row>
    <row r="567">
      <c r="A567" s="1">
        <v>4.0</v>
      </c>
      <c r="B567" s="1" t="s">
        <v>564</v>
      </c>
      <c r="C567" t="str">
        <f>IFERROR(__xludf.DUMMYFUNCTION("GOOGLETRANSLATE(B567, ""es"", ""en"")"),"Heat durable camita use it for my chihuahuas and hard hot all night. The only bad thing is that it is not removable, but you put your a holster and ready")</f>
        <v>Heat durable camita use it for my chihuahuas and hard hot all night. The only bad thing is that it is not removable, but you put your a holster and ready</v>
      </c>
    </row>
    <row r="568">
      <c r="A568" s="1">
        <v>4.0</v>
      </c>
      <c r="B568" s="1" t="s">
        <v>565</v>
      </c>
      <c r="C568" t="str">
        <f>IFERROR(__xludf.DUMMYFUNCTION("GOOGLETRANSLATE(B568, ""es"", ""en"")"),"original color and very nice very nice and comfortable. The color is original and rarely seen")</f>
        <v>original color and very nice very nice and comfortable. The color is original and rarely seen</v>
      </c>
    </row>
    <row r="569">
      <c r="A569" s="1">
        <v>5.0</v>
      </c>
      <c r="B569" s="1" t="s">
        <v>566</v>
      </c>
      <c r="C569" t="str">
        <f>IFERROR(__xludf.DUMMYFUNCTION("GOOGLETRANSLATE(B569, ""es"", ""en"")"),"I love. Bambas good. Very comfortable and that q have delicate feet. The use for fitness and for street jeans. On the quality of the shoes, if not much mistreat (rain, mud ...) will continue as the first day. Highly recommended.")</f>
        <v>I love. Bambas good. Very comfortable and that q have delicate feet. The use for fitness and for street jeans. On the quality of the shoes, if not much mistreat (rain, mud ...) will continue as the first day. Highly recommended.</v>
      </c>
    </row>
    <row r="570">
      <c r="A570" s="1">
        <v>5.0</v>
      </c>
      <c r="B570" s="1" t="s">
        <v>567</v>
      </c>
      <c r="C570" t="str">
        <f>IFERROR(__xludf.DUMMYFUNCTION("GOOGLETRANSLATE(B570, ""es"", ""en"")"),"Blender great shakes Ideal for fruits and vegetables. What makes it crushed and is extremely easy to clean.")</f>
        <v>Blender great shakes Ideal for fruits and vegetables. What makes it crushed and is extremely easy to clean.</v>
      </c>
    </row>
    <row r="571">
      <c r="A571" s="1">
        <v>5.0</v>
      </c>
      <c r="B571" s="1" t="s">
        <v>568</v>
      </c>
      <c r="C571" t="str">
        <f>IFERROR(__xludf.DUMMYFUNCTION("GOOGLETRANSLATE(B571, ""es"", ""en"")"),"Excellent watch Super happy with this purchase, very good watch at an excellent price and most importantly 100% original, after several months using him give it a 10.")</f>
        <v>Excellent watch Super happy with this purchase, very good watch at an excellent price and most importantly 100% original, after several months using him give it a 10.</v>
      </c>
    </row>
    <row r="572">
      <c r="A572" s="1">
        <v>5.0</v>
      </c>
      <c r="B572" s="1" t="s">
        <v>569</v>
      </c>
      <c r="C572" t="str">
        <f>IFERROR(__xludf.DUMMYFUNCTION("GOOGLETRANSLATE(B572, ""es"", ""en"")"),"A clock with striking metal casing and chain and some pretty interesting finishes to a risible price.")</f>
        <v>A clock with striking metal casing and chain and some pretty interesting finishes to a risible price.</v>
      </c>
    </row>
    <row r="573">
      <c r="A573" s="1">
        <v>5.0</v>
      </c>
      <c r="B573" s="1" t="s">
        <v>570</v>
      </c>
      <c r="C573" t="str">
        <f>IFERROR(__xludf.DUMMYFUNCTION("GOOGLETRANSLATE(B573, ""es"", ""en"")"),"Comfortable and trendy I like its design. Comfortable not very high and it was what I wanted I bought one size more. So I can use the large stockings")</f>
        <v>Comfortable and trendy I like its design. Comfortable not very high and it was what I wanted I bought one size more. So I can use the large stockings</v>
      </c>
    </row>
    <row r="574">
      <c r="A574" s="1">
        <v>5.0</v>
      </c>
      <c r="B574" s="1" t="s">
        <v>571</v>
      </c>
      <c r="C574" t="str">
        <f>IFERROR(__xludf.DUMMYFUNCTION("GOOGLETRANSLATE(B574, ""es"", ""en"")"),"quality great price I'll buy when I screwed up, it's going very well, the film picks up right, not for low and super fast you have to watch. The size is right, the housing is part of hard rubber for shock.")</f>
        <v>quality great price I'll buy when I screwed up, it's going very well, the film picks up right, not for low and super fast you have to watch. The size is right, the housing is part of hard rubber for shock.</v>
      </c>
    </row>
    <row r="575">
      <c r="A575" s="1">
        <v>5.0</v>
      </c>
      <c r="B575" s="1" t="s">
        <v>572</v>
      </c>
      <c r="C575" t="str">
        <f>IFERROR(__xludf.DUMMYFUNCTION("GOOGLETRANSLATE(B575, ""es"", ""en"")"),"Very pleased with the purchase I think it has a value adequate. Tells time, it is comfortable, hold the water pressure (at the least two showers since yesterday I received, and I have no complaints). Ligerita weight, perhaps influenced by fine (or plastic"&amp;") glass having coverage. Let's see how it responds hereinafter. At the moment, meets expectation.")</f>
        <v>Very pleased with the purchase I think it has a value adequate. Tells time, it is comfortable, hold the water pressure (at the least two showers since yesterday I received, and I have no complaints). Ligerita weight, perhaps influenced by fine (or plastic) glass having coverage. Let's see how it responds hereinafter. At the moment, meets expectation.</v>
      </c>
    </row>
    <row r="576">
      <c r="A576" s="1">
        <v>5.0</v>
      </c>
      <c r="B576" s="1" t="s">
        <v>573</v>
      </c>
      <c r="C576" t="str">
        <f>IFERROR(__xludf.DUMMYFUNCTION("GOOGLETRANSLATE(B576, ""es"", ""en"")"),"Very nice photo Like")</f>
        <v>Very nice photo Like</v>
      </c>
    </row>
    <row r="577">
      <c r="A577" s="1">
        <v>5.0</v>
      </c>
      <c r="B577" s="1" t="s">
        <v>574</v>
      </c>
      <c r="C577" t="str">
        <f>IFERROR(__xludf.DUMMYFUNCTION("GOOGLETRANSLATE(B577, ""es"", ""en"")"),"Meets featured pitcher is very nice and is water heats up fast. I am very happy with the purchase.")</f>
        <v>Meets featured pitcher is very nice and is water heats up fast. I am very happy with the purchase.</v>
      </c>
    </row>
    <row r="578">
      <c r="A578" s="1">
        <v>5.0</v>
      </c>
      <c r="B578" s="1" t="s">
        <v>575</v>
      </c>
      <c r="C578" t="str">
        <f>IFERROR(__xludf.DUMMYFUNCTION("GOOGLETRANSLATE(B578, ""es"", ""en"")"),"Tactile digital display good headphones and battery box brings. Box also features an LED display that indicates the percentage of each handset battery. Also they incorporate several adapters for each type of silicon ear. Do not forget that also incorporat"&amp;"es a fabric bolsilla a bit average but very practical")</f>
        <v>Tactile digital display good headphones and battery box brings. Box also features an LED display that indicates the percentage of each handset battery. Also they incorporate several adapters for each type of silicon ear. Do not forget that also incorporates a fabric bolsilla a bit average but very practical</v>
      </c>
    </row>
    <row r="579">
      <c r="A579" s="1">
        <v>5.0</v>
      </c>
      <c r="B579" s="1" t="s">
        <v>576</v>
      </c>
      <c r="C579" t="str">
        <f>IFERROR(__xludf.DUMMYFUNCTION("GOOGLETRANSLATE(B579, ""es"", ""en"")"),"Sweatshirt Very nice and good quality")</f>
        <v>Sweatshirt Very nice and good quality</v>
      </c>
    </row>
    <row r="580">
      <c r="A580" s="1">
        <v>5.0</v>
      </c>
      <c r="B580" s="1" t="s">
        <v>577</v>
      </c>
      <c r="C580" t="str">
        <f>IFERROR(__xludf.DUMMYFUNCTION("GOOGLETRANSLATE(B580, ""es"", ""en"")"),"Large capacity, easy to wear The design is nice, very simple operation, for now works correctly and expands while the aroma. The main advantage is its large capacity, which makes not have to be continually filling the tank.")</f>
        <v>Large capacity, easy to wear The design is nice, very simple operation, for now works correctly and expands while the aroma. The main advantage is its large capacity, which makes not have to be continually filling the tank.</v>
      </c>
    </row>
    <row r="581">
      <c r="A581" s="1">
        <v>5.0</v>
      </c>
      <c r="B581" s="1" t="s">
        <v>42</v>
      </c>
      <c r="C581" t="str">
        <f>IFERROR(__xludf.DUMMYFUNCTION("GOOGLETRANSLATE(B581, ""es"", ""en"")"),"Well well")</f>
        <v>Well well</v>
      </c>
    </row>
    <row r="582">
      <c r="A582" s="1">
        <v>5.0</v>
      </c>
      <c r="B582" s="1" t="s">
        <v>578</v>
      </c>
      <c r="C582" t="str">
        <f>IFERROR(__xludf.DUMMYFUNCTION("GOOGLETRANSLATE(B582, ""es"", ""en"")"),"Comfortable I've loved the texture and blanditas they are. Perfectamento adapt to the foot, at the moment I do not see anything negative")</f>
        <v>Comfortable I've loved the texture and blanditas they are. Perfectamento adapt to the foot, at the moment I do not see anything negative</v>
      </c>
    </row>
    <row r="583">
      <c r="A583" s="1">
        <v>5.0</v>
      </c>
      <c r="B583" s="1" t="s">
        <v>579</v>
      </c>
      <c r="C583" t="str">
        <f>IFERROR(__xludf.DUMMYFUNCTION("GOOGLETRANSLATE(B583, ""es"", ""en"")"),"Good practice and well finished chest backpack to carry the essentials at your fingertips and controlled primarily for certain events and bike rides. Surprising quality, multiple departments and is waterproof. Good buy.")</f>
        <v>Good practice and well finished chest backpack to carry the essentials at your fingertips and controlled primarily for certain events and bike rides. Surprising quality, multiple departments and is waterproof. Good buy.</v>
      </c>
    </row>
    <row r="584">
      <c r="A584" s="1">
        <v>5.0</v>
      </c>
      <c r="B584" s="1" t="s">
        <v>580</v>
      </c>
      <c r="C584" t="str">
        <f>IFERROR(__xludf.DUMMYFUNCTION("GOOGLETRANSLATE(B584, ""es"", ""en"")"),"They buy perfect :) They are very well priced and just spend a few drops in each use. They smell good all essences :)")</f>
        <v>They buy perfect :) They are very well priced and just spend a few drops in each use. They smell good all essences :)</v>
      </c>
    </row>
    <row r="585">
      <c r="A585" s="1">
        <v>5.0</v>
      </c>
      <c r="B585" s="1" t="s">
        <v>581</v>
      </c>
      <c r="C585" t="str">
        <f>IFERROR(__xludf.DUMMYFUNCTION("GOOGLETRANSLATE(B585, ""es"", ""en"")"),"Cheap and with good performance sounds good and is easy to use. I am very happy with the product, how bad is it has only one meter long and I had to buy an extension cord, but overall good.")</f>
        <v>Cheap and with good performance sounds good and is easy to use. I am very happy with the product, how bad is it has only one meter long and I had to buy an extension cord, but overall good.</v>
      </c>
    </row>
    <row r="586">
      <c r="A586" s="1">
        <v>5.0</v>
      </c>
      <c r="B586" s="1" t="s">
        <v>582</v>
      </c>
      <c r="C586" t="str">
        <f>IFERROR(__xludf.DUMMYFUNCTION("GOOGLETRANSLATE(B586, ""es"", ""en"")"),"Perfect purchase perfect, the water holds 24h, loses temperature but not the whole. Super practical")</f>
        <v>Perfect purchase perfect, the water holds 24h, loses temperature but not the whole. Super practical</v>
      </c>
    </row>
    <row r="587">
      <c r="A587" s="1">
        <v>5.0</v>
      </c>
      <c r="B587" s="1" t="s">
        <v>583</v>
      </c>
      <c r="C587" t="str">
        <f>IFERROR(__xludf.DUMMYFUNCTION("GOOGLETRANSLATE(B587, ""es"", ""en"")"),"Not ugly it looked in the picture")</f>
        <v>Not ugly it looked in the picture</v>
      </c>
    </row>
    <row r="588">
      <c r="A588" s="1">
        <v>2.0</v>
      </c>
      <c r="B588" s="1" t="s">
        <v>584</v>
      </c>
      <c r="C588" t="str">
        <f>IFERROR(__xludf.DUMMYFUNCTION("GOOGLETRANSLATE(B588, ""es"", ""en"")"),"I think NOT FUNCTION PROPERLY memory stick I bought this and another similar in all performance and price. This was much slower and then started giving me problems. The other always worked out great.")</f>
        <v>I think NOT FUNCTION PROPERLY memory stick I bought this and another similar in all performance and price. This was much slower and then started giving me problems. The other always worked out great.</v>
      </c>
    </row>
    <row r="589">
      <c r="A589" s="1">
        <v>3.0</v>
      </c>
      <c r="B589" s="1" t="s">
        <v>585</v>
      </c>
      <c r="C589" t="str">
        <f>IFERROR(__xludf.DUMMYFUNCTION("GOOGLETRANSLATE(B589, ""es"", ""en"")"),"Useful and economic practice and economic")</f>
        <v>Useful and economic practice and economic</v>
      </c>
    </row>
    <row r="590">
      <c r="A590" s="1">
        <v>1.0</v>
      </c>
      <c r="B590" s="1" t="s">
        <v>586</v>
      </c>
      <c r="C590" t="str">
        <f>IFERROR(__xludf.DUMMYFUNCTION("GOOGLETRANSLATE(B590, ""es"", ""en"")"),"Lucia's have returned. They were too wide and I did not like the material they were like very plastic. Q They are not expected.")</f>
        <v>Lucia's have returned. They were too wide and I did not like the material they were like very plastic. Q They are not expected.</v>
      </c>
    </row>
    <row r="591">
      <c r="A591" s="1">
        <v>1.0</v>
      </c>
      <c r="B591" s="1" t="s">
        <v>587</v>
      </c>
      <c r="C591" t="str">
        <f>IFERROR(__xludf.DUMMYFUNCTION("GOOGLETRANSLATE(B591, ""es"", ""en"")"),"Connection failure has an important problem to be recognized in computers and televisions. Finally I chose to return it because in my new Samsung TV, amid content playback is disconnected; sometimes it takes longer, sometimes less, but ends disconnected.")</f>
        <v>Connection failure has an important problem to be recognized in computers and televisions. Finally I chose to return it because in my new Samsung TV, amid content playback is disconnected; sometimes it takes longer, sometimes less, but ends disconnected.</v>
      </c>
    </row>
    <row r="592">
      <c r="A592" s="1">
        <v>4.0</v>
      </c>
      <c r="B592" s="1" t="s">
        <v>588</v>
      </c>
      <c r="C592" t="str">
        <f>IFERROR(__xludf.DUMMYFUNCTION("GOOGLETRANSLATE(B592, ""es"", ""en"")"),"Expected, the product well expected, works perfectly and my computer with an SSD is much more fluid and more, I give enough cane and heat that makes the PC reaches enough temperature and other, for the perfect moment, not you I give 5 stars because I thin"&amp;"k the shipping method (by the manufacturer not Amazon) did not see it quite right just a cardboard box normally fine with ssd, drivers and instructions, could put an outer packaging or a foam so that it reaches well protected, then also it (that my thing)"&amp;", could add the sATA cable or at least the case screws, without 4 screws and costs led anything other than a perfect product.")</f>
        <v>Expected, the product well expected, works perfectly and my computer with an SSD is much more fluid and more, I give enough cane and heat that makes the PC reaches enough temperature and other, for the perfect moment, not you I give 5 stars because I think the shipping method (by the manufacturer not Amazon) did not see it quite right just a cardboard box normally fine with ssd, drivers and instructions, could put an outer packaging or a foam so that it reaches well protected, then also it (that my thing), could add the sATA cable or at least the case screws, without 4 screws and costs led anything other than a perfect product.</v>
      </c>
    </row>
    <row r="593">
      <c r="A593" s="1">
        <v>4.0</v>
      </c>
      <c r="B593" s="1" t="s">
        <v>589</v>
      </c>
      <c r="C593" t="str">
        <f>IFERROR(__xludf.DUMMYFUNCTION("GOOGLETRANSLATE(B593, ""es"", ""en"")"),"They are good quality tracksuit pants good and cheap, with polar interior, do not spend cold with them, slightly larger size, I stayed with an M, but use as dryer shrink a bit and look perfect.")</f>
        <v>They are good quality tracksuit pants good and cheap, with polar interior, do not spend cold with them, slightly larger size, I stayed with an M, but use as dryer shrink a bit and look perfect.</v>
      </c>
    </row>
    <row r="594">
      <c r="A594" s="1">
        <v>4.0</v>
      </c>
      <c r="B594" s="1" t="s">
        <v>590</v>
      </c>
      <c r="C594" t="str">
        <f>IFERROR(__xludf.DUMMYFUNCTION("GOOGLETRANSLATE(B594, ""es"", ""en"")"),"Capacity / speed. Good added capability to mobile devices. He is responding well to the needs of the phone and tablet.")</f>
        <v>Capacity / speed. Good added capability to mobile devices. He is responding well to the needs of the phone and tablet.</v>
      </c>
    </row>
    <row r="595">
      <c r="A595" s="1">
        <v>4.0</v>
      </c>
      <c r="B595" s="1" t="s">
        <v>591</v>
      </c>
      <c r="C595" t="str">
        <f>IFERROR(__xludf.DUMMYFUNCTION("GOOGLETRANSLATE(B595, ""es"", ""en"")"),"They work well correct operation, the adhesive is not the best in the world and can be terminated by releasing (cables, etc) but overall are good for the money they have.")</f>
        <v>They work well correct operation, the adhesive is not the best in the world and can be terminated by releasing (cables, etc) but overall are good for the money they have.</v>
      </c>
    </row>
    <row r="596">
      <c r="A596" s="1">
        <v>4.0</v>
      </c>
      <c r="B596" s="1" t="s">
        <v>592</v>
      </c>
      <c r="C596" t="str">
        <f>IFERROR(__xludf.DUMMYFUNCTION("GOOGLETRANSLATE(B596, ""es"", ""en"")"),"Large capacity the best price is a memory card 128 gigas. Arcanite of the brand. I must say that I had not heard of this brand, and on issues of computer and electronics am more in favor of playing it safe, but still decided to try it for good price. I ha"&amp;"ve to say that reading by the device was instantaneous, fast and first. It has a high capacity, so you make sure plenty of storage. It is a kind and brings SD adapter. Generally fulfills its function and is economical. A good buy.")</f>
        <v>Large capacity the best price is a memory card 128 gigas. Arcanite of the brand. I must say that I had not heard of this brand, and on issues of computer and electronics am more in favor of playing it safe, but still decided to try it for good price. I have to say that reading by the device was instantaneous, fast and first. It has a high capacity, so you make sure plenty of storage. It is a kind and brings SD adapter. Generally fulfills its function and is economical. A good buy.</v>
      </c>
    </row>
    <row r="597">
      <c r="A597" s="1">
        <v>5.0</v>
      </c>
      <c r="B597" s="1" t="s">
        <v>593</v>
      </c>
      <c r="C597" t="str">
        <f>IFERROR(__xludf.DUMMYFUNCTION("GOOGLETRANSLATE(B597, ""es"", ""en"")"),"Good product to take care of our body This massager has several speeds which allows you to fit your needs. With heat reduces contractures of the neck and back, helping to reduce pain in the neck gives me to the work. It is not light, but it is convenient "&amp;"to use and the benefits that offset this disadvantage. The power cord might be a bit longer because you have to be very close to an outlet where I feed it. Highly recommended if you have cervical problems and contractures.")</f>
        <v>Good product to take care of our body This massager has several speeds which allows you to fit your needs. With heat reduces contractures of the neck and back, helping to reduce pain in the neck gives me to the work. It is not light, but it is convenient to use and the benefits that offset this disadvantage. The power cord might be a bit longer because you have to be very close to an outlet where I feed it. Highly recommended if you have cervical problems and contractures.</v>
      </c>
    </row>
    <row r="598">
      <c r="A598" s="1">
        <v>5.0</v>
      </c>
      <c r="B598" s="1" t="s">
        <v>594</v>
      </c>
      <c r="C598" t="str">
        <f>IFERROR(__xludf.DUMMYFUNCTION("GOOGLETRANSLATE(B598, ""es"", ""en"")"),"Quality and tone The truth is that it is very good, feels robust and quality both visually and to the touch, all accessories can ask, support, arm, antipop, sponge ... And the sound quality is outstanding, Of course, I clear, without noise or strangers. D"&amp;"efinitely worth it.")</f>
        <v>Quality and tone The truth is that it is very good, feels robust and quality both visually and to the touch, all accessories can ask, support, arm, antipop, sponge ... And the sound quality is outstanding, Of course, I clear, without noise or strangers. Definitely worth it.</v>
      </c>
    </row>
    <row r="599">
      <c r="A599" s="1">
        <v>5.0</v>
      </c>
      <c r="B599" s="1" t="s">
        <v>595</v>
      </c>
      <c r="C599" t="str">
        <f>IFERROR(__xludf.DUMMYFUNCTION("GOOGLETRANSLATE(B599, ""es"", ""en"")"),"So comfortable! Order a number more than shoe Second pair I buy. I was afraid to stay small but as in all sports one greater than shoe is perfect. Combine well with everything, sweats, jeans, Chinese ... In addition, they are the most comfortable I've eve"&amp;"r had.")</f>
        <v>So comfortable! Order a number more than shoe Second pair I buy. I was afraid to stay small but as in all sports one greater than shoe is perfect. Combine well with everything, sweats, jeans, Chinese ... In addition, they are the most comfortable I've ever had.</v>
      </c>
    </row>
    <row r="600">
      <c r="A600" s="1">
        <v>5.0</v>
      </c>
      <c r="B600" s="1" t="s">
        <v>596</v>
      </c>
      <c r="C600" t="str">
        <f>IFERROR(__xludf.DUMMYFUNCTION("GOOGLETRANSLATE(B600, ""es"", ""en"")"),"SPECTACULAR There are ointments and oils that work very well, but if you want something that is immediate and fits-all muscle and joint aches this is your remedy-My back pain last a couple of days when it used to take one week. My father used to osteoarth"&amp;"ritis of the hands and my mother's knee. Total success!! Cunde lot, and totally natural. no longer miss at home. Thank you!!")</f>
        <v>SPECTACULAR There are ointments and oils that work very well, but if you want something that is immediate and fits-all muscle and joint aches this is your remedy-My back pain last a couple of days when it used to take one week. My father used to osteoarthritis of the hands and my mother's knee. Total success!! Cunde lot, and totally natural. no longer miss at home. Thank you!!</v>
      </c>
    </row>
    <row r="601">
      <c r="A601" s="1">
        <v>5.0</v>
      </c>
      <c r="B601" s="1" t="s">
        <v>597</v>
      </c>
      <c r="C601" t="str">
        <f>IFERROR(__xludf.DUMMYFUNCTION("GOOGLETRANSLATE(B601, ""es"", ""en"")"),"Very good value I recommend buying these headphones for those who do not want to pay a lot of money. The sound is very good and they adapt very well to the ears (are 3 sizes of ear adapter). You can answer calls to the smartphone by simply pressing a boto"&amp;" with headphones and coming to stay next to the neck. It has no volume control (the only downside) unless you download certain software from Sony in the Smartphone. It also comes with a handy cover for when you do not use and do not want the cable is woun"&amp;"d. I am very happy with the purchase.")</f>
        <v>Very good value I recommend buying these headphones for those who do not want to pay a lot of money. The sound is very good and they adapt very well to the ears (are 3 sizes of ear adapter). You can answer calls to the smartphone by simply pressing a boto with headphones and coming to stay next to the neck. It has no volume control (the only downside) unless you download certain software from Sony in the Smartphone. It also comes with a handy cover for when you do not use and do not want the cable is wound. I am very happy with the purchase.</v>
      </c>
    </row>
    <row r="602">
      <c r="A602" s="1">
        <v>5.0</v>
      </c>
      <c r="B602" s="1" t="s">
        <v>598</v>
      </c>
      <c r="C602" t="str">
        <f>IFERROR(__xludf.DUMMYFUNCTION("GOOGLETRANSLATE(B602, ""es"", ""en"")"),"Super nice woman shoe and practices are very comfortable and adapts well to the shape of the foot. They are really as I expected them to be.")</f>
        <v>Super nice woman shoe and practices are very comfortable and adapts well to the shape of the foot. They are really as I expected them to be.</v>
      </c>
    </row>
    <row r="603">
      <c r="A603" s="1">
        <v>5.0</v>
      </c>
      <c r="B603" s="1" t="s">
        <v>599</v>
      </c>
      <c r="C603" t="str">
        <f>IFERROR(__xludf.DUMMYFUNCTION("GOOGLETRANSLATE(B603, ""es"", ""en"")"),"Very good value I have used these tapes manufactured homes cat colony, street. These houses are placed outdoors and have to endure rain, wind, cold ice cream. For now the result is still great, enduring without problems.")</f>
        <v>Very good value I have used these tapes manufactured homes cat colony, street. These houses are placed outdoors and have to endure rain, wind, cold ice cream. For now the result is still great, enduring without problems.</v>
      </c>
    </row>
    <row r="604">
      <c r="A604" s="1">
        <v>5.0</v>
      </c>
      <c r="B604" s="1" t="s">
        <v>600</v>
      </c>
      <c r="C604" t="str">
        <f>IFERROR(__xludf.DUMMYFUNCTION("GOOGLETRANSLATE(B604, ""es"", ""en"")"),"BEST bought these memories RAM for ASUS sustitutirlas on my PC desktop i7 and 6GB gift of Kingston RAM. Change RAM is the easiest of the world. Search on Google. With these features, I find the best of the market right now. Excellent heat dissipation, spe"&amp;"ed in abundance and full compatibility. Consult your motherboard to see if it is compatible with its characteristics. My pc ripped fast, but is now a brown beast at all. The next will buy an SSD for the operating system. If it was fast before, now it a sh"&amp;"ot. Another recommendation is an SSD to your PC.")</f>
        <v>BEST bought these memories RAM for ASUS sustitutirlas on my PC desktop i7 and 6GB gift of Kingston RAM. Change RAM is the easiest of the world. Search on Google. With these features, I find the best of the market right now. Excellent heat dissipation, speed in abundance and full compatibility. Consult your motherboard to see if it is compatible with its characteristics. My pc ripped fast, but is now a brown beast at all. The next will buy an SSD for the operating system. If it was fast before, now it a shot. Another recommendation is an SSD to your PC.</v>
      </c>
    </row>
    <row r="605">
      <c r="A605" s="1">
        <v>5.0</v>
      </c>
      <c r="B605" s="1" t="s">
        <v>601</v>
      </c>
      <c r="C605" t="str">
        <f>IFERROR(__xludf.DUMMYFUNCTION("GOOGLETRANSLATE(B605, ""es"", ""en"")"),"I like it because I'm a fan The bottom is not well engaged and does not work in Mac but I love")</f>
        <v>I like it because I'm a fan The bottom is not well engaged and does not work in Mac but I love</v>
      </c>
    </row>
    <row r="606">
      <c r="A606" s="1">
        <v>5.0</v>
      </c>
      <c r="B606" s="1" t="s">
        <v>602</v>
      </c>
      <c r="C606" t="str">
        <f>IFERROR(__xludf.DUMMYFUNCTION("GOOGLETRANSLATE(B606, ""es"", ""en"")"),"Such right as described; the sphere and the hours are very clear. Perhaps as a single no objection to adjust the strap to the wrist size.")</f>
        <v>Such right as described; the sphere and the hours are very clear. Perhaps as a single no objection to adjust the strap to the wrist size.</v>
      </c>
    </row>
    <row r="607">
      <c r="A607" s="1">
        <v>5.0</v>
      </c>
      <c r="B607" s="1" t="s">
        <v>603</v>
      </c>
      <c r="C607" t="str">
        <f>IFERROR(__xludf.DUMMYFUNCTION("GOOGLETRANSLATE(B607, ""es"", ""en"")"),"Ana The watch came in perfect condition. Perfectly packaged by Amazon. It was for my boyfriend and size is ideal. It seems to have a better than other more traditional models casio finish. I recommend it enough for man.")</f>
        <v>Ana The watch came in perfect condition. Perfectly packaged by Amazon. It was for my boyfriend and size is ideal. It seems to have a better than other more traditional models casio finish. I recommend it enough for man.</v>
      </c>
    </row>
    <row r="608">
      <c r="A608" s="1">
        <v>5.0</v>
      </c>
      <c r="B608" s="1" t="s">
        <v>604</v>
      </c>
      <c r="C608" t="str">
        <f>IFERROR(__xludf.DUMMYFUNCTION("GOOGLETRANSLATE(B608, ""es"", ""en"")"),"Very smooth Size is very good, the softness that has made practically look like an ordinary blanket. He had electric blankets and were always stiff and hardwired, this stands out for its flexibility and softness, besides the heat it gives it is strong and"&amp;" comforting, which is what more can you ask for this product. For me it has served its purpose fully.")</f>
        <v>Very smooth Size is very good, the softness that has made practically look like an ordinary blanket. He had electric blankets and were always stiff and hardwired, this stands out for its flexibility and softness, besides the heat it gives it is strong and comforting, which is what more can you ask for this product. For me it has served its purpose fully.</v>
      </c>
    </row>
    <row r="609">
      <c r="A609" s="1">
        <v>5.0</v>
      </c>
      <c r="B609" s="1" t="s">
        <v>605</v>
      </c>
      <c r="C609" t="str">
        <f>IFERROR(__xludf.DUMMYFUNCTION("GOOGLETRANSLATE(B609, ""es"", ""en"")"),"Comfortable, small, well insulated and with a good audio for the price for which they are. A bargain. The box where are stored and used to load is fine, it's smaller than I expected (approx. About 6 cm in diameter). It has a button to open the taba and ac"&amp;"cess to headphones. The headphones are super easy to pair with your mobile. As for comfort are fine, they do not weigh almost nothing and are not very large (not protruding from the ear as others). To go running, go to the gym and some sports activity are"&amp;" entirely valid, because they do not move and the danger of falling is virtually nil. The audio quality is good for the price they have: low are well balanced midrange and high squeal in the ear no other. Isolation is also a plus point of these headphones"&amp;". On the other hand what I do not end, is that if you have some background noise being without playing anything. Another aspect is the issue of the ""touch control"" is not very intuitive, okay, but it's not intuitive.")</f>
        <v>Comfortable, small, well insulated and with a good audio for the price for which they are. A bargain. The box where are stored and used to load is fine, it's smaller than I expected (approx. About 6 cm in diameter). It has a button to open the taba and access to headphones. The headphones are super easy to pair with your mobile. As for comfort are fine, they do not weigh almost nothing and are not very large (not protruding from the ear as others). To go running, go to the gym and some sports activity are entirely valid, because they do not move and the danger of falling is virtually nil. The audio quality is good for the price they have: low are well balanced midrange and high squeal in the ear no other. Isolation is also a plus point of these headphones. On the other hand what I do not end, is that if you have some background noise being without playing anything. Another aspect is the issue of the "touch control" is not very intuitive, okay, but it's not intuitive.</v>
      </c>
    </row>
    <row r="610">
      <c r="A610" s="1">
        <v>5.0</v>
      </c>
      <c r="B610" s="1" t="s">
        <v>606</v>
      </c>
      <c r="C610" t="str">
        <f>IFERROR(__xludf.DUMMYFUNCTION("GOOGLETRANSLATE(B610, ""es"", ""en"")"),"As is the description Great, good packaging and in perfect condition a terrific gift.")</f>
        <v>As is the description Great, good packaging and in perfect condition a terrific gift.</v>
      </c>
    </row>
    <row r="611">
      <c r="A611" s="1">
        <v>5.0</v>
      </c>
      <c r="B611" s="1" t="s">
        <v>607</v>
      </c>
      <c r="C611" t="str">
        <f>IFERROR(__xludf.DUMMYFUNCTION("GOOGLETRANSLATE(B611, ""es"", ""en"")"),"Perfect Luck. You can not ask for better customer service. I slept right foot why I have wide, I contacted with Luck and sent as slippers. Thank Luck Spain.")</f>
        <v>Perfect Luck. You can not ask for better customer service. I slept right foot why I have wide, I contacted with Luck and sent as slippers. Thank Luck Spain.</v>
      </c>
    </row>
    <row r="612">
      <c r="A612" s="1">
        <v>5.0</v>
      </c>
      <c r="B612" s="1" t="s">
        <v>608</v>
      </c>
      <c r="C612" t="str">
        <f>IFERROR(__xludf.DUMMYFUNCTION("GOOGLETRANSLATE(B612, ""es"", ""en"")"),"I love Superga originals are. They have enchanted me. Wanting them had time, and the price is too good. His only problem is that dirty easily but the white be, is normal. Rest in quality, color, lavaods, comfort, all give 10/10. Super recommended.")</f>
        <v>I love Superga originals are. They have enchanted me. Wanting them had time, and the price is too good. His only problem is that dirty easily but the white be, is normal. Rest in quality, color, lavaods, comfort, all give 10/10. Super recommended.</v>
      </c>
    </row>
    <row r="613">
      <c r="A613" s="1">
        <v>5.0</v>
      </c>
      <c r="B613" s="1" t="s">
        <v>609</v>
      </c>
      <c r="C613" t="str">
        <f>IFERROR(__xludf.DUMMYFUNCTION("GOOGLETRANSLATE(B613, ""es"", ""en"")"),"wonderful design is a marvel of headphones spectacular design good size can put the case in his pocket without noticing I bought for my sister and I loved me too very cool sound very good quality and to make calls what speaks to you is perfectly comfortab"&amp;"le listening very fast and connect the ear fit well can exercise without fear of falling case comes with a screen indicating the battery charge level holds can not ask much more advisable 100%")</f>
        <v>wonderful design is a marvel of headphones spectacular design good size can put the case in his pocket without noticing I bought for my sister and I loved me too very cool sound very good quality and to make calls what speaks to you is perfectly comfortable listening very fast and connect the ear fit well can exercise without fear of falling case comes with a screen indicating the battery charge level holds can not ask much more advisable 100%</v>
      </c>
    </row>
    <row r="614">
      <c r="A614" s="1">
        <v>5.0</v>
      </c>
      <c r="B614" s="1" t="s">
        <v>610</v>
      </c>
      <c r="C614" t="str">
        <f>IFERROR(__xludf.DUMMYFUNCTION("GOOGLETRANSLATE(B614, ""es"", ""en"")"),"However, I do not use it I sent it to my daughter.")</f>
        <v>However, I do not use it I sent it to my daughter.</v>
      </c>
    </row>
    <row r="615">
      <c r="A615" s="1">
        <v>2.0</v>
      </c>
      <c r="B615" s="1" t="s">
        <v>611</v>
      </c>
      <c r="C615" t="str">
        <f>IFERROR(__xludf.DUMMYFUNCTION("GOOGLETRANSLATE(B615, ""es"", ""en"")"),"Ay Valle bought me not to wear a shirt and trousers but not fit me very small !!! It serves more for a carteira !!!")</f>
        <v>Ay Valle bought me not to wear a shirt and trousers but not fit me very small !!! It serves more for a carteira !!!</v>
      </c>
    </row>
    <row r="616">
      <c r="A616" s="1">
        <v>3.0</v>
      </c>
      <c r="B616" s="1" t="s">
        <v>612</v>
      </c>
      <c r="C616" t="str">
        <f>IFERROR(__xludf.DUMMYFUNCTION("GOOGLETRANSLATE(B616, ""es"", ""en"")"),"Too low they are very elastic, but I find them very low, would be better if they were to the ankles.")</f>
        <v>Too low they are very elastic, but I find them very low, would be better if they were to the ankles.</v>
      </c>
    </row>
    <row r="617">
      <c r="A617" s="1">
        <v>3.0</v>
      </c>
      <c r="B617" s="1" t="s">
        <v>613</v>
      </c>
      <c r="C617" t="str">
        <f>IFERROR(__xludf.DUMMYFUNCTION("GOOGLETRANSLATE(B617, ""es"", ""en"")"),"Acceptable expected it to be better quality but after two months of use, the peaks of the filer are very deteriorated. I think it's highly advisable that had a metal reinforcement in the corners. It goes so well because the rubber is very practical and ri"&amp;"ngs far have not had any problems")</f>
        <v>Acceptable expected it to be better quality but after two months of use, the peaks of the filer are very deteriorated. I think it's highly advisable that had a metal reinforcement in the corners. It goes so well because the rubber is very practical and rings far have not had any problems</v>
      </c>
    </row>
    <row r="618">
      <c r="A618" s="1">
        <v>1.0</v>
      </c>
      <c r="B618" s="1" t="s">
        <v>614</v>
      </c>
      <c r="C618" t="str">
        <f>IFERROR(__xludf.DUMMYFUNCTION("GOOGLETRANSLATE(B618, ""es"", ""en"")"),"Crappy quality I find amazing that after a month of use have made a hole in the toe of the shoe. Quality is nefarious. I am very unhappy with the purchase. I will try to contact the seller.")</f>
        <v>Crappy quality I find amazing that after a month of use have made a hole in the toe of the shoe. Quality is nefarious. I am very unhappy with the purchase. I will try to contact the seller.</v>
      </c>
    </row>
    <row r="619">
      <c r="A619" s="1">
        <v>1.0</v>
      </c>
      <c r="B619" s="1" t="s">
        <v>615</v>
      </c>
      <c r="C619" t="str">
        <f>IFERROR(__xludf.DUMMYFUNCTION("GOOGLETRANSLATE(B619, ""es"", ""en"")"),"They look like a fake Puma you can buy at any market. Are very bad quality, some fake Puma seem that you can buy in any market, the soles are a joke.")</f>
        <v>They look like a fake Puma you can buy at any market. Are very bad quality, some fake Puma seem that you can buy in any market, the soles are a joke.</v>
      </c>
    </row>
    <row r="620">
      <c r="A620" s="1">
        <v>1.0</v>
      </c>
      <c r="B620" s="1" t="s">
        <v>616</v>
      </c>
      <c r="C620" t="str">
        <f>IFERROR(__xludf.DUMMYFUNCTION("GOOGLETRANSLATE(B620, ""es"", ""en"")"),"Bad buy buy it for a gift and the truth that comes nicely packaged but not only worth the presentation. Although take many drops of oil does not smell anything so I do not recommend at all")</f>
        <v>Bad buy buy it for a gift and the truth that comes nicely packaged but not only worth the presentation. Although take many drops of oil does not smell anything so I do not recommend at all</v>
      </c>
    </row>
    <row r="621">
      <c r="A621" s="1">
        <v>4.0</v>
      </c>
      <c r="B621" s="1" t="s">
        <v>617</v>
      </c>
      <c r="C621" t="str">
        <f>IFERROR(__xludf.DUMMYFUNCTION("GOOGLETRANSLATE(B621, ""es"", ""en"")"),"Perfect to carry Good to incorporate USB keychain and carry around. You are now a bit outdated since it is not 3.0. but it does its job perfectly. recommendable")</f>
        <v>Perfect to carry Good to incorporate USB keychain and carry around. You are now a bit outdated since it is not 3.0. but it does its job perfectly. recommendable</v>
      </c>
    </row>
    <row r="622">
      <c r="A622" s="1">
        <v>4.0</v>
      </c>
      <c r="B622" s="1" t="s">
        <v>618</v>
      </c>
      <c r="C622" t="str">
        <f>IFERROR(__xludf.DUMMYFUNCTION("GOOGLETRANSLATE(B622, ""es"", ""en"")"),"a good buy a good buy. I was not wrong with the purchase, good product and delivery it is also very good")</f>
        <v>a good buy a good buy. I was not wrong with the purchase, good product and delivery it is also very good</v>
      </c>
    </row>
    <row r="623">
      <c r="A623" s="1">
        <v>4.0</v>
      </c>
      <c r="B623" s="1" t="s">
        <v>619</v>
      </c>
      <c r="C623" t="str">
        <f>IFERROR(__xludf.DUMMYFUNCTION("GOOGLETRANSLATE(B623, ""es"", ""en"")"),"money well")</f>
        <v>money well</v>
      </c>
    </row>
    <row r="624">
      <c r="A624" s="1">
        <v>4.0</v>
      </c>
      <c r="B624" s="1" t="s">
        <v>620</v>
      </c>
      <c r="C624" t="str">
        <f>IFERROR(__xludf.DUMMYFUNCTION("GOOGLETRANSLATE(B624, ""es"", ""en"")"),"as it comes on the photo Wonderful never disappoints")</f>
        <v>as it comes on the photo Wonderful never disappoints</v>
      </c>
    </row>
    <row r="625">
      <c r="A625" s="1">
        <v>5.0</v>
      </c>
      <c r="B625" s="1" t="s">
        <v>621</v>
      </c>
      <c r="C625" t="str">
        <f>IFERROR(__xludf.DUMMYFUNCTION("GOOGLETRANSLATE(B625, ""es"", ""en"")"),"Well, they are Converse. I never liked its design, materials, lack of resistance ... But my daughter wanted that it marks ""mola"" ;-D")</f>
        <v>Well, they are Converse. I never liked its design, materials, lack of resistance ... But my daughter wanted that it marks "mola" ;-D</v>
      </c>
    </row>
    <row r="626">
      <c r="A626" s="1">
        <v>5.0</v>
      </c>
      <c r="B626" s="1" t="s">
        <v>622</v>
      </c>
      <c r="C626" t="str">
        <f>IFERROR(__xludf.DUMMYFUNCTION("GOOGLETRANSLATE(B626, ""es"", ""en"")"),"'IT'S A corkboard !!!!! MAN LOVES ME, IN THE END IS ONLY A corkboard, BUT ....... IS WHAT HAD TO BE.")</f>
        <v>'IT'S A corkboard !!!!! MAN LOVES ME, IN THE END IS ONLY A corkboard, BUT ....... IS WHAT HAD TO BE.</v>
      </c>
    </row>
    <row r="627">
      <c r="A627" s="1">
        <v>5.0</v>
      </c>
      <c r="B627" s="1" t="s">
        <v>623</v>
      </c>
      <c r="C627" t="str">
        <f>IFERROR(__xludf.DUMMYFUNCTION("GOOGLETRANSLATE(B627, ""es"", ""en"")"),"Is very strong. It is very strong. The best I've tasted")</f>
        <v>Is very strong. It is very strong. The best I've tasted</v>
      </c>
    </row>
    <row r="628">
      <c r="A628" s="1">
        <v>5.0</v>
      </c>
      <c r="B628" s="1" t="s">
        <v>624</v>
      </c>
      <c r="C628" t="str">
        <f>IFERROR(__xludf.DUMMYFUNCTION("GOOGLETRANSLATE(B628, ""es"", ""en"")"),"Magnifica unquestionable quality presentation. Acompañdo even comes with a tool and instructions to shorten the chain of stainless steel. Highly recommended as a replacement for silicone straps.")</f>
        <v>Magnifica unquestionable quality presentation. Acompañdo even comes with a tool and instructions to shorten the chain of stainless steel. Highly recommended as a replacement for silicone straps.</v>
      </c>
    </row>
    <row r="629">
      <c r="A629" s="1">
        <v>5.0</v>
      </c>
      <c r="B629" s="1" t="s">
        <v>625</v>
      </c>
      <c r="C629" t="str">
        <f>IFERROR(__xludf.DUMMYFUNCTION("GOOGLETRANSLATE(B629, ""es"", ""en"")"),"Very slight very slight, beautiful and modern. They fit perfectly to the foot and seem to fly with them. The gray paste perfectly with all")</f>
        <v>Very slight very slight, beautiful and modern. They fit perfectly to the foot and seem to fly with them. The gray paste perfectly with all</v>
      </c>
    </row>
    <row r="630">
      <c r="A630" s="1">
        <v>5.0</v>
      </c>
      <c r="B630" s="1" t="s">
        <v>626</v>
      </c>
      <c r="C630" t="str">
        <f>IFERROR(__xludf.DUMMYFUNCTION("GOOGLETRANSLATE(B630, ""es"", ""en"")"),"Good cheap nice gift. Good quality and perfect for gift giving")</f>
        <v>Good cheap nice gift. Good quality and perfect for gift giving</v>
      </c>
    </row>
    <row r="631">
      <c r="A631" s="1">
        <v>5.0</v>
      </c>
      <c r="B631" s="1" t="s">
        <v>627</v>
      </c>
      <c r="C631" t="str">
        <f>IFERROR(__xludf.DUMMYFUNCTION("GOOGLETRANSLATE(B631, ""es"", ""en"")"),"All right. All right, as expected, I have liked it, very happy with purchase, thank you very much.")</f>
        <v>All right. All right, as expected, I have liked it, very happy with purchase, thank you very much.</v>
      </c>
    </row>
    <row r="632">
      <c r="A632" s="1">
        <v>5.0</v>
      </c>
      <c r="B632" s="1" t="s">
        <v>628</v>
      </c>
      <c r="C632" t="str">
        <f>IFERROR(__xludf.DUMMYFUNCTION("GOOGLETRANSLATE(B632, ""es"", ""en"")"),"Skechers shoes without laces. It was what I wanted and a good precio.Muchas thanks.")</f>
        <v>Skechers shoes without laces. It was what I wanted and a good precio.Muchas thanks.</v>
      </c>
    </row>
    <row r="633">
      <c r="A633" s="1">
        <v>5.0</v>
      </c>
      <c r="B633" s="1" t="s">
        <v>629</v>
      </c>
      <c r="C633" t="str">
        <f>IFERROR(__xludf.DUMMYFUNCTION("GOOGLETRANSLATE(B633, ""es"", ""en"")"),"Awesome for the price you can not ask for more. It was out of the box and hands be rotated to indicate the hour, then I just had to select the time zone to be correct. De aparciencia is fine, larger than I expected.")</f>
        <v>Awesome for the price you can not ask for more. It was out of the box and hands be rotated to indicate the hour, then I just had to select the time zone to be correct. De aparciencia is fine, larger than I expected.</v>
      </c>
    </row>
    <row r="634">
      <c r="A634" s="1">
        <v>5.0</v>
      </c>
      <c r="B634" s="1" t="s">
        <v>630</v>
      </c>
      <c r="C634" t="str">
        <f>IFERROR(__xludf.DUMMYFUNCTION("GOOGLETRANSLATE(B634, ""es"", ""en"")"),"Honesty and professionalism Is What It Seemed I was surprised that it took so little to arrive")</f>
        <v>Honesty and professionalism Is What It Seemed I was surprised that it took so little to arrive</v>
      </c>
    </row>
    <row r="635">
      <c r="A635" s="1">
        <v>5.0</v>
      </c>
      <c r="B635" s="1" t="s">
        <v>631</v>
      </c>
      <c r="C635" t="str">
        <f>IFERROR(__xludf.DUMMYFUNCTION("GOOGLETRANSLATE(B635, ""es"", ""en"")"),"original headphones arrived in time and working properly")</f>
        <v>original headphones arrived in time and working properly</v>
      </c>
    </row>
    <row r="636">
      <c r="A636" s="1">
        <v>5.0</v>
      </c>
      <c r="B636" s="1" t="s">
        <v>632</v>
      </c>
      <c r="C636" t="str">
        <f>IFERROR(__xludf.DUMMYFUNCTION("GOOGLETRANSLATE(B636, ""es"", ""en"")"),"Great great as always Casio's great size is perfect and it is nice to the old style with the usual quality was delighted with the purchase. The case is also stainless steel.")</f>
        <v>Great great as always Casio's great size is perfect and it is nice to the old style with the usual quality was delighted with the purchase. The case is also stainless steel.</v>
      </c>
    </row>
    <row r="637">
      <c r="A637" s="1">
        <v>5.0</v>
      </c>
      <c r="B637" s="1" t="s">
        <v>633</v>
      </c>
      <c r="C637" t="str">
        <f>IFERROR(__xludf.DUMMYFUNCTION("GOOGLETRANSLATE(B637, ""es"", ""en"")"),"Meets! The card is beautiful although any other card goes for the switch, the extra price is just for the design.")</f>
        <v>Meets! The card is beautiful although any other card goes for the switch, the extra price is just for the design.</v>
      </c>
    </row>
    <row r="638">
      <c r="A638" s="1">
        <v>5.0</v>
      </c>
      <c r="B638" s="1" t="s">
        <v>634</v>
      </c>
      <c r="C638" t="str">
        <f>IFERROR(__xludf.DUMMYFUNCTION("GOOGLETRANSLATE(B638, ""es"", ""en"")"),"Very good choice Very cheap and quite quality, I have given multiple uses: mobile, video camera, projector and computer, and in all cases the result is optimal.")</f>
        <v>Very good choice Very cheap and quite quality, I have given multiple uses: mobile, video camera, projector and computer, and in all cases the result is optimal.</v>
      </c>
    </row>
    <row r="639">
      <c r="A639" s="1">
        <v>5.0</v>
      </c>
      <c r="B639" s="1" t="s">
        <v>635</v>
      </c>
      <c r="C639" t="str">
        <f>IFERROR(__xludf.DUMMYFUNCTION("GOOGLETRANSLATE(B639, ""es"", ""en"")"),"The bracelet charm bracelet I received earlier than expected, so I was great to take it on vacation this summer. It fits perfectly because it is elastic, until one night I put on my arm. Very friendly seller resolving the doubts he had, sure to come back "&amp;"to buy")</f>
        <v>The bracelet charm bracelet I received earlier than expected, so I was great to take it on vacation this summer. It fits perfectly because it is elastic, until one night I put on my arm. Very friendly seller resolving the doubts he had, sure to come back to buy</v>
      </c>
    </row>
    <row r="640">
      <c r="A640" s="1">
        <v>5.0</v>
      </c>
      <c r="B640" s="1" t="s">
        <v>636</v>
      </c>
      <c r="C640" t="str">
        <f>IFERROR(__xludf.DUMMYFUNCTION("GOOGLETRANSLATE(B640, ""es"", ""en"")"),"Surface Pro 4 fulfills its function in a Surface Pro 4. HDMI audio output will also get the wing TV (select it in Windows playback devices). Compact and versatile design with many outputs.")</f>
        <v>Surface Pro 4 fulfills its function in a Surface Pro 4. HDMI audio output will also get the wing TV (select it in Windows playback devices). Compact and versatile design with many outputs.</v>
      </c>
    </row>
    <row r="641">
      <c r="A641" s="1">
        <v>5.0</v>
      </c>
      <c r="B641" s="1" t="s">
        <v>637</v>
      </c>
      <c r="C641" t="str">
        <f>IFERROR(__xludf.DUMMYFUNCTION("GOOGLETRANSLATE(B641, ""es"", ""en"")"),"Her lower spectacular model and I jumped these are also a limited edition dark gray. The sound as always in Audio Technica more than acceptable. I use them for podcast recording and luxury van. Isolate enough of the noise and not too overwhelming, you can"&amp;" have several hours positions that do not get tired. These gray bring, unlike blacks, a rigid box for storage when not in use. Buy recommended.")</f>
        <v>Her lower spectacular model and I jumped these are also a limited edition dark gray. The sound as always in Audio Technica more than acceptable. I use them for podcast recording and luxury van. Isolate enough of the noise and not too overwhelming, you can have several hours positions that do not get tired. These gray bring, unlike blacks, a rigid box for storage when not in use. Buy recommended.</v>
      </c>
    </row>
    <row r="642">
      <c r="A642" s="1">
        <v>5.0</v>
      </c>
      <c r="B642" s="1" t="s">
        <v>638</v>
      </c>
      <c r="C642" t="str">
        <f>IFERROR(__xludf.DUMMYFUNCTION("GOOGLETRANSLATE(B642, ""es"", ""en"")"),"Okey entire house. do not break two days as others.")</f>
        <v>Okey entire house. do not break two days as others.</v>
      </c>
    </row>
    <row r="643">
      <c r="A643" s="1">
        <v>5.0</v>
      </c>
      <c r="B643" s="1" t="s">
        <v>639</v>
      </c>
      <c r="C643" t="str">
        <f>IFERROR(__xludf.DUMMYFUNCTION("GOOGLETRANSLATE(B643, ""es"", ""en"")"),"Product with good quality materials. Great sound quality. He is looking good headphones for running and the need is covered. Easy setup and intuitive operation. It is easy to change songs or pick up a call without mobile hand. Adjusting the headset to you"&amp;"r ear is perfect not move or go out while running and are very comfortable. The sound quality is very good, the bass is impressive. And finally the cargo box is wonderful, charging function while're not using them is perfect. Definitely recommended.")</f>
        <v>Product with good quality materials. Great sound quality. He is looking good headphones for running and the need is covered. Easy setup and intuitive operation. It is easy to change songs or pick up a call without mobile hand. Adjusting the headset to your ear is perfect not move or go out while running and are very comfortable. The sound quality is very good, the bass is impressive. And finally the cargo box is wonderful, charging function while're not using them is perfect. Definitely recommended.</v>
      </c>
    </row>
    <row r="644">
      <c r="A644" s="1">
        <v>2.0</v>
      </c>
      <c r="B644" s="1" t="s">
        <v>640</v>
      </c>
      <c r="C644" t="str">
        <f>IFERROR(__xludf.DUMMYFUNCTION("GOOGLETRANSLATE(B644, ""es"", ""en"")"),"It does not correspond to the images and ads. The product does not correspond to advertised nor with the photograph appearing with inner lining and another color on the strap. In reality not bring liner and the belt is white as the rest of the shoe.")</f>
        <v>It does not correspond to the images and ads. The product does not correspond to advertised nor with the photograph appearing with inner lining and another color on the strap. In reality not bring liner and the belt is white as the rest of the shoe.</v>
      </c>
    </row>
    <row r="645">
      <c r="A645" s="1">
        <v>3.0</v>
      </c>
      <c r="B645" s="1" t="s">
        <v>641</v>
      </c>
      <c r="C645" t="str">
        <f>IFERROR(__xludf.DUMMYFUNCTION("GOOGLETRANSLATE(B645, ""es"", ""en"")"),"Large with good sound are very large and after a few minutes the ear hurts. Sound very good")</f>
        <v>Large with good sound are very large and after a few minutes the ear hurts. Sound very good</v>
      </c>
    </row>
    <row r="646">
      <c r="A646" s="1">
        <v>3.0</v>
      </c>
      <c r="B646" s="1" t="s">
        <v>642</v>
      </c>
      <c r="C646" t="str">
        <f>IFERROR(__xludf.DUMMYFUNCTION("GOOGLETRANSLATE(B646, ""es"", ""en"")"),"Not bad but somewhat plasticky The color is brighter than the picture. That along with the touch it gives me the impression of a plastic strap (although I have not done the test of fire). For the price it is good and does the job for the day to day but I "&amp;"would not put for a more formal occasion.")</f>
        <v>Not bad but somewhat plasticky The color is brighter than the picture. That along with the touch it gives me the impression of a plastic strap (although I have not done the test of fire). For the price it is good and does the job for the day to day but I would not put for a more formal occasion.</v>
      </c>
    </row>
    <row r="647">
      <c r="A647" s="1">
        <v>3.0</v>
      </c>
      <c r="B647" s="1" t="s">
        <v>643</v>
      </c>
      <c r="C647" t="str">
        <f>IFERROR(__xludf.DUMMYFUNCTION("GOOGLETRANSLATE(B647, ""es"", ""en"")"),"Good quality at a great price. It works perfectly, the only downside is the quality that is very sensitive to shock and friction, but for that price is very good and also is very comfortable. quite pleased")</f>
        <v>Good quality at a great price. It works perfectly, the only downside is the quality that is very sensitive to shock and friction, but for that price is very good and also is very comfortable. quite pleased</v>
      </c>
    </row>
    <row r="648">
      <c r="A648" s="1">
        <v>1.0</v>
      </c>
      <c r="B648" s="1" t="s">
        <v>644</v>
      </c>
      <c r="C648" t="str">
        <f>IFERROR(__xludf.DUMMYFUNCTION("GOOGLETRANSLATE(B648, ""es"", ""en"")"),"What it smells .... Smells not look anything like what they advertise, or kills smell of cheap air freshener mosquitoes, compared with natural essence, just smelling chemical. Direct them away. The truth, according worth smell.")</f>
        <v>What it smells .... Smells not look anything like what they advertise, or kills smell of cheap air freshener mosquitoes, compared with natural essence, just smelling chemical. Direct them away. The truth, according worth smell.</v>
      </c>
    </row>
    <row r="649">
      <c r="A649" s="1">
        <v>1.0</v>
      </c>
      <c r="B649" s="1" t="s">
        <v>645</v>
      </c>
      <c r="C649" t="str">
        <f>IFERROR(__xludf.DUMMYFUNCTION("GOOGLETRANSLATE(B649, ""es"", ""en"")"),"They are thought NIKE NIKE Eram, photo deceived me.")</f>
        <v>They are thought NIKE NIKE Eram, photo deceived me.</v>
      </c>
    </row>
    <row r="650">
      <c r="A650" s="1">
        <v>4.0</v>
      </c>
      <c r="B650" s="1" t="s">
        <v>646</v>
      </c>
      <c r="C650" t="str">
        <f>IFERROR(__xludf.DUMMYFUNCTION("GOOGLETRANSLATE(B650, ""es"", ""en"")"),"It's a pretty useful slate blackboard useful for anywhere with a flat surface, like a closet, a door, a wall. I've been looking for a board to put on the wall and to make notes of the goals that I'm proposing and progress of different things. It is useful"&amp;" to have a slate of these different types if projects are done to check off the steps to be getting. It includes all three markers for this slate with their respective drafts, although I recommend a rag or anything else to clear since there remains too cl"&amp;"ean if these drafts are used. So far I have not had any problems.")</f>
        <v>It's a pretty useful slate blackboard useful for anywhere with a flat surface, like a closet, a door, a wall. I've been looking for a board to put on the wall and to make notes of the goals that I'm proposing and progress of different things. It is useful to have a slate of these different types if projects are done to check off the steps to be getting. It includes all three markers for this slate with their respective drafts, although I recommend a rag or anything else to clear since there remains too clean if these drafts are used. So far I have not had any problems.</v>
      </c>
    </row>
    <row r="651">
      <c r="A651" s="1">
        <v>4.0</v>
      </c>
      <c r="B651" s="1" t="s">
        <v>647</v>
      </c>
      <c r="C651" t="str">
        <f>IFERROR(__xludf.DUMMYFUNCTION("GOOGLETRANSLATE(B651, ""es"", ""en"")"),"They are cheap as the description but they should really put that prick. Are uncomfortable to sleep and fingers stuck in the put. Material good and good price.")</f>
        <v>They are cheap as the description but they should really put that prick. Are uncomfortable to sleep and fingers stuck in the put. Material good and good price.</v>
      </c>
    </row>
    <row r="652">
      <c r="A652" s="1">
        <v>4.0</v>
      </c>
      <c r="B652" s="1" t="s">
        <v>648</v>
      </c>
      <c r="C652" t="str">
        <f>IFERROR(__xludf.DUMMYFUNCTION("GOOGLETRANSLATE(B652, ""es"", ""en"")"),"Good Value for money")</f>
        <v>Good Value for money</v>
      </c>
    </row>
    <row r="653">
      <c r="A653" s="1">
        <v>4.0</v>
      </c>
      <c r="B653" s="1" t="s">
        <v>649</v>
      </c>
      <c r="C653" t="str">
        <f>IFERROR(__xludf.DUMMYFUNCTION("GOOGLETRANSLATE(B653, ""es"", ""en"")"),"Good quality is worth. Comfortable and pretty good money")</f>
        <v>Good quality is worth. Comfortable and pretty good money</v>
      </c>
    </row>
    <row r="654">
      <c r="A654" s="1">
        <v>4.0</v>
      </c>
      <c r="B654" s="1" t="s">
        <v>650</v>
      </c>
      <c r="C654" t="str">
        <f>IFERROR(__xludf.DUMMYFUNCTION("GOOGLETRANSLATE(B654, ""es"", ""en"")"),"God has sent me a dead cat! I have sent a dead cat !!! God!!! Jokes aside, not bad as wind filter but if it's windy or cat or dead child is worth.")</f>
        <v>God has sent me a dead cat! I have sent a dead cat !!! God!!! Jokes aside, not bad as wind filter but if it's windy or cat or dead child is worth.</v>
      </c>
    </row>
    <row r="655">
      <c r="A655" s="1">
        <v>5.0</v>
      </c>
      <c r="B655" s="1" t="s">
        <v>651</v>
      </c>
      <c r="C655" t="str">
        <f>IFERROR(__xludf.DUMMYFUNCTION("GOOGLETRANSLATE(B655, ""es"", ""en"")"),"Nostalgia I can tell wearing sneakers small, it brings back memories and I can joint with a variety clothes.")</f>
        <v>Nostalgia I can tell wearing sneakers small, it brings back memories and I can joint with a variety clothes.</v>
      </c>
    </row>
    <row r="656">
      <c r="A656" s="1">
        <v>5.0</v>
      </c>
      <c r="B656" s="1" t="s">
        <v>652</v>
      </c>
      <c r="C656" t="str">
        <f>IFERROR(__xludf.DUMMYFUNCTION("GOOGLETRANSLATE(B656, ""es"", ""en"")"),"Very good for mobile One of the trusted brands in the memories of all kinds, reliable and perfect. I recommend it to expand the capacity of any mobile. This carries an adapter to use it as a normal SD card.")</f>
        <v>Very good for mobile One of the trusted brands in the memories of all kinds, reliable and perfect. I recommend it to expand the capacity of any mobile. This carries an adapter to use it as a normal SD card.</v>
      </c>
    </row>
    <row r="657">
      <c r="A657" s="1">
        <v>5.0</v>
      </c>
      <c r="B657" s="1" t="s">
        <v>653</v>
      </c>
      <c r="C657" t="str">
        <f>IFERROR(__xludf.DUMMYFUNCTION("GOOGLETRANSLATE(B657, ""es"", ""en"")"),"Very good blender !!! Take 1 month with this blender, and now I can only say good things ... I am delighted !!! I use every day and doing great !!!! Totally recommended 100% .Without doubt would buy.")</f>
        <v>Very good blender !!! Take 1 month with this blender, and now I can only say good things ... I am delighted !!! I use every day and doing great !!!! Totally recommended 100% .Without doubt would buy.</v>
      </c>
    </row>
    <row r="658">
      <c r="A658" s="1">
        <v>5.0</v>
      </c>
      <c r="B658" s="1" t="s">
        <v>654</v>
      </c>
      <c r="C658" t="str">
        <f>IFERROR(__xludf.DUMMYFUNCTION("GOOGLETRANSLATE(B658, ""es"", ""en"")"),"This great Very Good")</f>
        <v>This great Very Good</v>
      </c>
    </row>
    <row r="659">
      <c r="A659" s="1">
        <v>5.0</v>
      </c>
      <c r="B659" s="1" t="s">
        <v>655</v>
      </c>
      <c r="C659" t="str">
        <f>IFERROR(__xludf.DUMMYFUNCTION("GOOGLETRANSLATE(B659, ""es"", ""en"")"),"Powerful recommended, the would buy")</f>
        <v>Powerful recommended, the would buy</v>
      </c>
    </row>
    <row r="660">
      <c r="A660" s="1">
        <v>5.0</v>
      </c>
      <c r="B660" s="1" t="s">
        <v>656</v>
      </c>
      <c r="C660" t="str">
        <f>IFERROR(__xludf.DUMMYFUNCTION("GOOGLETRANSLATE(B660, ""es"", ""en"")"),"Perfect I wanted an equal clock he had, funcinal, small and all components not needed. Very good for me")</f>
        <v>Perfect I wanted an equal clock he had, funcinal, small and all components not needed. Very good for me</v>
      </c>
    </row>
    <row r="661">
      <c r="A661" s="1">
        <v>5.0</v>
      </c>
      <c r="B661" s="1" t="s">
        <v>657</v>
      </c>
      <c r="C661" t="str">
        <f>IFERROR(__xludf.DUMMYFUNCTION("GOOGLETRANSLATE(B661, ""es"", ""en"")"),"I love me like one momtom the correct shipping and price more")</f>
        <v>I love me like one momtom the correct shipping and price more</v>
      </c>
    </row>
    <row r="662">
      <c r="A662" s="1">
        <v>5.0</v>
      </c>
      <c r="B662" s="1" t="s">
        <v>658</v>
      </c>
      <c r="C662" t="str">
        <f>IFERROR(__xludf.DUMMYFUNCTION("GOOGLETRANSLATE(B662, ""es"", ""en"")"),"Like the photo does not use batteries, go with the movement. It's very cool and so far has not changed color")</f>
        <v>Like the photo does not use batteries, go with the movement. It's very cool and so far has not changed color</v>
      </c>
    </row>
    <row r="663">
      <c r="A663" s="1">
        <v>5.0</v>
      </c>
      <c r="B663" s="1" t="s">
        <v>659</v>
      </c>
      <c r="C663" t="str">
        <f>IFERROR(__xludf.DUMMYFUNCTION("GOOGLETRANSLATE(B663, ""es"", ""en"")"),"Good good quality as always with this brand")</f>
        <v>Good good quality as always with this brand</v>
      </c>
    </row>
    <row r="664">
      <c r="A664" s="1">
        <v>5.0</v>
      </c>
      <c r="B664" s="1" t="s">
        <v>660</v>
      </c>
      <c r="C664" t="str">
        <f>IFERROR(__xludf.DUMMYFUNCTION("GOOGLETRANSLATE(B664, ""es"", ""en"")"),"Good buy I was impressed how well it works and how firm it is, I stuck to concrete walls both indoors and outdoors would definitely buy it again")</f>
        <v>Good buy I was impressed how well it works and how firm it is, I stuck to concrete walls both indoors and outdoors would definitely buy it again</v>
      </c>
    </row>
    <row r="665">
      <c r="A665" s="1">
        <v>5.0</v>
      </c>
      <c r="B665" s="1" t="s">
        <v>661</v>
      </c>
      <c r="C665" t="str">
        <f>IFERROR(__xludf.DUMMYFUNCTION("GOOGLETRANSLATE(B665, ""es"", ""en"")"),"I love it, I love it. As it is shown in the photo. Feels great. The perfect size for me. Strong fabric. I will repeat this brand definitely. There is a good quality price relation.")</f>
        <v>I love it, I love it. As it is shown in the photo. Feels great. The perfect size for me. Strong fabric. I will repeat this brand definitely. There is a good quality price relation.</v>
      </c>
    </row>
    <row r="666">
      <c r="A666" s="1">
        <v>5.0</v>
      </c>
      <c r="B666" s="1" t="s">
        <v>662</v>
      </c>
      <c r="C666" t="str">
        <f>IFERROR(__xludf.DUMMYFUNCTION("GOOGLETRANSLATE(B666, ""es"", ""en"")"),"Useful and economical velcro flanges are the best way to organize and collect cabling. A carrying different sizes can organize the job in a more efficient for both the employee and the technician. They are easy to open and close, to add or remove cables c"&amp;"losing. Cable ties are often single use and pollute more.")</f>
        <v>Useful and economical velcro flanges are the best way to organize and collect cabling. A carrying different sizes can organize the job in a more efficient for both the employee and the technician. They are easy to open and close, to add or remove cables closing. Cable ties are often single use and pollute more.</v>
      </c>
    </row>
    <row r="667">
      <c r="A667" s="1">
        <v>5.0</v>
      </c>
      <c r="B667" s="1" t="s">
        <v>663</v>
      </c>
      <c r="C667" t="str">
        <f>IFERROR(__xludf.DUMMYFUNCTION("GOOGLETRANSLATE(B667, ""es"", ""en"")"),"Perfect are the most comfortable shoes I've ever had. In addition, they weigh nothing and are very calentitas. Very satisfied with the purchase.")</f>
        <v>Perfect are the most comfortable shoes I've ever had. In addition, they weigh nothing and are very calentitas. Very satisfied with the purchase.</v>
      </c>
    </row>
    <row r="668">
      <c r="A668" s="1">
        <v>5.0</v>
      </c>
      <c r="B668" s="1" t="s">
        <v>664</v>
      </c>
      <c r="C668" t="str">
        <f>IFERROR(__xludf.DUMMYFUNCTION("GOOGLETRANSLATE(B668, ""es"", ""en"")"),"This is perfect and as indicated, are very good and are comfortable")</f>
        <v>This is perfect and as indicated, are very good and are comfortable</v>
      </c>
    </row>
    <row r="669">
      <c r="A669" s="1">
        <v>5.0</v>
      </c>
      <c r="B669" s="1" t="s">
        <v>665</v>
      </c>
      <c r="C669" t="str">
        <f>IFERROR(__xludf.DUMMYFUNCTION("GOOGLETRANSLATE(B669, ""es"", ""en"")"),"Teresa are the best tennis shoes I bought, comfortable and great. At first pedi average number more than my size for the comments but I had to ask my real number.")</f>
        <v>Teresa are the best tennis shoes I bought, comfortable and great. At first pedi average number more than my size for the comments but I had to ask my real number.</v>
      </c>
    </row>
    <row r="670">
      <c r="A670" s="1">
        <v>5.0</v>
      </c>
      <c r="B670" s="1" t="s">
        <v>666</v>
      </c>
      <c r="C670" t="str">
        <f>IFERROR(__xludf.DUMMYFUNCTION("GOOGLETRANSLATE(B670, ""es"", ""en"")"),"Highly recommended item perfect. Great sound quality at a very reasonable price. They are also quite comfortable and looking tough. Diadem squeezes a bit if you have more hours stalls, is the only thing. Delivery, ultrafast. All highly recommended.")</f>
        <v>Highly recommended item perfect. Great sound quality at a very reasonable price. They are also quite comfortable and looking tough. Diadem squeezes a bit if you have more hours stalls, is the only thing. Delivery, ultrafast. All highly recommended.</v>
      </c>
    </row>
    <row r="671">
      <c r="A671" s="1">
        <v>5.0</v>
      </c>
      <c r="B671" s="1" t="s">
        <v>667</v>
      </c>
      <c r="C671" t="str">
        <f>IFERROR(__xludf.DUMMYFUNCTION("GOOGLETRANSLATE(B671, ""es"", ""en"")"),"Marina am super feliz😍 an incredible shoe have the wide instep and are ideal apretan me not on any side super comfortable, great design and grip! They are the second LaSportiva I have and the best shoe I've worn in my life")</f>
        <v>Marina am super feliz😍 an incredible shoe have the wide instep and are ideal apretan me not on any side super comfortable, great design and grip! They are the second LaSportiva I have and the best shoe I've worn in my life</v>
      </c>
    </row>
    <row r="672">
      <c r="A672" s="1">
        <v>5.0</v>
      </c>
      <c r="B672" s="1" t="s">
        <v>668</v>
      </c>
      <c r="C672" t="str">
        <f>IFERROR(__xludf.DUMMYFUNCTION("GOOGLETRANSLATE(B672, ""es"", ""en"")"),"I bought is very nice jacket in black Talla E 38 (European) as it is that I use, however I have some long sleeves and wide. So if you want to stay or just buy one size smaller Fitted; and if you do not mind buying it remains well off the size you normally"&amp;" wear. It is cotton, very comfortable.")</f>
        <v>I bought is very nice jacket in black Talla E 38 (European) as it is that I use, however I have some long sleeves and wide. So if you want to stay or just buy one size smaller Fitted; and if you do not mind buying it remains well off the size you normally wear. It is cotton, very comfortable.</v>
      </c>
    </row>
    <row r="673">
      <c r="A673" s="1">
        <v>5.0</v>
      </c>
      <c r="B673" s="1" t="s">
        <v>669</v>
      </c>
      <c r="C673" t="str">
        <f>IFERROR(__xludf.DUMMYFUNCTION("GOOGLETRANSLATE(B673, ""es"", ""en"")"),"Serious company, product highly recommended and fast money on shipping recommend it 100%. Serious company, product highly recommended and fast money on shipping recommend it 100%.")</f>
        <v>Serious company, product highly recommended and fast money on shipping recommend it 100%. Serious company, product highly recommended and fast money on shipping recommend it 100%.</v>
      </c>
    </row>
    <row r="674">
      <c r="A674" s="1">
        <v>2.0</v>
      </c>
      <c r="B674" s="1" t="s">
        <v>670</v>
      </c>
      <c r="C674" t="str">
        <f>IFERROR(__xludf.DUMMYFUNCTION("GOOGLETRANSLATE(B674, ""es"", ""en"")"),"Carmen Not worth absolutely nothing (better a toothbrush hard). According to advertising, it removes the hard part. Is not true. Never more.")</f>
        <v>Carmen Not worth absolutely nothing (better a toothbrush hard). According to advertising, it removes the hard part. Is not true. Never more.</v>
      </c>
    </row>
    <row r="675">
      <c r="A675" s="1">
        <v>3.0</v>
      </c>
      <c r="B675" s="1" t="s">
        <v>671</v>
      </c>
      <c r="C675" t="str">
        <f>IFERROR(__xludf.DUMMYFUNCTION("GOOGLETRANSLATE(B675, ""es"", ""en"")"),"Worthless is not very noticeable smell of oil so as aroma diffuser is not very efficient and as humudificador excaso stays. I do not recommend purchase")</f>
        <v>Worthless is not very noticeable smell of oil so as aroma diffuser is not very efficient and as humudificador excaso stays. I do not recommend purchase</v>
      </c>
    </row>
    <row r="676">
      <c r="A676" s="1">
        <v>1.0</v>
      </c>
      <c r="B676" s="1" t="s">
        <v>672</v>
      </c>
      <c r="C676" t="str">
        <f>IFERROR(__xludf.DUMMYFUNCTION("GOOGLETRANSLATE(B676, ""es"", ""en"")"),"breaks easily buy it and put it twice and I have already released the links and can not reconnect ... bone bracelet that served me ... and not for what it could and hold better .. .")</f>
        <v>breaks easily buy it and put it twice and I have already released the links and can not reconnect ... bone bracelet that served me ... and not for what it could and hold better .. .</v>
      </c>
    </row>
    <row r="677">
      <c r="A677" s="1">
        <v>1.0</v>
      </c>
      <c r="B677" s="1" t="s">
        <v>673</v>
      </c>
      <c r="C677" t="str">
        <f>IFERROR(__xludf.DUMMYFUNCTION("GOOGLETRANSLATE(B677, ""es"", ""en"")"),"The product was too small as three sizes less than what is contained in the etiqueta.no could not enter standing there")</f>
        <v>The product was too small as three sizes less than what is contained in the etiqueta.no could not enter standing there</v>
      </c>
    </row>
    <row r="678">
      <c r="A678" s="1">
        <v>4.0</v>
      </c>
      <c r="B678" s="1" t="s">
        <v>674</v>
      </c>
      <c r="C678" t="str">
        <f>IFERROR(__xludf.DUMMYFUNCTION("GOOGLETRANSLATE(B678, ""es"", ""en"")"),"New Life for the PC is my first experience with SSDs and the truth is that my PC has improved significantly in 2011. I have it installed for S.O. next to a HDD and especially the beginning is brilliant and overall performance improved as well. I had to up"&amp;"date some things, such as SATA connections, etc. Because 4 * ?, because SRS. SANDISK your application has been updated and now no longer detects the SSD. And neither you can go to a previous version, very bad.")</f>
        <v>New Life for the PC is my first experience with SSDs and the truth is that my PC has improved significantly in 2011. I have it installed for S.O. next to a HDD and especially the beginning is brilliant and overall performance improved as well. I had to update some things, such as SATA connections, etc. Because 4 * ?, because SRS. SANDISK your application has been updated and now no longer detects the SSD. And neither you can go to a previous version, very bad.</v>
      </c>
    </row>
    <row r="679">
      <c r="A679" s="1">
        <v>4.0</v>
      </c>
      <c r="B679" s="1" t="s">
        <v>675</v>
      </c>
      <c r="C679" t="str">
        <f>IFERROR(__xludf.DUMMYFUNCTION("GOOGLETRANSLATE(B679, ""es"", ""en"")"),"All right well, although shoelaces already broken :(")</f>
        <v>All right well, although shoelaces already broken :(</v>
      </c>
    </row>
    <row r="680">
      <c r="A680" s="1">
        <v>4.0</v>
      </c>
      <c r="B680" s="1" t="s">
        <v>676</v>
      </c>
      <c r="C680" t="str">
        <f>IFERROR(__xludf.DUMMYFUNCTION("GOOGLETRANSLATE(B680, ""es"", ""en"")"),"Puts gray looks green but almost green ... it is nice but the failure of the color, you have to be more accurate")</f>
        <v>Puts gray looks green but almost green ... it is nice but the failure of the color, you have to be more accurate</v>
      </c>
    </row>
    <row r="681">
      <c r="A681" s="1">
        <v>4.0</v>
      </c>
      <c r="B681" s="1" t="s">
        <v>677</v>
      </c>
      <c r="C681" t="str">
        <f>IFERROR(__xludf.DUMMYFUNCTION("GOOGLETRANSLATE(B681, ""es"", ""en"")"),"Tools that facilitate work practices and useful tools that allow work with professional quality at a fair price")</f>
        <v>Tools that facilitate work practices and useful tools that allow work with professional quality at a fair price</v>
      </c>
    </row>
    <row r="682">
      <c r="A682" s="1">
        <v>4.0</v>
      </c>
      <c r="B682" s="1" t="s">
        <v>678</v>
      </c>
      <c r="C682" t="str">
        <f>IFERROR(__xludf.DUMMYFUNCTION("GOOGLETRANSLATE(B682, ""es"", ""en"")"),"It was great when I bought it. the main reason I bought it because it was cheaper, now I'm back to look at and a bit more expensive .... rare change the truth. The product itself is good, but I analyzed because I bought it here before.")</f>
        <v>It was great when I bought it. the main reason I bought it because it was cheaper, now I'm back to look at and a bit more expensive .... rare change the truth. The product itself is good, but I analyzed because I bought it here before.</v>
      </c>
    </row>
    <row r="683">
      <c r="A683" s="1">
        <v>5.0</v>
      </c>
      <c r="B683" s="1" t="s">
        <v>679</v>
      </c>
      <c r="C683" t="str">
        <f>IFERROR(__xludf.DUMMYFUNCTION("GOOGLETRANSLATE(B683, ""es"", ""en"")"),"Good watch good watch, was what he described, good quality and very durable, lighting is amazing, looks great at night.")</f>
        <v>Good watch good watch, was what he described, good quality and very durable, lighting is amazing, looks great at night.</v>
      </c>
    </row>
    <row r="684">
      <c r="A684" s="1">
        <v>5.0</v>
      </c>
      <c r="B684" s="1" t="s">
        <v>680</v>
      </c>
      <c r="C684" t="str">
        <f>IFERROR(__xludf.DUMMYFUNCTION("GOOGLETRANSLATE(B684, ""es"", ""en"")"),"Good good")</f>
        <v>Good good</v>
      </c>
    </row>
    <row r="685">
      <c r="A685" s="1">
        <v>5.0</v>
      </c>
      <c r="B685" s="1" t="s">
        <v>681</v>
      </c>
      <c r="C685" t="str">
        <f>IFERROR(__xludf.DUMMYFUNCTION("GOOGLETRANSLATE(B685, ""es"", ""en"")"),"It's perfect I decided, for the smallest model and the truth is going great, good quality and very wide")</f>
        <v>It's perfect I decided, for the smallest model and the truth is going great, good quality and very wide</v>
      </c>
    </row>
    <row r="686">
      <c r="A686" s="1">
        <v>5.0</v>
      </c>
      <c r="B686" s="1" t="s">
        <v>682</v>
      </c>
      <c r="C686" t="str">
        <f>IFERROR(__xludf.DUMMYFUNCTION("GOOGLETRANSLATE(B686, ""es"", ""en"")"),"Everything ok Meets described, compact and comfortable")</f>
        <v>Everything ok Meets described, compact and comfortable</v>
      </c>
    </row>
    <row r="687">
      <c r="A687" s="1">
        <v>5.0</v>
      </c>
      <c r="B687" s="1" t="s">
        <v>683</v>
      </c>
      <c r="C687" t="str">
        <f>IFERROR(__xludf.DUMMYFUNCTION("GOOGLETRANSLATE(B687, ""es"", ""en"")"),"Le perfect number is perfect and are very nice, and had maroon so here was no problem with the numbering.")</f>
        <v>Le perfect number is perfect and are very nice, and had maroon so here was no problem with the numbering.</v>
      </c>
    </row>
    <row r="688">
      <c r="A688" s="1">
        <v>5.0</v>
      </c>
      <c r="B688" s="1" t="s">
        <v>684</v>
      </c>
      <c r="C688" t="str">
        <f>IFERROR(__xludf.DUMMYFUNCTION("GOOGLETRANSLATE(B688, ""es"", ""en"")"),"It takes me a good all day, but is not the usual direction, otherwise everything muybien")</f>
        <v>It takes me a good all day, but is not the usual direction, otherwise everything muybien</v>
      </c>
    </row>
    <row r="689">
      <c r="A689" s="1">
        <v>5.0</v>
      </c>
      <c r="B689" s="1" t="s">
        <v>685</v>
      </c>
      <c r="C689" t="str">
        <f>IFERROR(__xludf.DUMMYFUNCTION("GOOGLETRANSLATE(B689, ""es"", ""en"")"),"Tenenemos perfect home several bottles of Dr. Browns and smoothly. The cryo catches it well, cleaned with faciliad, in short, recommended product.")</f>
        <v>Tenenemos perfect home several bottles of Dr. Browns and smoothly. The cryo catches it well, cleaned with faciliad, in short, recommended product.</v>
      </c>
    </row>
    <row r="690">
      <c r="A690" s="1">
        <v>5.0</v>
      </c>
      <c r="B690" s="1" t="s">
        <v>686</v>
      </c>
      <c r="C690" t="str">
        <f>IFERROR(__xludf.DUMMYFUNCTION("GOOGLETRANSLATE(B690, ""es"", ""en"")"),"Comfortable Comfortable and good to work")</f>
        <v>Comfortable Comfortable and good to work</v>
      </c>
    </row>
    <row r="691">
      <c r="A691" s="1">
        <v>5.0</v>
      </c>
      <c r="B691" s="1" t="s">
        <v>687</v>
      </c>
      <c r="C691" t="str">
        <f>IFERROR(__xludf.DUMMYFUNCTION("GOOGLETRANSLATE(B691, ""es"", ""en"")"),"Perfect for now is perfect, grinds very well and leaves everything super soft, creams, purees, gazpacho, etc. 100% Recommended")</f>
        <v>Perfect for now is perfect, grinds very well and leaves everything super soft, creams, purees, gazpacho, etc. 100% Recommended</v>
      </c>
    </row>
    <row r="692">
      <c r="A692" s="1">
        <v>5.0</v>
      </c>
      <c r="B692" s="1" t="s">
        <v>688</v>
      </c>
      <c r="C692" t="str">
        <f>IFERROR(__xludf.DUMMYFUNCTION("GOOGLETRANSLATE(B692, ""es"", ""en"")"),"It has come highly recommended fast and in perfect condition. I am very satisfied with this purchase. The product looks good quality. You may buy a cable more.")</f>
        <v>It has come highly recommended fast and in perfect condition. I am very satisfied with this purchase. The product looks good quality. You may buy a cable more.</v>
      </c>
    </row>
    <row r="693">
      <c r="A693" s="1">
        <v>5.0</v>
      </c>
      <c r="B693" s="1" t="s">
        <v>689</v>
      </c>
      <c r="C693" t="str">
        <f>IFERROR(__xludf.DUMMYFUNCTION("GOOGLETRANSLATE(B693, ""es"", ""en"")"),"Exceeded expectations Great! It is more beautiful and elegant than the photos! Definitely would buy!")</f>
        <v>Exceeded expectations Great! It is more beautiful and elegant than the photos! Definitely would buy!</v>
      </c>
    </row>
    <row r="694">
      <c r="A694" s="1">
        <v>5.0</v>
      </c>
      <c r="B694" s="1" t="s">
        <v>690</v>
      </c>
      <c r="C694" t="str">
        <f>IFERROR(__xludf.DUMMYFUNCTION("GOOGLETRANSLATE(B694, ""es"", ""en"")"),"Super quality I bought this brand for another of taurus not last me or 8 months (and with little use). very solid and noticeable results at great.")</f>
        <v>Super quality I bought this brand for another of taurus not last me or 8 months (and with little use). very solid and noticeable results at great.</v>
      </c>
    </row>
    <row r="695">
      <c r="A695" s="1">
        <v>5.0</v>
      </c>
      <c r="B695" s="1" t="s">
        <v>691</v>
      </c>
      <c r="C695" t="str">
        <f>IFERROR(__xludf.DUMMYFUNCTION("GOOGLETRANSLATE(B695, ""es"", ""en"")"),"Perfect complies perfectly with the established, the Casio lifelong colors but with very refreshed and sport style.")</f>
        <v>Perfect complies perfectly with the established, the Casio lifelong colors but with very refreshed and sport style.</v>
      </c>
    </row>
    <row r="696">
      <c r="A696" s="1">
        <v>5.0</v>
      </c>
      <c r="B696" s="1" t="s">
        <v>692</v>
      </c>
      <c r="C696" t="str">
        <f>IFERROR(__xludf.DUMMYFUNCTION("GOOGLETRANSLATE(B696, ""es"", ""en"")"),"BEST'll just say two things .... are fantastic .... comfortable, beautiful, great quality ... I work as a waitress and take them every day ... pq not go flat shoes .... the I love ... the only thing that takes about a month ... I recommend full .... every"&amp;"one likes to ask me on the street")</f>
        <v>BEST'll just say two things .... are fantastic .... comfortable, beautiful, great quality ... I work as a waitress and take them every day ... pq not go flat shoes .... the I love ... the only thing that takes about a month ... I recommend full .... everyone likes to ask me on the street</v>
      </c>
    </row>
    <row r="697">
      <c r="A697" s="1">
        <v>5.0</v>
      </c>
      <c r="B697" s="1" t="s">
        <v>693</v>
      </c>
      <c r="C697" t="str">
        <f>IFERROR(__xludf.DUMMYFUNCTION("GOOGLETRANSLATE(B697, ""es"", ""en"")"),"Isolated pretty good, good bass reproduction. I bought a micro of the same make and I was pleasantly surprised to find that this company also has good headphones in value by about 50 € you can access these headphones that isolate fairly sound and have goo"&amp;"d response in bass reproduction, what makes them an essential tool in any recording studio.")</f>
        <v>Isolated pretty good, good bass reproduction. I bought a micro of the same make and I was pleasantly surprised to find that this company also has good headphones in value by about 50 € you can access these headphones that isolate fairly sound and have good response in bass reproduction, what makes them an essential tool in any recording studio.</v>
      </c>
    </row>
    <row r="698">
      <c r="A698" s="1">
        <v>5.0</v>
      </c>
      <c r="B698" s="1" t="s">
        <v>694</v>
      </c>
      <c r="C698" t="str">
        <f>IFERROR(__xludf.DUMMYFUNCTION("GOOGLETRANSLATE(B698, ""es"", ""en"")"),"Comodo is comfortable and sounds good")</f>
        <v>Comodo is comfortable and sounds good</v>
      </c>
    </row>
    <row r="699">
      <c r="A699" s="1">
        <v>5.0</v>
      </c>
      <c r="B699" s="1" t="s">
        <v>695</v>
      </c>
      <c r="C699" t="str">
        <f>IFERROR(__xludf.DUMMYFUNCTION("GOOGLETRANSLATE(B699, ""es"", ""en"")"),"Hard all ok")</f>
        <v>Hard all ok</v>
      </c>
    </row>
    <row r="700">
      <c r="A700" s="1">
        <v>5.0</v>
      </c>
      <c r="B700" s="1" t="s">
        <v>696</v>
      </c>
      <c r="C700" t="str">
        <f>IFERROR(__xludf.DUMMYFUNCTION("GOOGLETRANSLATE(B700, ""es"", ""en"")"),"Very good very good")</f>
        <v>Very good very good</v>
      </c>
    </row>
    <row r="701">
      <c r="A701" s="1">
        <v>2.0</v>
      </c>
      <c r="B701" s="1" t="s">
        <v>697</v>
      </c>
      <c r="C701" t="str">
        <f>IFERROR(__xludf.DUMMYFUNCTION("GOOGLETRANSLATE(B701, ""es"", ""en"")"),"Lucy The truth is that I expected bigger for the positive feedback, giving to understand that es.grande and fits many things, if q possible, but it is to cram as much of a tablet.folios not fit. I mean that's like a normal purse or shoulder bag.")</f>
        <v>Lucy The truth is that I expected bigger for the positive feedback, giving to understand that es.grande and fits many things, if q possible, but it is to cram as much of a tablet.folios not fit. I mean that's like a normal purse or shoulder bag.</v>
      </c>
    </row>
    <row r="702">
      <c r="A702" s="1">
        <v>3.0</v>
      </c>
      <c r="B702" s="1" t="s">
        <v>698</v>
      </c>
      <c r="C702" t="str">
        <f>IFERROR(__xludf.DUMMYFUNCTION("GOOGLETRANSLATE(B702, ""es"", ""en"")"),"Okay, but there are better and more cheap needed a mop more advanced than normal ... and I was torn between the normalitas unbranded and this. I opted for the Vileda brand, although more expensive and truth that disappointed me a little. It goes well, doe"&amp;"s what it promises, worse has nothing to envy to one of the unbranded they are by Amazon. But let that not desrecomiendo, which is good, but me personally, I was slightly disappointed. Remember #HazleCasoAlFriki and come out winning.")</f>
        <v>Okay, but there are better and more cheap needed a mop more advanced than normal ... and I was torn between the normalitas unbranded and this. I opted for the Vileda brand, although more expensive and truth that disappointed me a little. It goes well, does what it promises, worse has nothing to envy to one of the unbranded they are by Amazon. But let that not desrecomiendo, which is good, but me personally, I was slightly disappointed. Remember #HazleCasoAlFriki and come out winning.</v>
      </c>
    </row>
    <row r="703">
      <c r="A703" s="1">
        <v>3.0</v>
      </c>
      <c r="B703" s="1" t="s">
        <v>699</v>
      </c>
      <c r="C703" t="str">
        <f>IFERROR(__xludf.DUMMYFUNCTION("GOOGLETRANSLATE(B703, ""es"", ""en"")"),"Good comfortable")</f>
        <v>Good comfortable</v>
      </c>
    </row>
    <row r="704">
      <c r="A704" s="1">
        <v>1.0</v>
      </c>
      <c r="B704" s="1" t="s">
        <v>700</v>
      </c>
      <c r="C704" t="str">
        <f>IFERROR(__xludf.DUMMYFUNCTION("GOOGLETRANSLATE(B704, ""es"", ""en"")"),"photo deceives the slope weighs so much that it never put into place but falls. Not to buy it because it only applies to throw")</f>
        <v>photo deceives the slope weighs so much that it never put into place but falls. Not to buy it because it only applies to throw</v>
      </c>
    </row>
    <row r="705">
      <c r="A705" s="1">
        <v>1.0</v>
      </c>
      <c r="B705" s="1" t="s">
        <v>701</v>
      </c>
      <c r="C705" t="str">
        <f>IFERROR(__xludf.DUMMYFUNCTION("GOOGLETRANSLATE(B705, ""es"", ""en"")"),"Article faulty and noisy defective, is too noisy to have it in any room, it's like having a refrigerator over the counter, indicating that light has reached the correct temperature never changed to green.")</f>
        <v>Article faulty and noisy defective, is too noisy to have it in any room, it's like having a refrigerator over the counter, indicating that light has reached the correct temperature never changed to green.</v>
      </c>
    </row>
    <row r="706">
      <c r="A706" s="1">
        <v>4.0</v>
      </c>
      <c r="B706" s="1" t="s">
        <v>702</v>
      </c>
      <c r="C706" t="str">
        <f>IFERROR(__xludf.DUMMYFUNCTION("GOOGLETRANSLATE(B706, ""es"", ""en"")"),"Value for money perfect I loved the material and quality. It is perfectly adjusted loosely and keep effect 'hanging'. I use a 40/42 and this size is great")</f>
        <v>Value for money perfect I loved the material and quality. It is perfectly adjusted loosely and keep effect 'hanging'. I use a 40/42 and this size is great</v>
      </c>
    </row>
    <row r="707">
      <c r="A707" s="1">
        <v>4.0</v>
      </c>
      <c r="B707" s="1" t="s">
        <v>703</v>
      </c>
      <c r="C707" t="str">
        <f>IFERROR(__xludf.DUMMYFUNCTION("GOOGLETRANSLATE(B707, ""es"", ""en"")"),"Discreet and elegant well finished, something thinner than expected but still elegant. A successful gift. Design very original.")</f>
        <v>Discreet and elegant well finished, something thinner than expected but still elegant. A successful gift. Design very original.</v>
      </c>
    </row>
    <row r="708">
      <c r="A708" s="1">
        <v>4.0</v>
      </c>
      <c r="B708" s="1" t="s">
        <v>704</v>
      </c>
      <c r="C708" t="str">
        <f>IFERROR(__xludf.DUMMYFUNCTION("GOOGLETRANSLATE(B708, ""es"", ""en"")"),"Revitalize an outdated computer This hard drive SSD is ideal to revitalize an outdated computer, which significantly'll notice more agility both the load the operating system as the move already within the system itself, and file operations on the disc it"&amp;"self and directly will fly in compared to mechanical drives life.")</f>
        <v>Revitalize an outdated computer This hard drive SSD is ideal to revitalize an outdated computer, which significantly'll notice more agility both the load the operating system as the move already within the system itself, and file operations on the disc itself and directly will fly in compared to mechanical drives life.</v>
      </c>
    </row>
    <row r="709">
      <c r="A709" s="1">
        <v>4.0</v>
      </c>
      <c r="B709" s="1" t="s">
        <v>705</v>
      </c>
      <c r="C709" t="str">
        <f>IFERROR(__xludf.DUMMYFUNCTION("GOOGLETRANSLATE(B709, ""es"", ""en"")"),"The bag is recommended I expected. Quality is correct. He arrived in time and hopefully only time that is durable")</f>
        <v>The bag is recommended I expected. Quality is correct. He arrived in time and hopefully only time that is durable</v>
      </c>
    </row>
    <row r="710">
      <c r="A710" s="1">
        <v>5.0</v>
      </c>
      <c r="B710" s="1" t="s">
        <v>706</v>
      </c>
      <c r="C710" t="str">
        <f>IFERROR(__xludf.DUMMYFUNCTION("GOOGLETRANSLATE(B710, ""es"", ""en"")"),"perfect as expected and according to description")</f>
        <v>perfect as expected and according to description</v>
      </c>
    </row>
    <row r="711">
      <c r="A711" s="1">
        <v>5.0</v>
      </c>
      <c r="B711" s="1" t="s">
        <v>707</v>
      </c>
      <c r="C711" t="str">
        <f>IFERROR(__xludf.DUMMYFUNCTION("GOOGLETRANSLATE(B711, ""es"", ""en"")"),"He arrived before lo.esperado The color varies somewhat but it's nice")</f>
        <v>He arrived before lo.esperado The color varies somewhat but it's nice</v>
      </c>
    </row>
    <row r="712">
      <c r="A712" s="1">
        <v>5.0</v>
      </c>
      <c r="B712" s="1" t="s">
        <v>708</v>
      </c>
      <c r="C712" t="str">
        <f>IFERROR(__xludf.DUMMYFUNCTION("GOOGLETRANSLATE(B712, ""es"", ""en"")"),"Fast delivery Fast and very low price, ideal to put all the old computers have k")</f>
        <v>Fast delivery Fast and very low price, ideal to put all the old computers have k</v>
      </c>
    </row>
    <row r="713">
      <c r="A713" s="1">
        <v>5.0</v>
      </c>
      <c r="B713" s="1" t="s">
        <v>709</v>
      </c>
      <c r="C713" t="str">
        <f>IFERROR(__xludf.DUMMYFUNCTION("GOOGLETRANSLATE(B713, ""es"", ""en"")"),"They are very comfortable very comfortable size and asked me the number that corresponded me.")</f>
        <v>They are very comfortable very comfortable size and asked me the number that corresponded me.</v>
      </c>
    </row>
    <row r="714">
      <c r="A714" s="1">
        <v>5.0</v>
      </c>
      <c r="B714" s="1" t="s">
        <v>710</v>
      </c>
      <c r="C714" t="str">
        <f>IFERROR(__xludf.DUMMYFUNCTION("GOOGLETRANSLATE(B714, ""es"", ""en"")"),"I'll buy Super comfortable")</f>
        <v>I'll buy Super comfortable</v>
      </c>
    </row>
    <row r="715">
      <c r="A715" s="1">
        <v>5.0</v>
      </c>
      <c r="B715" s="1" t="s">
        <v>711</v>
      </c>
      <c r="C715" t="str">
        <f>IFERROR(__xludf.DUMMYFUNCTION("GOOGLETRANSLATE(B715, ""es"", ""en"")"),"I loved and boots are super comfortable")</f>
        <v>I loved and boots are super comfortable</v>
      </c>
    </row>
    <row r="716">
      <c r="A716" s="1">
        <v>5.0</v>
      </c>
      <c r="B716" s="1" t="s">
        <v>712</v>
      </c>
      <c r="C716" t="str">
        <f>IFERROR(__xludf.DUMMYFUNCTION("GOOGLETRANSLATE(B716, ""es"", ""en"")"),"Comfy. It is very comfortable, my boyfriend loves.")</f>
        <v>Comfy. It is very comfortable, my boyfriend loves.</v>
      </c>
    </row>
    <row r="717">
      <c r="A717" s="1">
        <v>5.0</v>
      </c>
      <c r="B717" s="1" t="s">
        <v>713</v>
      </c>
      <c r="C717" t="str">
        <f>IFERROR(__xludf.DUMMYFUNCTION("GOOGLETRANSLATE(B717, ""es"", ""en"")"),"Good buy :) I have installed on a Lenovo B590 (in 8GB RAM) and has speeded up tremendously. No longer stays locked minutes retrieving information from the hard disk to run the programs. For example 5 seconds loads the Sketch Up and can handle very complex"&amp;" models without too many problems and booting Windows 10 has passed from several minutes to 20 seconds. I can not comment on durability. Wait a year to appreciate it.")</f>
        <v>Good buy :) I have installed on a Lenovo B590 (in 8GB RAM) and has speeded up tremendously. No longer stays locked minutes retrieving information from the hard disk to run the programs. For example 5 seconds loads the Sketch Up and can handle very complex models without too many problems and booting Windows 10 has passed from several minutes to 20 seconds. I can not comment on durability. Wait a year to appreciate it.</v>
      </c>
    </row>
    <row r="718">
      <c r="A718" s="1">
        <v>5.0</v>
      </c>
      <c r="B718" s="1" t="s">
        <v>714</v>
      </c>
      <c r="C718" t="str">
        <f>IFERROR(__xludf.DUMMYFUNCTION("GOOGLETRANSLATE(B718, ""es"", ""en"")"),"Buenl money very very comfortable and the colors as wanted. Size and I chose the 46 is perfect. Now use and to see how long they last ... But I'm very happy with the purchase. Value very recomanable")</f>
        <v>Buenl money very very comfortable and the colors as wanted. Size and I chose the 46 is perfect. Now use and to see how long they last ... But I'm very happy with the purchase. Value very recomanable</v>
      </c>
    </row>
    <row r="719">
      <c r="A719" s="1">
        <v>5.0</v>
      </c>
      <c r="B719" s="1" t="s">
        <v>715</v>
      </c>
      <c r="C719" t="str">
        <f>IFERROR(__xludf.DUMMYFUNCTION("GOOGLETRANSLATE(B719, ""es"", ""en"")"),"Vans skeight. Perfect. More classic shoes Vams never disappoint. Even still high they remain comfortable. Very recomdablles if you want a shoe with personality.")</f>
        <v>Vans skeight. Perfect. More classic shoes Vams never disappoint. Even still high they remain comfortable. Very recomdablles if you want a shoe with personality.</v>
      </c>
    </row>
    <row r="720">
      <c r="A720" s="1">
        <v>5.0</v>
      </c>
      <c r="B720" s="1" t="s">
        <v>716</v>
      </c>
      <c r="C720" t="str">
        <f>IFERROR(__xludf.DUMMYFUNCTION("GOOGLETRANSLATE(B720, ""es"", ""en"")"),"Great love is super nice.")</f>
        <v>Great love is super nice.</v>
      </c>
    </row>
    <row r="721">
      <c r="A721" s="1">
        <v>5.0</v>
      </c>
      <c r="B721" s="1" t="s">
        <v>717</v>
      </c>
      <c r="C721" t="str">
        <f>IFERROR(__xludf.DUMMYFUNCTION("GOOGLETRANSLATE(B721, ""es"", ""en"")"),"Encantada Buenos arrived prematurely are as advertised and easy to put on and take")</f>
        <v>Encantada Buenos arrived prematurely are as advertised and easy to put on and take</v>
      </c>
    </row>
    <row r="722">
      <c r="A722" s="1">
        <v>5.0</v>
      </c>
      <c r="B722" s="1" t="s">
        <v>718</v>
      </c>
      <c r="C722" t="str">
        <f>IFERROR(__xludf.DUMMYFUNCTION("GOOGLETRANSLATE(B722, ""es"", ""en"")"),"Good thermal paste Perfect fulfills its function perfectly, thermal paste quality, with syringe applied very easily. It has lowered the temperature of the processor a few degrees.")</f>
        <v>Good thermal paste Perfect fulfills its function perfectly, thermal paste quality, with syringe applied very easily. It has lowered the temperature of the processor a few degrees.</v>
      </c>
    </row>
    <row r="723">
      <c r="A723" s="1">
        <v>5.0</v>
      </c>
      <c r="B723" s="1" t="s">
        <v>719</v>
      </c>
      <c r="C723" t="str">
        <f>IFERROR(__xludf.DUMMYFUNCTION("GOOGLETRANSLATE(B723, ""es"", ""en"")"),"Its quality. Perfect. All terrific.")</f>
        <v>Its quality. Perfect. All terrific.</v>
      </c>
    </row>
    <row r="724">
      <c r="A724" s="1">
        <v>5.0</v>
      </c>
      <c r="B724" s="1" t="s">
        <v>720</v>
      </c>
      <c r="C724" t="str">
        <f>IFERROR(__xludf.DUMMYFUNCTION("GOOGLETRANSLATE(B724, ""es"", ""en"")"),"As in the photo well, very practical.")</f>
        <v>As in the photo well, very practical.</v>
      </c>
    </row>
    <row r="725">
      <c r="A725" s="1">
        <v>5.0</v>
      </c>
      <c r="B725" s="1" t="s">
        <v>721</v>
      </c>
      <c r="C725" t="str">
        <f>IFERROR(__xludf.DUMMYFUNCTION("GOOGLETRANSLATE(B725, ""es"", ""en"")"),"Timberland shoes for life. Excellent gift for my husband, he was delighted. The material is great.")</f>
        <v>Timberland shoes for life. Excellent gift for my husband, he was delighted. The material is great.</v>
      </c>
    </row>
    <row r="726">
      <c r="A726" s="1">
        <v>5.0</v>
      </c>
      <c r="B726" s="1" t="s">
        <v>722</v>
      </c>
      <c r="C726" t="str">
        <f>IFERROR(__xludf.DUMMYFUNCTION("GOOGLETRANSLATE(B726, ""es"", ""en"")"),"Operability and easy majejo. The Kingston DataTraveler 32GB've used to save photos stored current family and grandparents. Keep them in one place saves time and space. I am really very satisfied with the purchase. Juan Manuel.")</f>
        <v>Operability and easy majejo. The Kingston DataTraveler 32GB've used to save photos stored current family and grandparents. Keep them in one place saves time and space. I am really very satisfied with the purchase. Juan Manuel.</v>
      </c>
    </row>
    <row r="727">
      <c r="A727" s="1">
        <v>5.0</v>
      </c>
      <c r="B727" s="1" t="s">
        <v>723</v>
      </c>
      <c r="C727" t="str">
        <f>IFERROR(__xludf.DUMMYFUNCTION("GOOGLETRANSLATE(B727, ""es"", ""en"")"),"Meets what is sought in headphones are the perfect size, not easily fall, perfectly fit to your ear, pairing is super easy and fast, the battery lasts a long, comes extremely well presented with its leather case and brings its cable to charge, shipping wa"&amp;"s fast and no problem, we are extremely happy with the product and my son is the one who uses it too, would buy")</f>
        <v>Meets what is sought in headphones are the perfect size, not easily fall, perfectly fit to your ear, pairing is super easy and fast, the battery lasts a long, comes extremely well presented with its leather case and brings its cable to charge, shipping was fast and no problem, we are extremely happy with the product and my son is the one who uses it too, would buy</v>
      </c>
    </row>
    <row r="728">
      <c r="A728" s="1">
        <v>5.0</v>
      </c>
      <c r="B728" s="1" t="s">
        <v>724</v>
      </c>
      <c r="C728" t="str">
        <f>IFERROR(__xludf.DUMMYFUNCTION("GOOGLETRANSLATE(B728, ""es"", ""en"")"),"No I give great professional, but other reviews are responsible for this. For different use music, movies and video games are fantastic, durable and very comfortable. I bought after having problems with over-ear Bose Soundtrue and nothing to do, not only "&amp;"in sound quality, also in manufacturing also remains European.")</f>
        <v>No I give great professional, but other reviews are responsible for this. For different use music, movies and video games are fantastic, durable and very comfortable. I bought after having problems with over-ear Bose Soundtrue and nothing to do, not only in sound quality, also in manufacturing also remains European.</v>
      </c>
    </row>
    <row r="729">
      <c r="A729" s="1">
        <v>2.0</v>
      </c>
      <c r="B729" s="1" t="s">
        <v>725</v>
      </c>
      <c r="C729" t="str">
        <f>IFERROR(__xludf.DUMMYFUNCTION("GOOGLETRANSLATE(B729, ""es"", ""en"")"),"correct product Product is not bad for what it is worth and quality of the audio is pretty good, though occasionally and when the cable moves heard an annoying crackling. By the way, if you take the cable from your mouth, watch this you'll leave a plastic"&amp;" taste of radioactive brutal.")</f>
        <v>correct product Product is not bad for what it is worth and quality of the audio is pretty good, though occasionally and when the cable moves heard an annoying crackling. By the way, if you take the cable from your mouth, watch this you'll leave a plastic taste of radioactive brutal.</v>
      </c>
    </row>
    <row r="730">
      <c r="A730" s="1">
        <v>3.0</v>
      </c>
      <c r="B730" s="1" t="s">
        <v>726</v>
      </c>
      <c r="C730" t="str">
        <f>IFERROR(__xludf.DUMMYFUNCTION("GOOGLETRANSLATE(B730, ""es"", ""en"")"),"Tiena Rates good quality relative to the price although the color varies the photo and not be the same")</f>
        <v>Tiena Rates good quality relative to the price although the color varies the photo and not be the same</v>
      </c>
    </row>
    <row r="731">
      <c r="A731" s="1">
        <v>1.0</v>
      </c>
      <c r="B731" s="1" t="s">
        <v>727</v>
      </c>
      <c r="C731" t="str">
        <f>IFERROR(__xludf.DUMMYFUNCTION("GOOGLETRANSLATE(B731, ""es"", ""en"")"),"Deceit is a deception to the consumer")</f>
        <v>Deceit is a deception to the consumer</v>
      </c>
    </row>
    <row r="732">
      <c r="A732" s="1">
        <v>1.0</v>
      </c>
      <c r="B732" s="1" t="s">
        <v>728</v>
      </c>
      <c r="C732" t="str">
        <f>IFERROR(__xludf.DUMMYFUNCTION("GOOGLETRANSLATE(B732, ""es"", ""en"")"),"I do not recommend anti colic valve is worthless")</f>
        <v>I do not recommend anti colic valve is worthless</v>
      </c>
    </row>
    <row r="733">
      <c r="A733" s="1">
        <v>4.0</v>
      </c>
      <c r="B733" s="1" t="s">
        <v>729</v>
      </c>
      <c r="C733" t="str">
        <f>IFERROR(__xludf.DUMMYFUNCTION("GOOGLETRANSLATE(B733, ""es"", ""en"")"),"perfect nipples. Not much to say philips tortillas are the most recommended, I have always used these and can great.")</f>
        <v>perfect nipples. Not much to say philips tortillas are the most recommended, I have always used these and can great.</v>
      </c>
    </row>
    <row r="734">
      <c r="A734" s="1">
        <v>4.0</v>
      </c>
      <c r="B734" s="1" t="s">
        <v>730</v>
      </c>
      <c r="C734" t="str">
        <f>IFERROR(__xludf.DUMMYFUNCTION("GOOGLETRANSLATE(B734, ""es"", ""en"")"),"The quality is quite useful long you can be more liberdad motion")</f>
        <v>The quality is quite useful long you can be more liberdad motion</v>
      </c>
    </row>
    <row r="735">
      <c r="A735" s="1">
        <v>4.0</v>
      </c>
      <c r="B735" s="1" t="s">
        <v>731</v>
      </c>
      <c r="C735" t="str">
        <f>IFERROR(__xludf.DUMMYFUNCTION("GOOGLETRANSLATE(B735, ""es"", ""en"")"),"Decent sound, materials according to the price is not a product of xiaomi but is fine for the price, sound surprises are not hooves study but for the average mortal van perfentos to people something careless better to break hooves of 11 about 60-200 euros"&amp;" euros")</f>
        <v>Decent sound, materials according to the price is not a product of xiaomi but is fine for the price, sound surprises are not hooves study but for the average mortal van perfentos to people something careless better to break hooves of 11 about 60-200 euros euros</v>
      </c>
    </row>
    <row r="736">
      <c r="A736" s="1">
        <v>4.0</v>
      </c>
      <c r="B736" s="1" t="s">
        <v>732</v>
      </c>
      <c r="C736" t="str">
        <f>IFERROR(__xludf.DUMMYFUNCTION("GOOGLETRANSLATE(B736, ""es"", ""en"")"),"Very good product at a great price in our home has become an article of daily use, maybe something bigger than I expected, but very satisfied.")</f>
        <v>Very good product at a great price in our home has become an article of daily use, maybe something bigger than I expected, but very satisfied.</v>
      </c>
    </row>
    <row r="737">
      <c r="A737" s="1">
        <v>4.0</v>
      </c>
      <c r="B737" s="1" t="s">
        <v>733</v>
      </c>
      <c r="C737" t="str">
        <f>IFERROR(__xludf.DUMMYFUNCTION("GOOGLETRANSLATE(B737, ""es"", ""en"")"),"Very comfortable very light, breathable and are very comfortable.")</f>
        <v>Very comfortable very light, breathable and are very comfortable.</v>
      </c>
    </row>
    <row r="738">
      <c r="A738" s="1">
        <v>5.0</v>
      </c>
      <c r="B738" s="1" t="s">
        <v>734</v>
      </c>
      <c r="C738" t="str">
        <f>IFERROR(__xludf.DUMMYFUNCTION("GOOGLETRANSLATE(B738, ""es"", ""en"")"),"Are super comfortable to me would buy again for your convenience, order the number always buy them a tad bigger because there was no means but still are perfect and especially for those with tired feet or delicate, I recommend 100%")</f>
        <v>Are super comfortable to me would buy again for your convenience, order the number always buy them a tad bigger because there was no means but still are perfect and especially for those with tired feet or delicate, I recommend 100%</v>
      </c>
    </row>
    <row r="739">
      <c r="A739" s="1">
        <v>5.0</v>
      </c>
      <c r="B739" s="1" t="s">
        <v>735</v>
      </c>
      <c r="C739" t="str">
        <f>IFERROR(__xludf.DUMMYFUNCTION("GOOGLETRANSLATE(B739, ""es"", ""en"")"),"Elegant previously bought freshener this two most basic and small fresheners of ""initiation,"" but I saw that I fell short for larger stays as it can be the living room. Aesthetically it seems to me very elegant effect of the wood (although plastic, yes,"&amp;" free from BPA). It is of medium size with a capacity of 250 ml. It allows to use it in two ways as the expulsion of vapor: continuously or intermittently (every 30 seconds). I particularly prefer to use it intermittently. With this freshener, quickly sta"&amp;"y a pleasant and lasting aroma fills (if it is true that this depends more on the essence that you employ the Aromatizer itself). On the other hand, the base has almost 7 color LED to create atmosphere or to give a minimum illumination. This lighting can "&amp;"be left set to one color or alternating seven. To me this honestly plenty and I have always unlit. Finally say that's not 100% quiet, but not noisy. Day or making noise you hear, but if you put it in the room where you go to sleep in the silence of the ni"&amp;"ght if you hear (me come to bother me, but my partner for example considers that relaxing little noise)")</f>
        <v>Elegant previously bought freshener this two most basic and small fresheners of "initiation," but I saw that I fell short for larger stays as it can be the living room. Aesthetically it seems to me very elegant effect of the wood (although plastic, yes, free from BPA). It is of medium size with a capacity of 250 ml. It allows to use it in two ways as the expulsion of vapor: continuously or intermittently (every 30 seconds). I particularly prefer to use it intermittently. With this freshener, quickly stay a pleasant and lasting aroma fills (if it is true that this depends more on the essence that you employ the Aromatizer itself). On the other hand, the base has almost 7 color LED to create atmosphere or to give a minimum illumination. This lighting can be left set to one color or alternating seven. To me this honestly plenty and I have always unlit. Finally say that's not 100% quiet, but not noisy. Day or making noise you hear, but if you put it in the room where you go to sleep in the silence of the night if you hear (me come to bother me, but my partner for example considers that relaxing little noise)</v>
      </c>
    </row>
    <row r="740">
      <c r="A740" s="1">
        <v>5.0</v>
      </c>
      <c r="B740" s="1" t="s">
        <v>736</v>
      </c>
      <c r="C740" t="str">
        <f>IFERROR(__xludf.DUMMYFUNCTION("GOOGLETRANSLATE(B740, ""es"", ""en"")"),"Fast and reliable Since I installed on a laptop I've used recently, but it's impressive as improved speed. I've put in a very old laptop, hp compaq 11 years it took many minutes to boot up and many others in addition to the slow off in opening programs or"&amp;" internet. A laptop that was underused desperate because nobody used it. Now starts fully in about 2`20 ""goes out in less than 1 minute, the programs open at once, the video are fluid and can surf the Internet or YouTube without problems. After unsuccess"&amp;"fully attempting to use other programs to clone data from the old disk to the ssd, I ended up using the software brand recommended and can be downloaded for free. Very happy because the notebook is fully operational.")</f>
        <v>Fast and reliable Since I installed on a laptop I've used recently, but it's impressive as improved speed. I've put in a very old laptop, hp compaq 11 years it took many minutes to boot up and many others in addition to the slow off in opening programs or internet. A laptop that was underused desperate because nobody used it. Now starts fully in about 2`20 "goes out in less than 1 minute, the programs open at once, the video are fluid and can surf the Internet or YouTube without problems. After unsuccessfully attempting to use other programs to clone data from the old disk to the ssd, I ended up using the software brand recommended and can be downloaded for free. Very happy because the notebook is fully operational.</v>
      </c>
    </row>
    <row r="741">
      <c r="A741" s="1">
        <v>5.0</v>
      </c>
      <c r="B741" s="1" t="s">
        <v>737</v>
      </c>
      <c r="C741" t="str">
        <f>IFERROR(__xludf.DUMMYFUNCTION("GOOGLETRANSLATE(B741, ""es"", ""en"")"),"Such a nice and comfortable and as described, I encantasima with them, chock 41 and asked for another number if something girls were coming, but the truth that fit well, but I like to go q is desahogadas me")</f>
        <v>Such a nice and comfortable and as described, I encantasima with them, chock 41 and asked for another number if something girls were coming, but the truth that fit well, but I like to go q is desahogadas me</v>
      </c>
    </row>
    <row r="742">
      <c r="A742" s="1">
        <v>5.0</v>
      </c>
      <c r="B742" s="1" t="s">
        <v>738</v>
      </c>
      <c r="C742" t="str">
        <f>IFERROR(__xludf.DUMMYFUNCTION("GOOGLETRANSLATE(B742, ""es"", ""en"")"),"eva m everything very well I arrived very pretty fast are soft and the perfect back pocket of tissue is rather thin summer sports but very bin")</f>
        <v>eva m everything very well I arrived very pretty fast are soft and the perfect back pocket of tissue is rather thin summer sports but very bin</v>
      </c>
    </row>
    <row r="743">
      <c r="A743" s="1">
        <v>5.0</v>
      </c>
      <c r="B743" s="1" t="s">
        <v>739</v>
      </c>
      <c r="C743" t="str">
        <f>IFERROR(__xludf.DUMMYFUNCTION("GOOGLETRANSLATE(B743, ""es"", ""en"")"),"Good value for money. There is a good quality price relation. Very nice and colorful. well defined pictures.")</f>
        <v>Good value for money. There is a good quality price relation. Very nice and colorful. well defined pictures.</v>
      </c>
    </row>
    <row r="744">
      <c r="A744" s="1">
        <v>5.0</v>
      </c>
      <c r="B744" s="1" t="s">
        <v>740</v>
      </c>
      <c r="C744" t="str">
        <f>IFERROR(__xludf.DUMMYFUNCTION("GOOGLETRANSLATE(B744, ""es"", ""en"")"),"Very good buy. Perfect and super economical. They are authentic.")</f>
        <v>Very good buy. Perfect and super economical. They are authentic.</v>
      </c>
    </row>
    <row r="745">
      <c r="A745" s="1">
        <v>5.0</v>
      </c>
      <c r="B745" s="1" t="s">
        <v>741</v>
      </c>
      <c r="C745" t="str">
        <f>IFERROR(__xludf.DUMMYFUNCTION("GOOGLETRANSLATE(B745, ""es"", ""en"")"),"Duration and smell'm a complete fan of anything that serves to give good odor at home, whether candles, air fresheners traditional, mikados ... so here when I was given the humidifier diffuser scents I went crazy. I gave it away with a pair of essences of"&amp;" different brands for ProBase, and one of them (the orange) I loved it and could not find by any physical store, until I saw this pack here and do not hesitate to buy it. The pack is great for both own use and to give to someone either for the first time "&amp;"so you can try several essences someone how to use and usually sure you'll love. It comes in a box with flowers in shades of purple very cute, and little boats put online in a plastic blister. Bring about 10ml of fluid, which is enough since it is not nec"&amp;"essary to use a lot for us to notice the smell (as with other types of oils that are more liquid and diluted) the amount used is a function of each of the intensity you want to achieve and the ability of our diffuser, I usually put about 10 drops. The can"&amp;"s are tightly sealed, with safety lock, and once famously open close again without any leakage. Also in the cap is notched to fit the mouth of the dropper, so we avoid or yes the leak. The smells are all very good and real, we know that for taste there is"&amp;" nothing written and everyone has their preferences, but really smell all very well, and most lasting and noticeable in the environment. The smells of the pack are: Tea tree (perhaps the least I like), Lavender, lemom grass (very rich), sweet orange (love"&amp;"), Peppermint and Eucalyptus, great these last two when we have a cold or constipated, which helps breathe better and open nostrils. They can be mixed together or with other mixtures and for other odors, aunqie go personally prefer using only each. But th"&amp;"e possibility of mix we have to being 100% pure.")</f>
        <v>Duration and smell'm a complete fan of anything that serves to give good odor at home, whether candles, air fresheners traditional, mikados ... so here when I was given the humidifier diffuser scents I went crazy. I gave it away with a pair of essences of different brands for ProBase, and one of them (the orange) I loved it and could not find by any physical store, until I saw this pack here and do not hesitate to buy it. The pack is great for both own use and to give to someone either for the first time so you can try several essences someone how to use and usually sure you'll love. It comes in a box with flowers in shades of purple very cute, and little boats put online in a plastic blister. Bring about 10ml of fluid, which is enough since it is not necessary to use a lot for us to notice the smell (as with other types of oils that are more liquid and diluted) the amount used is a function of each of the intensity you want to achieve and the ability of our diffuser, I usually put about 10 drops. The cans are tightly sealed, with safety lock, and once famously open close again without any leakage. Also in the cap is notched to fit the mouth of the dropper, so we avoid or yes the leak. The smells are all very good and real, we know that for taste there is nothing written and everyone has their preferences, but really smell all very well, and most lasting and noticeable in the environment. The smells of the pack are: Tea tree (perhaps the least I like), Lavender, lemom grass (very rich), sweet orange (love), Peppermint and Eucalyptus, great these last two when we have a cold or constipated, which helps breathe better and open nostrils. They can be mixed together or with other mixtures and for other odors, aunqie go personally prefer using only each. But the possibility of mix we have to being 100% pure.</v>
      </c>
    </row>
    <row r="746">
      <c r="A746" s="1">
        <v>5.0</v>
      </c>
      <c r="B746" s="1" t="s">
        <v>742</v>
      </c>
      <c r="C746" t="str">
        <f>IFERROR(__xludf.DUMMYFUNCTION("GOOGLETRANSLATE(B746, ""es"", ""en"")"),"Very good very good, no smell in the room.")</f>
        <v>Very good very good, no smell in the room.</v>
      </c>
    </row>
    <row r="747">
      <c r="A747" s="1">
        <v>5.0</v>
      </c>
      <c r="B747" s="1" t="s">
        <v>743</v>
      </c>
      <c r="C747" t="str">
        <f>IFERROR(__xludf.DUMMYFUNCTION("GOOGLETRANSLATE(B747, ""es"", ""en"")"),"Okay sweatshirt emblem is sewn")</f>
        <v>Okay sweatshirt emblem is sewn</v>
      </c>
    </row>
    <row r="748">
      <c r="A748" s="1">
        <v>5.0</v>
      </c>
      <c r="B748" s="1" t="s">
        <v>744</v>
      </c>
      <c r="C748" t="str">
        <f>IFERROR(__xludf.DUMMYFUNCTION("GOOGLETRANSLATE(B748, ""es"", ""en"")"),"Product suitable for business card The cover is hard plastic and protect pretty well to the card, which also fits perfectly. The tape slides very well, much better than others I've had, and very well the ability to hook it to the pants because it has seve"&amp;"ral ways, like the consumer.")</f>
        <v>Product suitable for business card The cover is hard plastic and protect pretty well to the card, which also fits perfectly. The tape slides very well, much better than others I've had, and very well the ability to hook it to the pants because it has several ways, like the consumer.</v>
      </c>
    </row>
    <row r="749">
      <c r="A749" s="1">
        <v>5.0</v>
      </c>
      <c r="B749" s="1" t="s">
        <v>745</v>
      </c>
      <c r="C749" t="str">
        <f>IFERROR(__xludf.DUMMYFUNCTION("GOOGLETRANSLATE(B749, ""es"", ""en"")"),"perfect perfect")</f>
        <v>perfect perfect</v>
      </c>
    </row>
    <row r="750">
      <c r="A750" s="1">
        <v>5.0</v>
      </c>
      <c r="B750" s="1" t="s">
        <v>746</v>
      </c>
      <c r="C750" t="str">
        <f>IFERROR(__xludf.DUMMYFUNCTION("GOOGLETRANSLATE(B750, ""es"", ""en"")"),"Good performance price adapted to the product, 3 temperature modes, and independent controls the right / left side of the bed, it is a big plus, on the other hand, the disadvantage is that does not reach the feet in a bed of 1.50 I could have been a littl"&amp;"e bigger :(")</f>
        <v>Good performance price adapted to the product, 3 temperature modes, and independent controls the right / left side of the bed, it is a big plus, on the other hand, the disadvantage is that does not reach the feet in a bed of 1.50 I could have been a little bigger :(</v>
      </c>
    </row>
    <row r="751">
      <c r="A751" s="1">
        <v>5.0</v>
      </c>
      <c r="B751" s="1" t="s">
        <v>747</v>
      </c>
      <c r="C751" t="str">
        <f>IFERROR(__xludf.DUMMYFUNCTION("GOOGLETRANSLATE(B751, ""es"", ""en"")"),"Slippers economic economical and very comfortable. Initially it seemed that I had something fair in width, but once I put adapted (I have the foot a bit wide). By putting a snag, they are not skin, but are aesthetically very nice.")</f>
        <v>Slippers economic economical and very comfortable. Initially it seemed that I had something fair in width, but once I put adapted (I have the foot a bit wide). By putting a snag, they are not skin, but are aesthetically very nice.</v>
      </c>
    </row>
    <row r="752">
      <c r="A752" s="1">
        <v>5.0</v>
      </c>
      <c r="B752" s="1" t="s">
        <v>748</v>
      </c>
      <c r="C752" t="str">
        <f>IFERROR(__xludf.DUMMYFUNCTION("GOOGLETRANSLATE(B752, ""es"", ""en"")"),"perfect Great")</f>
        <v>perfect Great</v>
      </c>
    </row>
    <row r="753">
      <c r="A753" s="1">
        <v>5.0</v>
      </c>
      <c r="B753" s="1" t="s">
        <v>749</v>
      </c>
      <c r="C753" t="str">
        <f>IFERROR(__xludf.DUMMYFUNCTION("GOOGLETRANSLATE(B753, ""es"", ""en"")"),"Very nice I gave it to my wife and was delighted")</f>
        <v>Very nice I gave it to my wife and was delighted</v>
      </c>
    </row>
    <row r="754">
      <c r="A754" s="1">
        <v>5.0</v>
      </c>
      <c r="B754" s="1" t="s">
        <v>750</v>
      </c>
      <c r="C754" t="str">
        <f>IFERROR(__xludf.DUMMYFUNCTION("GOOGLETRANSLATE(B754, ""es"", ""en"")"),"Regular contour well and large cup")</f>
        <v>Regular contour well and large cup</v>
      </c>
    </row>
    <row r="755">
      <c r="A755" s="1">
        <v>5.0</v>
      </c>
      <c r="B755" s="1" t="s">
        <v>751</v>
      </c>
      <c r="C755" t="str">
        <f>IFERROR(__xludf.DUMMYFUNCTION("GOOGLETRANSLATE(B755, ""es"", ""en"")"),"Perfect is perfect, easy to adjust to wrist it without going to a relojeria, comfortable, practical and easy to put everything in order, very happy with purchase")</f>
        <v>Perfect is perfect, easy to adjust to wrist it without going to a relojeria, comfortable, practical and easy to put everything in order, very happy with purchase</v>
      </c>
    </row>
    <row r="756">
      <c r="A756" s="1">
        <v>5.0</v>
      </c>
      <c r="B756" s="1" t="s">
        <v>752</v>
      </c>
      <c r="C756" t="str">
        <f>IFERROR(__xludf.DUMMYFUNCTION("GOOGLETRANSLATE(B756, ""es"", ""en"")"),"Class 10 SD memory card I bought on the recommendation of the page where I bought a camera for the car which also also said that out of 32 Gb.Es card quality, and especially for devices that a high level of security is required and efficiency. I recommend"&amp;" it 100%. (Remember to format it before inserting it into the device.)")</f>
        <v>Class 10 SD memory card I bought on the recommendation of the page where I bought a camera for the car which also also said that out of 32 Gb.Es card quality, and especially for devices that a high level of security is required and efficiency. I recommend it 100%. (Remember to format it before inserting it into the device.)</v>
      </c>
    </row>
    <row r="757">
      <c r="A757" s="1">
        <v>2.0</v>
      </c>
      <c r="B757" s="1" t="s">
        <v>753</v>
      </c>
      <c r="C757" t="str">
        <f>IFERROR(__xludf.DUMMYFUNCTION("GOOGLETRANSLATE(B757, ""es"", ""en"")"),"Warms bad design super fast. Nothing pracrico because the cable is very short and not removed. To wash it is even worse ... by cable and because it is complicated to clean burnt milk.")</f>
        <v>Warms bad design super fast. Nothing pracrico because the cable is very short and not removed. To wash it is even worse ... by cable and because it is complicated to clean burnt milk.</v>
      </c>
    </row>
    <row r="758">
      <c r="A758" s="1">
        <v>3.0</v>
      </c>
      <c r="B758" s="1" t="s">
        <v>754</v>
      </c>
      <c r="C758" t="str">
        <f>IFERROR(__xludf.DUMMYFUNCTION("GOOGLETRANSLATE(B758, ""es"", ""en"")"),"It's not like Buy this backpack for my boy a gift because a few days ago had acquired the same backpack in gray and on the liked but black. In the receive check that is not equal. Gray has compartments and hooks that it does not have. 😞😞😞")</f>
        <v>It's not like Buy this backpack for my boy a gift because a few days ago had acquired the same backpack in gray and on the liked but black. In the receive check that is not equal. Gray has compartments and hooks that it does not have. 😞😞😞</v>
      </c>
    </row>
    <row r="759">
      <c r="A759" s="1">
        <v>3.0</v>
      </c>
      <c r="B759" s="1" t="s">
        <v>755</v>
      </c>
      <c r="C759" t="str">
        <f>IFERROR(__xludf.DUMMYFUNCTION("GOOGLETRANSLATE(B759, ""es"", ""en"")"),"Slippers almost perfect. It is the second of the same model. The first were perfect. These latter, same number, same model ... and I go just a wee bit of what I would like. Well flat but which forces some en route, the tip shows. A's have used them and I "&amp;"can not change. Failure important to be Salamon and have the money they have.")</f>
        <v>Slippers almost perfect. It is the second of the same model. The first were perfect. These latter, same number, same model ... and I go just a wee bit of what I would like. Well flat but which forces some en route, the tip shows. A's have used them and I can not change. Failure important to be Salamon and have the money they have.</v>
      </c>
    </row>
    <row r="760">
      <c r="A760" s="1">
        <v>1.0</v>
      </c>
      <c r="B760" s="1" t="s">
        <v>756</v>
      </c>
      <c r="C760" t="str">
        <f>IFERROR(__xludf.DUMMYFUNCTION("GOOGLETRANSLATE(B760, ""es"", ""en"")"),"I packed the ingredients does not beat to beat and everyone stood up, there was no way to beat anything. I immediately returned.")</f>
        <v>I packed the ingredients does not beat to beat and everyone stood up, there was no way to beat anything. I immediately returned.</v>
      </c>
    </row>
    <row r="761">
      <c r="A761" s="1">
        <v>1.0</v>
      </c>
      <c r="B761" s="1" t="s">
        <v>757</v>
      </c>
      <c r="C761" t="str">
        <f>IFERROR(__xludf.DUMMYFUNCTION("GOOGLETRANSLATE(B761, ""es"", ""en"")"),"Dissatisfied Not what I expected")</f>
        <v>Dissatisfied Not what I expected</v>
      </c>
    </row>
    <row r="762">
      <c r="A762" s="1">
        <v>1.0</v>
      </c>
      <c r="B762" s="1" t="s">
        <v>758</v>
      </c>
      <c r="C762" t="str">
        <f>IFERROR(__xludf.DUMMYFUNCTION("GOOGLETRANSLATE(B762, ""es"", ""en"")"),"Horrible lasted less than a month and the seller does not process warranty. me and looked pretty bad in terms of transfer rate and program for android. Often the signal is not detected. But to make matters worse now it has stopped working and even let for"&amp;"matting, less than a month of use ...")</f>
        <v>Horrible lasted less than a month and the seller does not process warranty. me and looked pretty bad in terms of transfer rate and program for android. Often the signal is not detected. But to make matters worse now it has stopped working and even let formatting, less than a month of use ...</v>
      </c>
    </row>
    <row r="763">
      <c r="A763" s="1">
        <v>4.0</v>
      </c>
      <c r="B763" s="1" t="s">
        <v>759</v>
      </c>
      <c r="C763" t="str">
        <f>IFERROR(__xludf.DUMMYFUNCTION("GOOGLETRANSLATE(B763, ""es"", ""en"")"),"Good price and quality Very good, good price and quality.")</f>
        <v>Good price and quality Very good, good price and quality.</v>
      </c>
    </row>
    <row r="764">
      <c r="A764" s="1">
        <v>4.0</v>
      </c>
      <c r="B764" s="1" t="s">
        <v>760</v>
      </c>
      <c r="C764" t="str">
        <f>IFERROR(__xludf.DUMMYFUNCTION("GOOGLETRANSLATE(B764, ""es"", ""en"")"),"Good quality ok but did not fit")</f>
        <v>Good quality ok but did not fit</v>
      </c>
    </row>
    <row r="765">
      <c r="A765" s="1">
        <v>4.0</v>
      </c>
      <c r="B765" s="1" t="s">
        <v>761</v>
      </c>
      <c r="C765" t="str">
        <f>IFERROR(__xludf.DUMMYFUNCTION("GOOGLETRANSLATE(B765, ""es"", ""en"")"),"Memory Card Meets to 100% with expectations both in photography with the Nikon D5200, both photography and video footage ... good transfer rate and very good performance and capacity. Nothing objectionable about the product. Recommend purchase without hes"&amp;"itation")</f>
        <v>Memory Card Meets to 100% with expectations both in photography with the Nikon D5200, both photography and video footage ... good transfer rate and very good performance and capacity. Nothing objectionable about the product. Recommend purchase without hesitation</v>
      </c>
    </row>
    <row r="766">
      <c r="A766" s="1">
        <v>4.0</v>
      </c>
      <c r="B766" s="1" t="s">
        <v>762</v>
      </c>
      <c r="C766" t="str">
        <f>IFERROR(__xludf.DUMMYFUNCTION("GOOGLETRANSLATE(B766, ""es"", ""en"")"),"Delighted with the gift He loved my niece, she has come a little late for his birthday but he has nothing view")</f>
        <v>Delighted with the gift He loved my niece, she has come a little late for his birthday but he has nothing view</v>
      </c>
    </row>
    <row r="767">
      <c r="A767" s="1">
        <v>4.0</v>
      </c>
      <c r="B767" s="1" t="s">
        <v>763</v>
      </c>
      <c r="C767" t="str">
        <f>IFERROR(__xludf.DUMMYFUNCTION("GOOGLETRANSLATE(B767, ""es"", ""en"")"),"Very useful Essential for initiates in kitchen. Without much experience, it is very easy to use.")</f>
        <v>Very useful Essential for initiates in kitchen. Without much experience, it is very easy to use.</v>
      </c>
    </row>
    <row r="768">
      <c r="A768" s="1">
        <v>5.0</v>
      </c>
      <c r="B768" s="1" t="s">
        <v>764</v>
      </c>
      <c r="C768" t="str">
        <f>IFERROR(__xludf.DUMMYFUNCTION("GOOGLETRANSLATE(B768, ""es"", ""en"")"),"Very useful is very practical to hold all kinds of books or loose folios, the clamps holding the books to perfection and the support has several positions. The material is of good quality")</f>
        <v>Very useful is very practical to hold all kinds of books or loose folios, the clamps holding the books to perfection and the support has several positions. The material is of good quality</v>
      </c>
    </row>
    <row r="769">
      <c r="A769" s="1">
        <v>5.0</v>
      </c>
      <c r="B769" s="1" t="s">
        <v>765</v>
      </c>
      <c r="C769" t="str">
        <f>IFERROR(__xludf.DUMMYFUNCTION("GOOGLETRANSLATE(B769, ""es"", ""en"")"),"Such as the Masajeador highly accomplished professionals. Compared to using the physios it does not have much to envy, I really did not expect it to be so powerful. It has two modes, one normal and one strong. You also have the option of heated pads, neve"&amp;"r seen this option and is very nice. You includes three sets of pads, normal, a more pointed for stronger massage and others that are better than other heat. To pummeling contractures you put pointy and going great. Comparison with the value used by profe"&amp;"ssionals earn this street. Very good buy.")</f>
        <v>Such as the Masajeador highly accomplished professionals. Compared to using the physios it does not have much to envy, I really did not expect it to be so powerful. It has two modes, one normal and one strong. You also have the option of heated pads, never seen this option and is very nice. You includes three sets of pads, normal, a more pointed for stronger massage and others that are better than other heat. To pummeling contractures you put pointy and going great. Comparison with the value used by professionals earn this street. Very good buy.</v>
      </c>
    </row>
    <row r="770">
      <c r="A770" s="1">
        <v>5.0</v>
      </c>
      <c r="B770" s="1" t="s">
        <v>766</v>
      </c>
      <c r="C770" t="str">
        <f>IFERROR(__xludf.DUMMYFUNCTION("GOOGLETRANSLATE(B770, ""es"", ""en"")"),"Great is a very complete and perfect package to organize your desktop")</f>
        <v>Great is a very complete and perfect package to organize your desktop</v>
      </c>
    </row>
    <row r="771">
      <c r="A771" s="1">
        <v>5.0</v>
      </c>
      <c r="B771" s="1" t="s">
        <v>767</v>
      </c>
      <c r="C771" t="str">
        <f>IFERROR(__xludf.DUMMYFUNCTION("GOOGLETRANSLATE(B771, ""es"", ""en"")"),"Good After buying a few months works very well. Coffee good and fast service. The water tank, generous and collection as well. It is easily cleaned. I am happy.")</f>
        <v>Good After buying a few months works very well. Coffee good and fast service. The water tank, generous and collection as well. It is easily cleaned. I am happy.</v>
      </c>
    </row>
    <row r="772">
      <c r="A772" s="1">
        <v>5.0</v>
      </c>
      <c r="B772" s="1" t="s">
        <v>768</v>
      </c>
      <c r="C772" t="str">
        <f>IFERROR(__xludf.DUMMYFUNCTION("GOOGLETRANSLATE(B772, ""es"", ""en"")"),"Nice and resultón The ""glass"" is plastic but for the price it is nice and worth. Worth.")</f>
        <v>Nice and resultón The "glass" is plastic but for the price it is nice and worth. Worth.</v>
      </c>
    </row>
    <row r="773">
      <c r="A773" s="1">
        <v>5.0</v>
      </c>
      <c r="B773" s="1" t="s">
        <v>769</v>
      </c>
      <c r="C773" t="str">
        <f>IFERROR(__xludf.DUMMYFUNCTION("GOOGLETRANSLATE(B773, ""es"", ""en"")"),"Carve large size strip a little big. I usually use 40 in this sport and have the model 39. Very comfortable and light.")</f>
        <v>Carve large size strip a little big. I usually use 40 in this sport and have the model 39. Very comfortable and light.</v>
      </c>
    </row>
    <row r="774">
      <c r="A774" s="1">
        <v>5.0</v>
      </c>
      <c r="B774" s="1" t="s">
        <v>770</v>
      </c>
      <c r="C774" t="str">
        <f>IFERROR(__xludf.DUMMYFUNCTION("GOOGLETRANSLATE(B774, ""es"", ""en"")"),"He was looking very good buy a watch daily, it was hard and protected and this fulfills this role. Bluetooth function interesting time to adjust, though not decisive, using it only occasionally. The dark screen thought he'd give me a problem, but everythi"&amp;"ng else, sunlight looks perfectly only when there is total darkness to press the lighting or activate the automatic light with the flick of the wrist. I still doubt the battery life, hope it meets indicated in the user manual.")</f>
        <v>He was looking very good buy a watch daily, it was hard and protected and this fulfills this role. Bluetooth function interesting time to adjust, though not decisive, using it only occasionally. The dark screen thought he'd give me a problem, but everything else, sunlight looks perfectly only when there is total darkness to press the lighting or activate the automatic light with the flick of the wrist. I still doubt the battery life, hope it meets indicated in the user manual.</v>
      </c>
    </row>
    <row r="775">
      <c r="A775" s="1">
        <v>5.0</v>
      </c>
      <c r="B775" s="1" t="s">
        <v>771</v>
      </c>
      <c r="C775" t="str">
        <f>IFERROR(__xludf.DUMMYFUNCTION("GOOGLETRANSLATE(B775, ""es"", ""en"")"),"Meets the expectations ... great, as advertised ... Well the truth. The only thing that are very hard when they are new.")</f>
        <v>Meets the expectations ... great, as advertised ... Well the truth. The only thing that are very hard when they are new.</v>
      </c>
    </row>
    <row r="776">
      <c r="A776" s="1">
        <v>5.0</v>
      </c>
      <c r="B776" s="1" t="s">
        <v>772</v>
      </c>
      <c r="C776" t="str">
        <f>IFERROR(__xludf.DUMMYFUNCTION("GOOGLETRANSLATE(B776, ""es"", ""en"")"),"Impressive quality &lt;div id = ""video-block-R1DXVPZTA33AM2"" class = ""a-section a-spacing-small a-spacing-top mini video-block""&gt; &lt;div tabindex = ""0"" class = ""airy airy-svg vmin-unsupported airy-skin-beacon ""style ="" background-color: rgb (0, 0, 0) p"&amp;"osition: relative; width: 100%; height: 100%; font-size: 0px; overflow: hidden; outline : none; ""&gt; &lt;div class ="" airy-renderer-container ""style ="" position: relative; height: 100%; width: 100%; ""&gt; &lt;video id ="" 15 ""preload ="" auto ""src ="" https:/"&amp;"/images-eu.ssl-images-amazon.com/images/I/91XtyCyQpuS.mp4 ""style ="" position: absolute; left: 0px; top: 0px; overflow: hidden; height: 1px; width: 1px ; ""&gt; &lt;/ video&gt; &lt;/ div&gt; &lt;div id ="" airy-slate-preload ""style ="" background-color: rgb (0, 0, 0); ba"&amp;"ckground-image: url (&amp; quot; https: // images-eu.ssl-images-amazon.com/images/I/81wdVIaJC6S.png&amp;quot;); background-size: Contain; background-position: center center; background-repeat: no-repeat; position: absolute; top: 0px ; left: 0px; visibility: visib"&amp;"le; width: 100%; height: 100%; ""&gt; &lt;/ div&gt; &lt;iframe sc rolling = ""no"" frameborder = ""0"" src = ""about: blank"" style = ""display: none;""&gt; &lt;/ iframe&gt; &lt;div tabindex = ""- 1"" class = ""airy-controls-container"" style = "" opacity: 0; visibility: hidden;"&amp;" ""&gt; &lt;div tabindex ="" - 1 ""class ="" airy-screen-size-toggle airy-fullscreen ""&gt; &lt;/ div&gt; &lt;div tabindex ="" - 1 ""class ="" airy-container-bottom "" &gt; &lt;div tabindex = ""- 1"" class = ""airy-track-bar-spacer-left"" style = ""width: 11px;""&gt; &lt;/ div&gt; &lt;div t"&amp;"abindex = ""- 1"" class = ""airy-play- airy toggle-play ""style ="" width: 12px; margin-right: 12px; ""&gt; &lt;/ div&gt; &lt;div tabindex ="" - 1 ""class ="" airy-audio-elements ""style ="" float: right; width: 34px; ""&gt; &lt;div tabindex ="" - 1 ""class ="" airy-audio-"&amp;"toggle airy-on ""&gt; &lt;/ div&gt; &lt;div tabindex ="" - 1 ""class ="" airy-audio-container ""style = ""opacity: 0; visibility: hidden; ""&gt; &lt;div tabindex ="" - 1 ""class ="" airy-audio-track-bar ""style ="" height: 80%; ""&gt; &lt;div tabindex ="" - 1 ""class ="" airy-au"&amp;"dio- Scrubber-bar ""style ="" height: 85%; ""&gt; &lt;/ div&gt; &lt;div tabindex ="" - 1 ""class ="" airy-audio-scrubber ""style ="" height: 12px; bottom 85% ""&gt; &lt;/ div&gt; &lt;/ div&gt; &lt;/ div&gt; &lt;/ div&gt; &lt;div tabindex ="" - 1 ""class ="" airy-duration-label ""style ="" float: "&amp;"right; width: 26px; margin-right: 4px; text-align: center; ""&gt; 0:11 &lt;/ div&gt; &lt;div tabindex ="" - 1 ""class ="" airy-track-bar-spacer-right ""style ="" float: right; width: 11px; ""&gt; &lt;/ div&gt; &lt;div tabindex ="" - 1 ""class ="" airy-track-bar-container ""style"&amp;" ="" margin-left: 35px; margin-right: 75px; ""&gt; &lt;div tabindex ="" - 1 ""class ="" airy-airy-track-bar vertically-centering-table ""&gt; &lt;div tabindex ="" - 1 ""class ="" airy-Vertical-centering- table-cell ""&gt; &lt;div tabindex ="" - 1 ""class ="" airy-track-bar"&amp;"-elements ""&gt; &lt;div tabindex ="" - 1 ""class ="" airy-progress-bar ""style ="" width: 60.1185%; ""&gt; &lt;/ div&gt; &lt;div tabindex ="" - 1 ""class ="" airy-scrubber-bar ""&gt; &lt;/ div&gt; &lt;div tabindex ="" - 1 ""class ="" airy-scrubber ""&gt; &lt;div tabindex ="" - 1 ""class ="&amp;""" airy-scrubber-icon ""&gt; &lt;/ div&gt; &lt;div tabindex ="" - 1 ""class ="" airy-adjusted-AUI-tooltip ""style ="" opacity: 0; visibility: hidden; ""&gt; &lt;div tabindex ="" - 1 ""class ="" airy-adjusted-aui-tooltip-inner ""&gt; &lt;div tabindex ="" - 1 ""class ="" airy-curr"&amp;"ent-time-label ""&gt; 0: 00 &lt;/ div&gt; &lt;/ div&gt; &lt;div tabindex = ""- 1"" class = ""airy-adjusted-AUI-arrow-border""&gt; &lt;div tabindex = ""- 1"" class = ""airy-adjusted-AUI-arrow"" &gt; &lt;/ div&gt; &lt;/ div&gt; &lt;/ div&gt; &lt;/ div&gt; &lt;/ div&gt; &lt;/ div&gt; &lt;/ div&gt; &lt;/ div&gt; &lt;/ div&gt; &lt;/ div&gt; &lt;div"&amp;" tabindex = ""- 1"" class = ""airy-age-gate airy-stage airy-Vertical-centering-table airy-dialog"" style = ""opacity: 0; visibility: hidden; ""&gt; &lt;div tabindex ="" - 1 ""class ="" airy-age-gate-Vertical-centering-table-cell airy-Vertical-centering-table-ce"&amp;"ll ""&gt; &lt;div tabindex ="" - 1 ""class = ""airy-Vertical-centering-wrapper airy-age-gate-elements-wrapper""&gt; &lt;div tabindex = ""- 1"" class = ""airy-age-gate-elements airy-dialog-elements""&gt; &lt;div tabindex = "" -1 ""class ="" airy-age-gate-prompt ""&gt; This vid"&amp;"eo is not Intended for all audiences What date were you born &lt;/ div&gt; &lt;div tabindex =.?"" - 1 ""class ="" airy-age-gate -inputs airy-dialog-inner-elements ""&gt; &lt;select tabindex ="" - 1 ""class ="" airy-age-gate-month ""&gt; &lt;option value ="" 1 ""&gt; January &lt;/ o"&amp;"ption&gt; &lt;option value ="" 2 ""&gt; February &lt;/ option&gt; &lt;option value ="" 3 ""&gt; March &lt;/ option&gt; &lt;option value ="" 4 ""&gt; April &lt;/ option&gt; &lt;option value ="" 5 ""&gt; May &lt;/ option&gt; &lt;option value = ""6""&gt; June &lt;/ option&gt; &lt;option value = ""7""&gt; July &lt;/ option&gt; &lt;opti"&amp;"on value = ""8""&gt; August &lt;/ option&gt; &lt;option value = ""9""&gt; September &lt;/ option&gt; &lt;option value = ""10""&gt; October &lt;/ option&gt; &lt;option value = ""11""&gt; November &lt;/ option&gt; &lt;option value = ""12""&gt; December &lt;/ option&gt; &lt;/ select&gt; &lt;select tabindex = ""- 1"" class "&amp;"= ""airy-age-gate-day""&gt; &lt;opti on value = ""1""&gt; 1 &lt;/ option&gt; &lt;option value = ""2""&gt; 2 &lt;/ option&gt; &lt;option value = ""3""&gt; 3 &lt;/ option&gt; &lt;option value = ""4""&gt; 4 &lt;/ option &gt; &lt;option value = ""5""&gt; 5 &lt;/ option&gt; &lt;option value = ""6""&gt; 6 &lt;/ option&gt; &lt;option valu"&amp;"e = ""7""&gt; 7 &lt;/ option&gt; &lt;option value = ""8""&gt; 8 &lt; / option&gt; &lt;option value = ""9""&gt; 9 &lt;/ option&gt; &lt;option value = ""10""&gt; 10 &lt;/ option&gt; &lt;option value = ""11""&gt; 11 &lt;/ option&gt; &lt;option value = ""12""&gt; 12 &lt;/ option&gt; &lt;option value = ""13""&gt; 13 &lt;/ option&gt; &lt;optio"&amp;"n value = ""14""&gt; 14 &lt;/ option&gt; &lt;option value = ""15""&gt; 15 &lt;/ option&gt; &lt;option value = ""16 ""&gt; 16 &lt;/ option&gt; &lt;option value ="" 17 ""&gt; 17 &lt;/ option&gt; &lt;option value ="" 18 ""&gt; 18 &lt;/ option&gt; &lt;option value ="" 19 ""&gt; 19 &lt;/ option&gt; &lt;option value = ""20""&gt; 20 &lt;/"&amp;" option&gt; &lt;option value = ""21""&gt; 21 &lt;/ option&gt; &lt;option value = ""22""&gt; 22 &lt;/ option&gt; &lt;option value = ""23""&gt; 23 &lt;/ option&gt; &lt;option value = ""24""&gt; 24 &lt;/ option&gt; &lt;option value = ""25""&gt; 25 &lt;/ option&gt; &lt;option value = ""26""&gt; 26 &lt;/ option&gt; &lt;option value = """&amp;"27""&gt; 27 &lt;/ option&gt; &lt;option value = ""28""&gt; 28 &lt;/ option&gt; &lt;option value = ""29""&gt; 29 &lt;/ option&gt; &lt;option value = ""30""&gt; 30 &lt;/ option&gt; &lt;option value = ""31""&gt; 31 &lt;/ option&gt; &lt;/ select&gt; &lt;select tabindex = ""- 1"" class = ""airy-age-gate-year""&gt; &lt;option value"&amp;" = ""2019""&gt; 2019 &lt;/ option&gt; &lt; option value = ""2018""&gt; 2018 &lt;/ option&gt; &lt;option value = ""2017""&gt; 2017 &lt;/ option&gt; &lt;option value = ""2016""&gt; ​​2016 &lt;/ option&gt; &lt;option value = ""2015""&gt; 2015 &lt;/ option &gt; &lt;option value = ""2014""&gt; 2014 &lt;/ option&gt; &lt;option valu"&amp;"e = ""2013""&gt; 2013 &lt;/ option&gt; &lt;option value = ""2012""&gt; 2012 &lt;/ option&gt; &lt;option value = ""2011""&gt; 2011 &lt; / option&gt; &lt;option value = ""2010""&gt; 2010 &lt;/ option&gt; &lt;option value = ""2009""&gt; 2009 &lt;/ option&gt; &lt;option value = ""2008""&gt; 2008 &lt;/ option&gt; &lt;option value "&amp;"= ""2007""&gt; 2007 &lt;/ option&gt; &lt;option value = ""2006""&gt; 2006 &lt;/ option&gt; &lt;option value = ""2005""&gt; 2005 &lt;/ option&gt; &lt;option value = ""2004""&gt; 2004 &lt;/ option&gt; &lt;option value = ""2003 ""&gt; 2003 &lt;/ option&gt; &lt;option value ="" 2002 ""&gt; 2002 &lt;/ option&gt; &lt;option value ="&amp;""" 2001 ""&gt; 2001 &lt;/ option&gt; &lt;option value ="" 2000 ""&gt; 2000 &lt;/ option&gt; &lt;option value = ""1999""&gt; 1999 &lt;/ option&gt; &lt;option value = ""1998""&gt; 1998 &lt;/ option&gt; &lt;option value = ""1997""&gt; 1997 &lt;/ option&gt; &lt;option value = ""1996""&gt; 1996 &lt;/ option&gt; &lt;option value = "&amp;"""1995""&gt; 1995 &lt;/ option&gt; &lt;option value = ""1994""&gt; 1994 &lt;/ option&gt; &lt;option value = ""1993""&gt; 1993 &lt;/ option&gt; &lt;option value = ""1992""&gt; 1992 &lt;/ option&gt; &lt;option value = ""1991""&gt; 1991 &lt;/ option&gt; &lt;option value = ""1990""&gt; 1990 &lt;/ option&gt; &lt;option value = "" "&amp;"1989 ""&gt; 1989 &lt;/ option&gt; &lt;option value ="" 1988 ""&gt; 1988 &lt;/ option&gt; &lt;option value ="" 1987 ""&gt; 1987 &lt;/ option&gt; &lt;option value ="" 1986 ""&gt; 1986 &lt;/ option&gt; &lt;value option = ""1985""&gt; 1985 &lt;/ option&gt; &lt;option value = ""1984""&gt; 1984 &lt;/ option&gt; &lt;option value = "&amp;"""1983""&gt; 1983 &lt;/ option&gt; &lt;option value = ""1982""&gt; 1982 &lt;/ option&gt; &lt; option value = ""1981""&gt; 1981 &lt;/ option&gt; &lt;option value = ""1980""&gt; 1980 &lt;/ option&gt; &lt;option value = ""1979""&gt; 1979 &lt;/ option&gt; &lt;option value = ""1978""&gt; 1978 &lt;/ option &gt; &lt;option value = "&amp;"""1977""&gt; 1977 &lt;/ option&gt; &lt;option value = ""1976""&gt; 1976 &lt;/ option&gt; &lt;option value = ""1975""&gt; 1975 &lt;/ option&gt; &lt;option value = ""1974""&gt; 1974 &lt; / option&gt; &lt;option value = ""1973""&gt; 1973 &lt;/ option&gt; &lt;option value = ""1972""&gt; 1972 &lt;/ option&gt; &lt;option value = """&amp;"1971""&gt; 1971 &lt;/ option&gt; &lt;option value = ""1970""&gt; 1970 &lt;/ option&gt; &lt;option value = ""1969""&gt; 1969 &lt;/ option&gt; &lt;option value = ""1968""&gt; 1968 &lt;/ option&gt; &lt;option value = ""1967""&gt; 1967 &lt;/ option&gt; &lt;option value = ""1966 ""&gt; 1966 &lt;/ option&gt; &lt;option value ="" 19"&amp;"65 ""&gt; 1965 &lt;/ option&gt; &lt;option value ="" 1964 ""&gt; 1964 &lt;/ option&gt; &lt;option value ="" 1963 ""&gt; 1963 &lt;/ option&gt; &lt;option value = ""1962""&gt; 1962 &lt;/ option&gt; &lt;option value = ""1961""&gt; 1961 &lt;/ option&gt; &lt;option value = ""1960""&gt; 1960 &lt;/ op tion&gt; &lt;option value = ""1"&amp;"959""&gt; 1959 &lt;/ option&gt; &lt;option value = ""1958""&gt; 1958 &lt;/ option&gt; &lt;option value = ""1957""&gt; 1957 &lt;/ option&gt; &lt;option value = ""1956""&gt; 1956 &lt;/ option&gt; &lt;option value = ""1955""&gt; 1955 &lt;/ option&gt; &lt;option value = ""1954""&gt; 1954 &lt;/ option&gt; &lt;option value = ""1953"&amp;"""&gt; 1953 &lt;/ option&gt; &lt;option value = ""1952"" &gt; 1952 &lt;/ option&gt; &lt;option value = ""1951""&gt; 1951 &lt;/ option&gt; &lt;option value = ""1950""&gt; 1950 &lt;/ option&gt; &lt;option value = ""1949""&gt; 1949 &lt;/ option&gt; &lt;option value = "" 1948 ""&gt; 1948 &lt;/ option&gt; &lt;option value ="" 1947"&amp;" ""&gt; 1947 &lt;/ option&gt; &lt;option value ="" 1946 ""&gt; 1946 &lt;/ option&gt; &lt;option value ="" 1945 ""&gt; 1945 &lt;/ option&gt; &lt;value option = ""1944""&gt; 1944 &lt;/ option&gt; &lt;option value = ""1943""&gt; 1943 &lt;/ option&gt; &lt;option value = ""1942""&gt; 1942 &lt;/ option&gt; &lt;option value = ""1941"&amp;"""&gt; 1941 &lt;/ option&gt; &lt; option value = ""1940""&gt; 1940 &lt;/ option&gt; &lt;option value = ""1939""&gt; 1939 &lt;/ option&gt; &lt;option value = ""1938""&gt; 1938 &lt;/ option&gt; &lt;option value = ""1937""&gt; 1937 &lt;/ option &gt; &lt;option value = ""1936""&gt; 1936 &lt;/ option&gt; &lt;option value = ""1935"&amp;"""&gt; 1935 &lt;/ option&gt; &lt;option value = ""1934""&gt; 1934 &lt;/ option&gt; &lt;option value = ""1933""&gt; 1933 &lt; / option&gt; &lt;option value = ""1932""&gt; 1932 &lt;/ option&gt; &lt;option value = ""1931""&gt; 1931 &lt;/ option&gt; &lt;option v alue = ""1930""&gt; 1930 &lt;/ option&gt; &lt;option value = ""1929"&amp;"""&gt; 1929 &lt;/ option&gt; &lt;option value = ""1928""&gt; 1928 &lt;/ option&gt; &lt;option value = ""1927""&gt; 1927 &lt;/ option&gt; &lt;option value = ""1926""&gt; 1926 &lt;/ option&gt; &lt;option value = ""1925""&gt; 1925 &lt;/ option&gt; &lt;option value = ""1924""&gt; 1924 &lt;/ option&gt; &lt;option value = ""1923""&gt;"&amp;" 1923 &lt;/ option&gt; &lt;option value = ""1922""&gt; 1922 &lt;/ option&gt; &lt;option value = ""1921""&gt; 1921 &lt;/ option&gt; &lt;option value = ""1920""&gt; 1920 &lt;/ option&gt; &lt;option value = ""1919""&gt; 1919 &lt;/ option&gt; &lt;option value = ""1918""&gt; 1918 &lt;/ option&gt; &lt;option value = ""1917""&gt; 19"&amp;"17 &lt;/ option&gt; &lt;option value = ""1916""&gt; 1916 &lt;/ option&gt; &lt;option value = ""1915"" &gt; 1915 &lt;/ option&gt; &lt;option value = ""1914""&gt; 1914 &lt;/ option&gt; &lt;option value = ""1913""&gt; 1913 &lt;/ option&gt; &lt;option value = ""1912""&gt; 1912 &lt;/ option&gt; &lt;option value = "" 1911 ""&gt; 19"&amp;"11 &lt;/ option&gt; &lt;option value ="" 1910 ""&gt; 1910 &lt;/ option&gt; &lt;option value ="" 1909 ""&gt; 1909 &lt;/ option&gt; &lt;option value ="" 1908 ""&gt; 1908 &lt;/ option&gt; &lt;value option = ""1907""&gt; 1907 &lt;/ option&gt; &lt;option value = ""1906""&gt; 1906 &lt;/ option&gt; &lt;option value = ""1905""&gt; 19"&amp;"05 &lt;/ option&gt; &lt;option value = ""1904""&gt; 1904 &lt;/ option&gt; &lt; option value = ""1903""&gt; 1903 &lt;/ option&gt; &lt;option value = ""1902""&gt; 1902 &lt;/ option&gt; &lt;option value = ""1901""&gt; 19 01 &lt;/ option&gt; &lt;option value = ""1900""&gt; 1900 &lt;/ option&gt; &lt;/ select&gt; &lt;div tabindex = """&amp;"- 1"" class = ""airy-age-gate-submit airy-submit-button airy airy-submit- disabled ""&gt; Submit &lt;/ div&gt; &lt;/ div&gt; &lt;/ div&gt; &lt;/ div&gt; &lt;/ div&gt; &lt;/ div&gt; &lt;div tabindex ="" - 1 ""class ="" airy-install-flash-dialog airy-stage airy -vertical-centering-table-dialog airy"&amp;" airy-denied ""style ="" opacity: 0; visibility: hidden; ""&gt; &lt;div tabindex ="" - 1 ""class ="" airy-install-flash-Vertical-centering-table-cell airy-Vertical-centering-table-cell ""&gt; &lt;div tabindex ="" - 1 ""class = ""airy-Vertical-centering-wrapper airy-i"&amp;"nstall-flash-elements-wrapper""&gt; &lt;div tabindex = ""- 1"" class = ""airy-install-flash-elements airy-dialog-elements""&gt; &lt;div tabindex = "" -1 ""class ="" airy-install-flash-prompt ""&gt; Adobe Flash Player is required to watch this video &lt;/ div&gt; &lt;div tabindex"&amp;" =."" - 1 ""class ="" airy-install-flash-button-wrapper airy -dialog-inner-elements ""&gt; &lt;div tabindex ="" - 1 ""class ="" airy-install-flash-button airy-button ""&gt; install Flash Player &lt;/ div&gt; &lt;/ div&gt; &lt;/ div&gt; &lt;/ div&gt; &lt;/ div&gt; &lt;/ div&gt; &lt;div tabindex = ""- 1"&amp;""" class = ""airy-video-unsupported-dialog airy-stage airy-Vertical-centering-table airy-dialog airy-denied"" style = ""opacity: 0; visibility: hidden; ""&gt; &lt;div tabindex ="" - 1 ""class ="" airy-video-unsupported-Vertical-centering-table-cell airy-Vertica"&amp;"l-centering-table-cell ""&gt; &lt;div tabindex ="" - 1 ""class = ""airy-Vertical-centering-wrapper airy-video-unsupported-elements-wrapper""&gt; &lt;div tabindex = ""- 1"" class = ""airy-video-unsupported-elements airy-dialog-elements""&gt; &lt;div tabindex = "" -1 ""class"&amp;" ="" airy-video-unsupported-prompt ""&gt; &lt;/ div&gt; &lt;/ div&gt; &lt;/ div&gt; &lt;/ div&gt; &lt;/ div&gt; &lt;div tabindex ="" - 1 ""class ="" airy-loading- spinner-stage airy-stage ""&gt; &lt;div tabindex ="" - 1 ""class ="" airy-loading-spinner-Vertical-centering-table-cell airy-Vertical-"&amp;"centering-table-cell ""&gt; &lt;div tabindex ="" - 1 ""class ="" airy-loading-spinner-container airy-scalable-hint-container ""&gt; &lt;div tabindex ="" - 1 ""class ="" airy-loading-spinner-dummy airy-scalable-dummy ""&gt; &lt;/ div&gt; &lt; div tabindex = ""- 1"" class = ""airy"&amp;"-loading-spinner airy-hint"" style = ""visibility: hidden;""&gt; &lt;/ div&gt; &lt;/ div&gt; &lt;/ div&gt; &lt;/ div&gt; &lt;div tabindex = ""- 1 ""class ="" airy-ads-screen-size-toggle airy-screen-size-toggle-fullscreen airy ""style ="" visibility: hidden; ""&gt; &lt;/ div&gt; &lt;div tabindex ="&amp;" ""-1"" class = ""airy-ad-prompt-container"" style = ""visibility: hidden;""&gt; &lt;div tabindex = ""- 1"" class = ""airy-ad-prompt-Vertical-centering-table-vertically airy centering-table ""&gt; &lt;div tabindex ="" - 1 ""class ="" airy-ad-prompt-Vertical-centering"&amp;"-table-cell airy-Vertical-centering-table-cell ""&gt; &lt;div tabindex ="" - 1 ""class = ""airy-ad-prompt-label""&gt; &lt;/ div&gt; &lt;/ div&gt; &lt;/ div&gt; &lt;/ div&gt; &lt;div tabindex = ""- 1"" class = ""airy-ads-controls-container"" style = ""visibility: hidden; ""&gt; &lt;div tabindex ="&amp;""" - 1 ""class ="" airy-ads-audio-toggle airy-audio-toggle airy-on ""style ="" visibility: hidden; ""&gt; &lt;/ div&gt; &lt;div tabindex ="" - 1 ""class ="" airy-time-remaining-label-container ""&gt; &lt;div tabindex ="" - 1 ""class ="" airy-time-remaining-Vertical-centeri"&amp;"ng-table airy-Vertical-centering-table ""&gt; &lt;div tabindex = ""- 1"" class = ""airy-time-remaining-Vertical-centering-table-cell airy-Vertical-centering-table-cell""&gt; &lt;div tabindex = ""- 1"" class = ""airy-Vertical-centering-wrapper airy-time-remaining-labe"&amp;"l-wrapper ""&gt; &lt;div tabindex ="" - 1 ""class ="" airy-time-remaining-label ""style ="" visibility: hidden; ""&gt; &lt;/ div&gt; &lt;div tabi ndex = ""- 1"" class = ""airy-ad-skip"" style = ""visibility: hidden;""&gt; &lt;/ div&gt; &lt;div tabindex = ""- 1"" class = ""airy-ad-end"&amp;""" style = ""visibility: hidden ""&gt; &lt;/ div&gt; &lt;/ div&gt; &lt;/ div&gt; &lt;/ div&gt; &lt;/ div&gt; &lt;div tabindex ="" - 1 ""class ="" airy-learn-more ""style ="" visibility: hidden; ""&gt; &lt;/ div&gt; &lt;/ div&gt; &lt;div tabindex = ""- 1"" class = ""airy-play-toggle-hint-stage airy-stage airy"&amp;"-cursor""&gt; &lt;div tabindex = ""- 1"" class = ""airy-play -toggle-hint-Vertical-centering-table-cell airy-Vertical-centering-table-cell airy-cursor ""&gt; &lt;div tabindex ="" - 1 ""class ="" airy-play-toggle-hint-container airy-scalable- Hint-container ""&gt; &lt;div t"&amp;"abindex ="" - 1 ""class ="" airy-play-toggle-hint-dummy airy-scalable-dummy ""&gt; &lt;/ div&gt; &lt;div tabindex ="" - 1 ""class ="" airy-play -toggle-hint hint airy-airy-play-hint ""style ="" opacity: 1; visibility: visible; ""&gt; &lt;/ div&gt; &lt;/ div&gt; &lt;/ div&gt; &lt;/ div&gt; &lt;div"&amp;" tabindex ="" - 1 ""class ="" airy-replay-hint-stage airy-stage ""style ="" visibility: hidden ; ""&gt; &lt;div tabindex ="" - 1 ""class ="" airy-replay-hint-Vertical-centering-table-cell airy-Vertical-centering-table-cell airy-cursor ""&gt; &lt;div tabindex ="" - 1 "&amp;"""class = ""airy-replay-hint-container airy-scalable-hint-container""&gt; &lt;div tabindex = ""- 1"" class = ""airy-replay-hint-dummy airy-scalable-dummy""&gt; &lt;/ div&gt; &lt;div tabindex = ""- 1"" class = ""airy-replay-hint airy-hint""&gt; &lt;/ div&gt; &lt;/ div&gt; &lt;/ div&gt; &lt;/ div&gt; "&amp;"&lt;div tabindex = ""- 1"" class = ""airy-autoplay-hint -stage airy-stage ""style ="" visibility: hidden; ""&gt; &lt;div tabindex ="" - 1 ""class ="" airy-autoplay-hint-Vertical-centering-table-cell airy-Vertical-centering-table-cell airy- cursor ""&gt; &lt;div tabindex"&amp;" ="" - 1 ""class ="" autoplay airy-airy-hint-container-scalable-hint-container ""&gt; &lt;div tabindex ="" - 1 ""class ="" airy-autoplay-hint-dummy airy- scalable-dummy ""&gt; &lt;/ div&gt; &lt;/ div&gt; &lt;/ div&gt; &lt;/ div&gt; &lt;/ div&gt; &lt;/ div&gt; &lt;input type ="" hidden ""name ="" ""valu"&amp;"e ="" https: // images-eu .ssl-images-amazon.com / images / I / 91XtyCyQpuS.mp4 ""Class ="" video-url ""&gt; &lt;input type ="" hidden ""name ="" ""value ="" https://images-eu.ssl-images-amazon.com/images/I/81wdVIaJC6S.png ""class ="" video-slate-img-url ""&gt; &amp; "&amp;"nbsp; in my opinion is a micro lot of quality, I use it for video recording and make streams and it shows a lot of quality change of the micro to the helmets, the arm that brings it Note that it is made of very good material, fixing it is for the table is"&amp;" impressive as fixes to perfection and also does not damage the surface of the table. The micro also comes with two antipop you one that is placed in the micro and the other is external, you can also leave collected and does not take anything as seen in t"&amp;"he images. Another advantage is its installation, the micro comes to you with a fairly long USB cable allowing you a lot of play, plus the PC detects the micro to the first. I recommend it")</f>
        <v>Impressive quality &lt;div id = "video-block-R1DXVPZTA33AM2" class = "a-section a-spacing-small a-spacing-top mini video-block"&gt; &lt;div tabindex = "0" class = "airy airy-svg vmin-unsupported airy-skin-beacon "style =" background-color: rgb (0, 0, 0) position: relative; width: 100%; height: 100%; font-size: 0px; overflow: hidden; outline : none; "&gt; &lt;div class =" airy-renderer-container "style =" position: relative; height: 100%; width: 100%; "&gt; &lt;video id =" 15 "preload =" auto "src =" https://images-eu.ssl-images-amazon.com/images/I/91XtyCyQpuS.mp4 "style =" position: absolute; left: 0px; top: 0px; overflow: hidden; height: 1px; width: 1px ; "&gt; &lt;/ video&gt; &lt;/ div&gt; &lt;div id =" airy-slate-preload "style =" background-color: rgb (0, 0, 0); background-image: url (&amp; quot; https: // images-eu.ssl-images-amazon.com/images/I/81wdVIaJC6S.png&amp;quot;); background-size: Contain; background-position: center center; background-repeat: no-repeat; position: absolute; top: 0px ; left: 0px; visibility: visible; width: 100%; height: 100%; "&gt; &lt;/ div&gt; &lt;iframe sc rolling = "no" frameborder = "0" src = "about: blank" style = "display: none;"&gt; &lt;/ iframe&gt; &lt;div tabindex = "- 1" class = "airy-controls-container" style = " opacity: 0; visibility: hidden; "&gt; &lt;div tabindex =" - 1 "class =" airy-screen-size-toggle airy-fullscreen "&gt; &lt;/ div&gt; &lt;div tabindex =" - 1 "class =" airy-container-bottom " &gt; &lt;div tabindex = "- 1" class = "airy-track-bar-spacer-left" style = "width: 11px;"&gt; &lt;/ div&gt; &lt;div tabindex = "- 1" class = "airy-play- airy toggle-play "style =" width: 12px; margin-right: 12px; "&gt; &lt;/ div&gt; &lt;div tabindex =" - 1 "class =" airy-audio-elements "style =" float: right; width: 34px; "&gt; &lt;div tabindex =" - 1 "class =" airy-audio-toggle airy-on "&gt; &lt;/ div&gt; &lt;div tabindex =" - 1 "class =" airy-audio-container "style = "opacity: 0; visibility: hidden; "&gt; &lt;div tabindex =" - 1 "class =" airy-audio-track-bar "style =" height: 80%; "&gt; &lt;div tabindex =" - 1 "class =" airy-audio- Scrubber-bar "style =" height: 85%; "&gt; &lt;/ div&gt; &lt;div tabindex =" - 1 "class =" airy-audio-scrubber "style =" height: 12px; bottom 85% "&gt; &lt;/ div&gt; &lt;/ div&gt; &lt;/ div&gt; &lt;/ div&gt; &lt;div tabindex =" - 1 "class =" airy-duration-label "style =" float: right; width: 26px; margin-right: 4px; text-align: center; "&gt; 0:11 &lt;/ div&gt; &lt;div tabindex =" - 1 "class =" airy-track-bar-spacer-right "style =" float: right; width: 11px; "&gt; &lt;/ div&gt; &lt;div tabindex =" - 1 "class =" airy-track-bar-container "style =" margin-left: 35px; margin-right: 75px; "&gt; &lt;div tabindex =" - 1 "class =" airy-airy-track-bar vertically-centering-table "&gt; &lt;div tabindex =" - 1 "class =" airy-Vertical-centering- table-cell "&gt; &lt;div tabindex =" - 1 "class =" airy-track-bar-elements "&gt; &lt;div tabindex =" - 1 "class =" airy-progress-bar "style =" width: 60.1185%; "&gt; &lt;/ div&gt; &lt;div tabindex =" - 1 "class =" airy-scrubber-bar "&gt; &lt;/ div&gt; &lt;div tabindex =" - 1 "class =" airy-scrubber "&gt; &lt;div tabindex =" - 1 "class =" airy-scrubber-icon "&gt; &lt;/ div&gt; &lt;div tabindex =" - 1 "class =" airy-adjusted-AUI-tooltip "style =" opacity: 0; visibility: hidden; "&gt; &lt;div tabindex =" - 1 "class =" airy-adjusted-aui-tooltip-inner "&gt; &lt;div tabindex =" - 1 "class =" airy-current-time-label "&gt; 0: 00 &lt;/ div&gt; &lt;/ div&gt; &lt;div tabindex = "- 1" class = "airy-adjusted-AUI-arrow-border"&gt; &lt;div tabindex = "- 1" class = "airy-adjusted-AUI-arrow" &gt; &lt;/ div&gt; &lt;/ div&gt; &lt;/ div&gt; &lt;/ div&gt; &lt;/ div&gt; &lt;/ div&gt; &lt;/ div&gt; &lt;/ div&gt; &lt;/ div&gt; &lt;/ div&gt; &lt;div tabindex = "- 1" class = "airy-age-gate airy-stage airy-Vertical-centering-table airy-dialog" style = "opacity: 0; visibility: hidden; "&gt; &lt;div tabindex =" - 1 "class =" airy-age-gate-Vertical-centering-table-cell airy-Vertical-centering-table-cell "&gt; &lt;div tabindex =" - 1 "class = "airy-Vertical-centering-wrapper airy-age-gate-elements-wrapper"&gt; &lt;div tabindex = "- 1" class = "airy-age-gate-elements airy-dialog-elements"&gt; &lt;div tabindex = " -1 "class =" airy-age-gate-prompt "&gt; This video is not Intended for all audiences What date were you born &lt;/ div&gt; &lt;div tabindex =.?" - 1 "class =" airy-age-gate -inputs airy-dialog-inner-elements "&gt; &lt;select tabindex =" - 1 "class =" airy-age-gate-month "&gt; &lt;option value =" 1 "&gt; January &lt;/ option&gt; &lt;option value =" 2 "&gt; February &lt;/ option&gt; &lt;option value =" 3 "&gt; March &lt;/ option&gt; &lt;option value =" 4 "&gt; April &lt;/ option&gt; &lt;option value =" 5 "&gt; May &lt;/ option&gt; &lt;option value = "6"&gt; June &lt;/ option&gt; &lt;option value = "7"&gt; July &lt;/ option&gt; &lt;option value = "8"&gt; August &lt;/ option&gt; &lt;option value = "9"&gt; September &lt;/ option&gt; &lt;option value = "10"&gt; October &lt;/ option&gt; &lt;option value = "11"&gt; November &lt;/ option&gt; &lt;option value = "12"&gt; December &lt;/ option&gt; &lt;/ select&gt; &lt;select tabindex = "- 1" class = "airy-age-gate-day"&gt; &lt;opti on value = "1"&gt; 1 &lt;/ option&gt; &lt;option value = "2"&gt; 2 &lt;/ option&gt; &lt;option value = "3"&gt; 3 &lt;/ option&gt; &lt;option value = "4"&gt; 4 &lt;/ option &gt; &lt;option value = "5"&gt; 5 &lt;/ option&gt; &lt;option value = "6"&gt; 6 &lt;/ option&gt; &lt;option value = "7"&gt; 7 &lt;/ option&gt; &lt;option value = "8"&gt; 8 &lt; / option&gt; &lt;option value = "9"&gt; 9 &lt;/ option&gt; &lt;option value = "10"&gt; 10 &lt;/ option&gt; &lt;option value = "11"&gt; 11 &lt;/ option&gt; &lt;option value = "12"&gt; 12 &lt;/ option&gt; &lt;option value = "13"&gt; 13 &lt;/ option&gt; &lt;option value = "14"&gt; 14 &lt;/ option&gt; &lt;option value = "15"&gt; 15 &lt;/ option&gt; &lt;option value = "16 "&gt; 16 &lt;/ option&gt; &lt;option value =" 17 "&gt; 17 &lt;/ option&gt; &lt;option value =" 18 "&gt; 18 &lt;/ option&gt; &lt;option value =" 19 "&gt; 19 &lt;/ option&gt; &lt;option value = "20"&gt; 20 &lt;/ option&gt; &lt;option value = "21"&gt; 21 &lt;/ option&gt; &lt;option value = "22"&gt; 22 &lt;/ option&gt; &lt;option value = "23"&gt; 23 &lt;/ option&gt; &lt;option value = "24"&gt; 24 &lt;/ option&gt; &lt;option value = "25"&gt; 25 &lt;/ option&gt; &lt;option value = "26"&gt; 26 &lt;/ option&gt; &lt;option value = "27"&gt; 27 &lt;/ option&gt; &lt;option value = "28"&gt; 28 &lt;/ option&gt; &lt;option value = "29"&gt; 29 &lt;/ option&gt; &lt;option value = "30"&gt; 30 &lt;/ option&gt; &lt;option value = "31"&gt; 31 &lt;/ option&gt; &lt;/ select&gt; &lt;select tabindex = "- 1" class = "airy-age-gate-year"&gt; &lt;option value = "2019"&gt; 2019 &lt;/ option&gt; &lt; option value = "2018"&gt; 2018 &lt;/ option&gt; &lt;option value = "2017"&gt; 2017 &lt;/ option&gt; &lt;option value = "2016"&gt; ​​2016 &lt;/ option&gt; &lt;option value = "2015"&gt; 2015 &lt;/ option &gt; &lt;option value = "2014"&gt; 2014 &lt;/ option&gt; &lt;option value = "2013"&gt; 2013 &lt;/ option&gt; &lt;option value = "2012"&gt; 2012 &lt;/ option&gt; &lt;option value = "2011"&gt; 2011 &lt; / option&gt; &lt;option value = "2010"&gt; 2010 &lt;/ option&gt; &lt;option value = "2009"&gt; 2009 &lt;/ option&gt; &lt;option value = "2008"&gt; 2008 &lt;/ option&gt; &lt;option value = "2007"&gt; 2007 &lt;/ option&gt; &lt;option value = "2006"&gt; 2006 &lt;/ option&gt; &lt;option value = "2005"&gt; 2005 &lt;/ option&gt; &lt;option value = "2004"&gt; 2004 &lt;/ option&gt; &lt;option value = "2003 "&gt; 2003 &lt;/ option&gt; &lt;option value =" 2002 "&gt; 2002 &lt;/ option&gt; &lt;option value =" 2001 "&gt; 2001 &lt;/ option&gt; &lt;option value =" 2000 "&gt; 2000 &lt;/ option&gt; &lt;option value = "1999"&gt; 1999 &lt;/ option&gt; &lt;option value = "1998"&gt; 1998 &lt;/ option&gt; &lt;option value = "1997"&gt; 1997 &lt;/ option&gt; &lt;option value = "1996"&gt; 1996 &lt;/ option&gt; &lt;option value = "1995"&gt; 1995 &lt;/ option&gt; &lt;option value = "1994"&gt; 1994 &lt;/ option&gt; &lt;option value = "1993"&gt; 1993 &lt;/ option&gt; &lt;option value = "1992"&gt; 1992 &lt;/ option&gt; &lt;option value = "1991"&gt; 1991 &lt;/ option&gt; &lt;option value = "1990"&gt; 1990 &lt;/ option&gt; &lt;option value = " 1989 "&gt; 1989 &lt;/ option&gt; &lt;option value =" 1988 "&gt; 1988 &lt;/ option&gt; &lt;option value =" 1987 "&gt; 1987 &lt;/ option&gt; &lt;option value =" 1986 "&gt; 1986 &lt;/ option&gt; &lt;value option = "1985"&gt; 1985 &lt;/ option&gt; &lt;option value = "1984"&gt; 1984 &lt;/ option&gt; &lt;option value = "1983"&gt; 1983 &lt;/ option&gt; &lt;option value = "1982"&gt; 1982 &lt;/ option&gt; &lt; option value = "1981"&gt; 1981 &lt;/ option&gt; &lt;option value = "1980"&gt; 1980 &lt;/ option&gt; &lt;option value = "1979"&gt; 1979 &lt;/ option&gt; &lt;option value = "1978"&gt; 1978 &lt;/ option &gt; &lt;option value = "1977"&gt; 1977 &lt;/ option&gt; &lt;option value = "1976"&gt; 1976 &lt;/ option&gt; &lt;option value = "1975"&gt; 1975 &lt;/ option&gt; &lt;option value = "1974"&gt; 1974 &lt; / option&gt; &lt;option value = "1973"&gt; 1973 &lt;/ option&gt; &lt;option value = "1972"&gt; 1972 &lt;/ option&gt; &lt;option value = "1971"&gt; 1971 &lt;/ option&gt; &lt;option value = "1970"&gt; 1970 &lt;/ option&gt; &lt;option value = "1969"&gt; 1969 &lt;/ option&gt; &lt;option value = "1968"&gt; 1968 &lt;/ option&gt; &lt;option value = "1967"&gt; 1967 &lt;/ option&gt; &lt;option value = "1966 "&gt; 1966 &lt;/ option&gt; &lt;option value =" 1965 "&gt; 1965 &lt;/ option&gt; &lt;option value =" 1964 "&gt; 1964 &lt;/ option&gt; &lt;option value =" 1963 "&gt; 1963 &lt;/ option&gt; &lt;option value = "1962"&gt; 1962 &lt;/ option&gt; &lt;option value = "1961"&gt; 1961 &lt;/ option&gt; &lt;option value = "1960"&gt; 1960 &lt;/ op tion&gt; &lt;option value = "1959"&gt; 1959 &lt;/ option&gt; &lt;option value = "1958"&gt; 1958 &lt;/ option&gt; &lt;option value = "1957"&gt; 1957 &lt;/ option&gt; &lt;option value = "1956"&gt; 1956 &lt;/ option&gt; &lt;option value = "1955"&gt; 1955 &lt;/ option&gt; &lt;option value = "1954"&gt; 1954 &lt;/ option&gt; &lt;option value = "1953"&gt; 1953 &lt;/ option&gt; &lt;option value = "1952" &gt; 1952 &lt;/ option&gt; &lt;option value = "1951"&gt; 1951 &lt;/ option&gt; &lt;option value = "1950"&gt; 1950 &lt;/ option&gt; &lt;option value = "1949"&gt; 1949 &lt;/ option&gt; &lt;option value = " 1948 "&gt; 1948 &lt;/ option&gt; &lt;option value =" 1947 "&gt; 1947 &lt;/ option&gt; &lt;option value =" 1946 "&gt; 1946 &lt;/ option&gt; &lt;option value =" 1945 "&gt; 1945 &lt;/ option&gt; &lt;value option = "1944"&gt; 1944 &lt;/ option&gt; &lt;option value = "1943"&gt; 1943 &lt;/ option&gt; &lt;option value = "1942"&gt; 1942 &lt;/ option&gt; &lt;option value = "1941"&gt; 1941 &lt;/ option&gt; &lt; option value = "1940"&gt; 1940 &lt;/ option&gt; &lt;option value = "1939"&gt; 1939 &lt;/ option&gt; &lt;option value = "1938"&gt; 1938 &lt;/ option&gt; &lt;option value = "1937"&gt; 1937 &lt;/ option &gt; &lt;option value = "1936"&gt; 1936 &lt;/ option&gt; &lt;option value = "1935"&gt; 1935 &lt;/ option&gt; &lt;option value = "1934"&gt; 1934 &lt;/ option&gt; &lt;option value = "1933"&gt; 1933 &lt; / option&gt; &lt;option value = "1932"&gt; 1932 &lt;/ option&gt; &lt;option value = "1931"&gt; 1931 &lt;/ option&gt; &lt;option v alue = "1930"&gt; 1930 &lt;/ option&gt; &lt;option value = "1929"&gt; 1929 &lt;/ option&gt; &lt;option value = "1928"&gt; 1928 &lt;/ option&gt; &lt;option value = "1927"&gt; 1927 &lt;/ option&gt; &lt;option value = "1926"&gt; 1926 &lt;/ option&gt; &lt;option value = "1925"&gt; 1925 &lt;/ option&gt; &lt;option value = "1924"&gt; 1924 &lt;/ option&gt; &lt;option value = "1923"&gt; 1923 &lt;/ option&gt; &lt;option value = "1922"&gt; 1922 &lt;/ option&gt; &lt;option value = "1921"&gt; 1921 &lt;/ option&gt; &lt;option value = "1920"&gt; 1920 &lt;/ option&gt; &lt;option value = "1919"&gt; 1919 &lt;/ option&gt; &lt;option value = "1918"&gt; 1918 &lt;/ option&gt; &lt;option value = "1917"&gt; 1917 &lt;/ option&gt; &lt;option value = "1916"&gt; 1916 &lt;/ option&gt; &lt;option value = "1915" &gt; 1915 &lt;/ option&gt; &lt;option value = "1914"&gt; 1914 &lt;/ option&gt; &lt;option value = "1913"&gt; 1913 &lt;/ option&gt; &lt;option value = "1912"&gt; 1912 &lt;/ option&gt; &lt;option value = " 1911 "&gt; 1911 &lt;/ option&gt; &lt;option value =" 1910 "&gt; 1910 &lt;/ option&gt; &lt;option value =" 1909 "&gt; 1909 &lt;/ option&gt; &lt;option value =" 1908 "&gt; 1908 &lt;/ option&gt; &lt;value option = "1907"&gt; 1907 &lt;/ option&gt; &lt;option value = "1906"&gt; 1906 &lt;/ option&gt; &lt;option value = "1905"&gt; 1905 &lt;/ option&gt; &lt;option value = "1904"&gt; 1904 &lt;/ option&gt; &lt; option value = "1903"&gt; 1903 &lt;/ option&gt; &lt;option value = "1902"&gt; 1902 &lt;/ option&gt; &lt;option value = "1901"&gt; 19 01 &lt;/ option&gt; &lt;option value = "1900"&gt; 1900 &lt;/ option&gt; &lt;/ select&gt; &lt;div tabindex = "- 1" class = "airy-age-gate-submit airy-submit-button airy airy-submit- disabled "&gt; Submit &lt;/ div&gt; &lt;/ div&gt; &lt;/ div&gt; &lt;/ div&gt; &lt;/ div&gt; &lt;/ div&gt; &lt;div tabindex =" - 1 "class =" airy-install-flash-dialog airy-stage airy -vertical-centering-table-dialog airy airy-denied "style =" opacity: 0; visibility: hidden; "&gt; &lt;div tabindex =" - 1 "class =" airy-install-flash-Vertical-centering-table-cell airy-Vertical-centering-table-cell "&gt; &lt;div tabindex =" - 1 "class = "airy-Vertical-centering-wrapper airy-install-flash-elements-wrapper"&gt; &lt;div tabindex = "- 1" class = "airy-install-flash-elements airy-dialog-elements"&gt; &lt;div tabindex = " -1 "class =" airy-install-flash-prompt "&gt; Adobe Flash Player is required to watch this video &lt;/ div&gt; &lt;div tabindex =." - 1 "class =" airy-install-flash-button-wrapper airy -dialog-inner-elements "&gt; &lt;div tabindex =" - 1 "class =" airy-install-flash-button airy-button "&gt; install Flash Player &lt;/ div&gt; &lt;/ div&gt; &lt;/ div&gt; &lt;/ div&gt; &lt;/ div&gt; &lt;/ div&gt; &lt;div tabindex = "- 1" class = "airy-video-unsupported-dialog airy-stage airy-Vertical-centering-table airy-dialog airy-denied" style = "opacity: 0; visibility: hidden; "&gt; &lt;div tabindex =" - 1 "class =" airy-video-unsupported-Vertical-centering-table-cell airy-Vertical-centering-table-cell "&gt; &lt;div tabindex =" - 1 "class = "airy-Vertical-centering-wrapper airy-video-unsupported-elements-wrapper"&gt; &lt;div tabindex = "- 1" class = "airy-video-unsupported-elements airy-dialog-elements"&gt; &lt;div tabindex = " -1 "class =" airy-video-unsupported-prompt "&gt; &lt;/ div&gt; &lt;/ div&gt; &lt;/ div&gt; &lt;/ div&gt; &lt;/ div&gt; &lt;div tabindex =" - 1 "class =" airy-loading- spinner-stage airy-stage "&gt; &lt;div tabindex =" - 1 "class =" airy-loading-spinner-Vertical-centering-table-cell airy-Vertical-centering-table-cell "&gt; &lt;div tabindex =" - 1 "class =" airy-loading-spinner-container airy-scalable-hint-container "&gt; &lt;div tabindex =" - 1 "class =" airy-loading-spinner-dummy airy-scalable-dummy "&gt; &lt;/ div&gt; &lt; div tabindex = "- 1" class = "airy-loading-spinner airy-hint" style = "visibility: hidden;"&gt; &lt;/ div&gt; &lt;/ div&gt; &lt;/ div&gt; &lt;/ div&gt; &lt;div tabindex = "- 1 "class =" airy-ads-screen-size-toggle airy-screen-size-toggle-fullscreen airy "style =" visibility: hidden; "&gt; &lt;/ div&gt; &lt;div tabindex = "-1" class = "airy-ad-prompt-container" style = "visibility: hidden;"&gt; &lt;div tabindex = "- 1" class = "airy-ad-prompt-Vertical-centering-table-vertically airy centering-table "&gt; &lt;div tabindex =" - 1 "class =" airy-ad-prompt-Vertical-centering-table-cell airy-Vertical-centering-table-cell "&gt; &lt;div tabindex =" - 1 "class = "airy-ad-prompt-label"&gt; &lt;/ div&gt; &lt;/ div&gt; &lt;/ div&gt; &lt;/ div&gt; &lt;div tabindex = "- 1" class = "airy-ads-controls-container" style = "visibility: hidden; "&gt; &lt;div tabindex =" - 1 "class =" airy-ads-audio-toggle airy-audio-toggle airy-on "style =" visibility: hidden; "&gt; &lt;/ div&gt; &lt;div tabindex =" - 1 "class =" airy-time-remaining-label-container "&gt; &lt;div tabindex =" - 1 "class =" airy-time-remaining-Vertical-centering-table airy-Vertical-centering-table "&gt; &lt;div tabindex = "- 1" class = "airy-time-remaining-Vertical-centering-table-cell airy-Vertical-centering-table-cell"&gt; &lt;div tabindex = "- 1" class = "airy-Vertical-centering-wrapper airy-time-remaining-label-wrapper "&gt; &lt;div tabindex =" - 1 "class =" airy-time-remaining-label "style =" visibility: hidden; "&gt; &lt;/ div&gt; &lt;div tabi ndex = "- 1" class = "airy-ad-skip" style = "visibility: hidden;"&gt; &lt;/ div&gt; &lt;div tabindex = "- 1" class = "airy-ad-end" style = "visibility: hidden "&gt; &lt;/ div&gt; &lt;/ div&gt; &lt;/ div&gt; &lt;/ div&gt; &lt;/ div&gt; &lt;div tabindex =" - 1 "class =" airy-learn-more "style =" visibility: hidden; "&gt; &lt;/ div&gt; &lt;/ div&gt; &lt;div tabindex = "- 1" class = "airy-play-toggle-hint-stage airy-stage airy-cursor"&gt; &lt;div tabindex = "- 1" class = "airy-play -toggle-hint-Vertical-centering-table-cell airy-Vertical-centering-table-cell airy-cursor "&gt; &lt;div tabindex =" - 1 "class =" airy-play-toggle-hint-container airy-scalable- Hint-container "&gt; &lt;div tabindex =" - 1 "class =" airy-play-toggle-hint-dummy airy-scalable-dummy "&gt; &lt;/ div&gt; &lt;div tabindex =" - 1 "class =" airy-play -toggle-hint hint airy-airy-play-hint "style =" opacity: 1; visibility: visible; "&gt; &lt;/ div&gt; &lt;/ div&gt; &lt;/ div&gt; &lt;/ div&gt; &lt;div tabindex =" - 1 "class =" airy-replay-hint-stage airy-stage "style =" visibility: hidden ; "&gt; &lt;div tabindex =" - 1 "class =" airy-replay-hint-Vertical-centering-table-cell airy-Vertical-centering-table-cell airy-cursor "&gt; &lt;div tabindex =" - 1 "class = "airy-replay-hint-container airy-scalable-hint-container"&gt; &lt;div tabindex = "- 1" class = "airy-replay-hint-dummy airy-scalable-dummy"&gt; &lt;/ div&gt; &lt;div tabindex = "- 1" class = "airy-replay-hint airy-hint"&gt; &lt;/ div&gt; &lt;/ div&gt; &lt;/ div&gt; &lt;/ div&gt; &lt;div tabindex = "- 1" class = "airy-autoplay-hint -stage airy-stage "style =" visibility: hidden; "&gt; &lt;div tabindex =" - 1 "class =" airy-autoplay-hint-Vertical-centering-table-cell airy-Vertical-centering-table-cell airy- cursor "&gt; &lt;div tabindex =" - 1 "class =" autoplay airy-airy-hint-container-scalable-hint-container "&gt; &lt;div tabindex =" - 1 "class =" airy-autoplay-hint-dummy airy- scalable-dummy "&gt; &lt;/ div&gt; &lt;/ div&gt; &lt;/ div&gt; &lt;/ div&gt; &lt;/ div&gt; &lt;/ div&gt; &lt;input type =" hidden "name =" "value =" https: // images-eu .ssl-images-amazon.com / images / I / 91XtyCyQpuS.mp4 "Class =" video-url "&gt; &lt;input type =" hidden "name =" "value =" https://images-eu.ssl-images-amazon.com/images/I/81wdVIaJC6S.png "class =" video-slate-img-url "&gt; &amp; nbsp; in my opinion is a micro lot of quality, I use it for video recording and make streams and it shows a lot of quality change of the micro to the helmets, the arm that brings it Note that it is made of very good material, fixing it is for the table is impressive as fixes to perfection and also does not damage the surface of the table. The micro also comes with two antipop you one that is placed in the micro and the other is external, you can also leave collected and does not take anything as seen in the images. Another advantage is its installation, the micro comes to you with a fairly long USB cable allowing you a lot of play, plus the PC detects the micro to the first. I recommend it</v>
      </c>
    </row>
    <row r="777">
      <c r="A777" s="1">
        <v>5.0</v>
      </c>
      <c r="B777" s="1" t="s">
        <v>773</v>
      </c>
      <c r="C777" t="str">
        <f>IFERROR(__xludf.DUMMYFUNCTION("GOOGLETRANSLATE(B777, ""es"", ""en"")"),"Awesome Me has arrived safely and without, problem to play all night!")</f>
        <v>Awesome Me has arrived safely and without, problem to play all night!</v>
      </c>
    </row>
    <row r="778">
      <c r="A778" s="1">
        <v>5.0</v>
      </c>
      <c r="B778" s="1" t="s">
        <v>774</v>
      </c>
      <c r="C778" t="str">
        <f>IFERROR(__xludf.DUMMYFUNCTION("GOOGLETRANSLATE(B778, ""es"", ""en"")"),"Exceletente buy Exceletente purchase, plus the Amazon Flash offer me have gone very well priced. It is for almost exclusive use in a Samsung TV. I needed to have Bluetooth connection and occasional use power connect via cable in this section meets handsom"&amp;"ely. I needed the battery will last the maximum hours possible, with a daily average use of 2 to 3 hours, I arrived on October 7, loaded it and I have not reloaded until 19 October, almost two weeks without charging, it has battery lasted 24 to 36 hours, "&amp;"with a low volume. I think is a good battery for use I'll give. The sound, on a TV, it's pretty good, considering that much of the sound is voice, or halftones, when sounds special effects very well, and when listening to music in the series or movie of t"&amp;"he moment, I think it's quite acceptable, throwing good sound. I was a very good buy, if you do not want to sound HIFI headphones with super high quality.")</f>
        <v>Exceletente buy Exceletente purchase, plus the Amazon Flash offer me have gone very well priced. It is for almost exclusive use in a Samsung TV. I needed to have Bluetooth connection and occasional use power connect via cable in this section meets handsomely. I needed the battery will last the maximum hours possible, with a daily average use of 2 to 3 hours, I arrived on October 7, loaded it and I have not reloaded until 19 October, almost two weeks without charging, it has battery lasted 24 to 36 hours, with a low volume. I think is a good battery for use I'll give. The sound, on a TV, it's pretty good, considering that much of the sound is voice, or halftones, when sounds special effects very well, and when listening to music in the series or movie of the moment, I think it's quite acceptable, throwing good sound. I was a very good buy, if you do not want to sound HIFI headphones with super high quality.</v>
      </c>
    </row>
    <row r="779">
      <c r="A779" s="1">
        <v>5.0</v>
      </c>
      <c r="B779" s="1" t="s">
        <v>775</v>
      </c>
      <c r="C779" t="str">
        <f>IFERROR(__xludf.DUMMYFUNCTION("GOOGLETRANSLATE(B779, ""es"", ""en"")"),"Good belt Improves expectations I had this belt, even surpassing original, both the brand Garmin and Polar")</f>
        <v>Good belt Improves expectations I had this belt, even surpassing original, both the brand Garmin and Polar</v>
      </c>
    </row>
    <row r="780">
      <c r="A780" s="1">
        <v>5.0</v>
      </c>
      <c r="B780" s="1" t="s">
        <v>776</v>
      </c>
      <c r="C780" t="str">
        <f>IFERROR(__xludf.DUMMYFUNCTION("GOOGLETRANSLATE(B780, ""es"", ""en"")"),"Recommended The boots are very comfortable .. Light .. .. Apart recommend them last long .. I recommend the brand is quality and good price")</f>
        <v>Recommended The boots are very comfortable .. Light .. .. Apart recommend them last long .. I recommend the brand is quality and good price</v>
      </c>
    </row>
    <row r="781">
      <c r="A781" s="1">
        <v>5.0</v>
      </c>
      <c r="B781" s="1" t="s">
        <v>777</v>
      </c>
      <c r="C781" t="str">
        <f>IFERROR(__xludf.DUMMYFUNCTION("GOOGLETRANSLATE(B781, ""es"", ""en"")"),"Large and very good quality !! ⌚️ The truth is that it is really good for the following reasons: Pros: 😉 ✔️ The material is very good, note that quality is. ✔️ seems robust and has a moderate weight of 132 grams. ✔️ comes in a small box to protect beauti"&amp;"fully presented on shipping. ✔️ is analog and digital at the same time. So we can see the time and information in the way that we like. ✔️ is water resistant, but would not recommend bathing with him, because buttons may be losing effectiveness. ✔️ You ca"&amp;"n perform the following actions: check time and date, LED light on the top left button, alarm and stopwatch. ✔️ The strap is good quality, durable and comfortable. ✔️ is a clock that can be used for sport and to bring in everyday life. Stick with it. ✔️ i"&amp;"s really cheap for a watch of this size and apparent quality. ✔️ has one year warranty and 90 days to return it, so if we are down or whatever, we will not hit. ✔️ A being the big sphere can see everything clearly. ✔️ has a fairly intuitive to use and com"&amp;"es with a small instruction manual. ✔️ Bring a small heart-shaped pendant. Cons: 🤔 ❌ is too big for me, the pictures does not look like much. ❌ to the sport, it is one where there is contact, it can be very cumbersome and difficult enough movement. It is"&amp;" best to go running. Conclusion: 😋 If what you're looking for is a large, colorful, good quality watch and moreover cheap, this is an excellent choice. I personally do not like it so great, but I really can not say anything bad about the materials are of"&amp;" the highest quality. I recommend 100%. ╔════════════════════╗ ║ hope I have been helpful ✌️ ║ ╚═══════════════════ ═╝ &lt;a data-hook = ""product-link-linked"" class = ""link-to-normal"" href = ""/ Clock-Watches-Man-clock analog-digital-fashion-sports-multi"&amp;"function-a-test- de-water-day-of-the-alarm-de-goma-black-clock-de-bracelet / dp / B06Y2BVR2K / ref = cm_cr_arp_d_rvw_txt? ie = UTF8 ""&gt; watch, Men's Watches, analog clock Fashion digital sports multifunction test date water alarm clock black rubber bracel"&amp;"et &lt;/a&gt;")</f>
        <v>Large and very good quality !! ⌚️ The truth is that it is really good for the following reasons: Pros: 😉 ✔️ The material is very good, note that quality is. ✔️ seems robust and has a moderate weight of 132 grams. ✔️ comes in a small box to protect beautifully presented on shipping. ✔️ is analog and digital at the same time. So we can see the time and information in the way that we like. ✔️ is water resistant, but would not recommend bathing with him, because buttons may be losing effectiveness. ✔️ You can perform the following actions: check time and date, LED light on the top left button, alarm and stopwatch. ✔️ The strap is good quality, durable and comfortable. ✔️ is a clock that can be used for sport and to bring in everyday life. Stick with it. ✔️ is really cheap for a watch of this size and apparent quality. ✔️ has one year warranty and 90 days to return it, so if we are down or whatever, we will not hit. ✔️ A being the big sphere can see everything clearly. ✔️ has a fairly intuitive to use and comes with a small instruction manual. ✔️ Bring a small heart-shaped pendant. Cons: 🤔 ❌ is too big for me, the pictures does not look like much. ❌ to the sport, it is one where there is contact, it can be very cumbersome and difficult enough movement. It is best to go running. Conclusion: 😋 If what you're looking for is a large, colorful, good quality watch and moreover cheap, this is an excellent choice. I personally do not like it so great, but I really can not say anything bad about the materials are of the highest quality. I recommend 100%. ╔════════════════════╗ ║ hope I have been helpful ✌️ ║ ╚═══════════════════ ═╝ &lt;a data-hook = "product-link-linked" class = "link-to-normal" href = "/ Clock-Watches-Man-clock analog-digital-fashion-sports-multifunction-a-test- de-water-day-of-the-alarm-de-goma-black-clock-de-bracelet / dp / B06Y2BVR2K / ref = cm_cr_arp_d_rvw_txt? ie = UTF8 "&gt; watch, Men's Watches, analog clock Fashion digital sports multifunction test date water alarm clock black rubber bracelet &lt;/a&gt;</v>
      </c>
    </row>
    <row r="782">
      <c r="A782" s="1">
        <v>5.0</v>
      </c>
      <c r="B782" s="1" t="s">
        <v>778</v>
      </c>
      <c r="C782" t="str">
        <f>IFERROR(__xludf.DUMMYFUNCTION("GOOGLETRANSLATE(B782, ""es"", ""en"")"),"Perfect Product price with below market price, super")</f>
        <v>Perfect Product price with below market price, super</v>
      </c>
    </row>
    <row r="783">
      <c r="A783" s="1">
        <v>5.0</v>
      </c>
      <c r="B783" s="1" t="s">
        <v>779</v>
      </c>
      <c r="C783" t="str">
        <f>IFERROR(__xludf.DUMMYFUNCTION("GOOGLETRANSLATE(B783, ""es"", ""en"")"),"TOP Buy, Casio never disappoints. No objection regarding the clock, correct functioning and functional as expected on a Casio. Aspect is very nice. Sending one day phenomenal. This model does not come boxed, brings a velvet box type turquoise blue is that"&amp;" neither he painted. TOP purchases!")</f>
        <v>TOP Buy, Casio never disappoints. No objection regarding the clock, correct functioning and functional as expected on a Casio. Aspect is very nice. Sending one day phenomenal. This model does not come boxed, brings a velvet box type turquoise blue is that neither he painted. TOP purchases!</v>
      </c>
    </row>
    <row r="784">
      <c r="A784" s="1">
        <v>5.0</v>
      </c>
      <c r="B784" s="1" t="s">
        <v>780</v>
      </c>
      <c r="C784" t="str">
        <f>IFERROR(__xludf.DUMMYFUNCTION("GOOGLETRANSLATE(B784, ""es"", ""en"")"),"Great, what I was looking Exprime with very little effort and fast. Very easy to clean. Compared to my old wringer it is very quiet.")</f>
        <v>Great, what I was looking Exprime with very little effort and fast. Very easy to clean. Compared to my old wringer it is very quiet.</v>
      </c>
    </row>
    <row r="785">
      <c r="A785" s="1">
        <v>5.0</v>
      </c>
      <c r="B785" s="1" t="s">
        <v>781</v>
      </c>
      <c r="C785" t="str">
        <f>IFERROR(__xludf.DUMMYFUNCTION("GOOGLETRANSLATE(B785, ""es"", ""en"")"),"Great great athletes are home alone and saves us from many overloads, it helps us reduce discomfort and just a few minutes. Very easy to use and very comfortable. Definitely a tool you need to be at home to take care of our bodies.")</f>
        <v>Great great athletes are home alone and saves us from many overloads, it helps us reduce discomfort and just a few minutes. Very easy to use and very comfortable. Definitely a tool you need to be at home to take care of our bodies.</v>
      </c>
    </row>
    <row r="786">
      <c r="A786" s="1">
        <v>2.0</v>
      </c>
      <c r="B786" s="1" t="s">
        <v>782</v>
      </c>
      <c r="C786" t="str">
        <f>IFERROR(__xludf.DUMMYFUNCTION("GOOGLETRANSLATE(B786, ""es"", ""en"")"),"Fruit of the Loom sweater The product is not as described. It is a specific weight summer. Delivery Took three weeks as Opposed to 3/4 days of one another at the same time ordered. One came one supplier, this one from a different one.")</f>
        <v>Fruit of the Loom sweater The product is not as described. It is a specific weight summer. Delivery Took three weeks as Opposed to 3/4 days of one another at the same time ordered. One came one supplier, this one from a different one.</v>
      </c>
    </row>
    <row r="787">
      <c r="A787" s="1">
        <v>3.0</v>
      </c>
      <c r="B787" s="1" t="s">
        <v>783</v>
      </c>
      <c r="C787" t="str">
        <f>IFERROR(__xludf.DUMMYFUNCTION("GOOGLETRANSLATE(B787, ""es"", ""en"")"),"Neither good nor evil. The product itself is fine. But enough milk comes out.")</f>
        <v>Neither good nor evil. The product itself is fine. But enough milk comes out.</v>
      </c>
    </row>
    <row r="788">
      <c r="A788" s="1">
        <v>3.0</v>
      </c>
      <c r="B788" s="1" t="s">
        <v>784</v>
      </c>
      <c r="C788" t="str">
        <f>IFERROR(__xludf.DUMMYFUNCTION("GOOGLETRANSLATE(B788, ""es"", ""en"")"),"Boots a bit heavy is a heavy boot, should be more lijera to mountain hiking without ninfunn type of problem")</f>
        <v>Boots a bit heavy is a heavy boot, should be more lijera to mountain hiking without ninfunn type of problem</v>
      </c>
    </row>
    <row r="789">
      <c r="A789" s="1">
        <v>1.0</v>
      </c>
      <c r="B789" s="1" t="s">
        <v>785</v>
      </c>
      <c r="C789" t="str">
        <f>IFERROR(__xludf.DUMMYFUNCTION("GOOGLETRANSLATE(B789, ""es"", ""en"")"),"I ordered a size 39.5 and brought me a 38. Three times. As stated in the title, I ordered a size 39.5 and brought me a 38. But what is really amazing that after return it and ask for a replacement again bring me 38. And after return, replacement replaceme"&amp;"nt was another 38! At the end I had to give up and return the product.")</f>
        <v>I ordered a size 39.5 and brought me a 38. Three times. As stated in the title, I ordered a size 39.5 and brought me a 38. But what is really amazing that after return it and ask for a replacement again bring me 38. And after return, replacement replacement was another 38! At the end I had to give up and return the product.</v>
      </c>
    </row>
    <row r="790">
      <c r="A790" s="1">
        <v>1.0</v>
      </c>
      <c r="B790" s="1" t="s">
        <v>786</v>
      </c>
      <c r="C790" t="str">
        <f>IFERROR(__xludf.DUMMYFUNCTION("GOOGLETRANSLATE(B790, ""es"", ""en"")"),"Know how to use do not use it, not how it works, the instructions are useless.")</f>
        <v>Know how to use do not use it, not how it works, the instructions are useless.</v>
      </c>
    </row>
    <row r="791">
      <c r="A791" s="1">
        <v>4.0</v>
      </c>
      <c r="B791" s="1" t="s">
        <v>787</v>
      </c>
      <c r="C791" t="str">
        <f>IFERROR(__xludf.DUMMYFUNCTION("GOOGLETRANSLATE(B791, ""es"", ""en"")"),"Gift a gift for my daughter and very satisfied")</f>
        <v>Gift a gift for my daughter and very satisfied</v>
      </c>
    </row>
    <row r="792">
      <c r="A792" s="1">
        <v>4.0</v>
      </c>
      <c r="B792" s="1" t="s">
        <v>788</v>
      </c>
      <c r="C792" t="str">
        <f>IFERROR(__xludf.DUMMYFUNCTION("GOOGLETRANSLATE(B792, ""es"", ""en"")"),"Nice and convenient surprising strength with giving massages. In fact, if you do not have a little care, it is even painful depending on how contractures have. But ultimately it is similar to that of a powerful hand and neck massage rests considerably.")</f>
        <v>Nice and convenient surprising strength with giving massages. In fact, if you do not have a little care, it is even painful depending on how contractures have. But ultimately it is similar to that of a powerful hand and neck massage rests considerably.</v>
      </c>
    </row>
    <row r="793">
      <c r="A793" s="1">
        <v>4.0</v>
      </c>
      <c r="B793" s="1" t="s">
        <v>789</v>
      </c>
      <c r="C793" t="str">
        <f>IFERROR(__xludf.DUMMYFUNCTION("GOOGLETRANSLATE(B793, ""es"", ""en"")"),"Pretty good quality was quite surprised that you have and finishes, so if you have an odor that is unpleasant for me and I've taken weeks to remove it.")</f>
        <v>Pretty good quality was quite surprised that you have and finishes, so if you have an odor that is unpleasant for me and I've taken weeks to remove it.</v>
      </c>
    </row>
    <row r="794">
      <c r="A794" s="1">
        <v>4.0</v>
      </c>
      <c r="B794" s="1" t="s">
        <v>790</v>
      </c>
      <c r="C794" t="str">
        <f>IFERROR(__xludf.DUMMYFUNCTION("GOOGLETRANSLATE(B794, ""es"", ""en"")"),"Good managed to watch movies without going through iTunes. I was worth for what q q want is to see movies without itunes. Player omars the app is fairly well below par q copy movies to iPad quickly from the ""spike"" omars and move it to the folder of the"&amp;" vlc and ready.")</f>
        <v>Good managed to watch movies without going through iTunes. I was worth for what q q want is to see movies without itunes. Player omars the app is fairly well below par q copy movies to iPad quickly from the "spike" omars and move it to the folder of the vlc and ready.</v>
      </c>
    </row>
    <row r="795">
      <c r="A795" s="1">
        <v>5.0</v>
      </c>
      <c r="B795" s="1" t="s">
        <v>791</v>
      </c>
      <c r="C795" t="str">
        <f>IFERROR(__xludf.DUMMYFUNCTION("GOOGLETRANSLATE(B795, ""es"", ""en"")"),"good product at the moment. moment and until you spend some time to see their durability the product looks good. Good sound quality; to a high average volume fails a little low, but very acceptable. Battery not exhausted but have never charge lasts over 4"&amp;" hours is the maximum time I have been working. Anyway, happy.")</f>
        <v>good product at the moment. moment and until you spend some time to see their durability the product looks good. Good sound quality; to a high average volume fails a little low, but very acceptable. Battery not exhausted but have never charge lasts over 4 hours is the maximum time I have been working. Anyway, happy.</v>
      </c>
    </row>
    <row r="796">
      <c r="A796" s="1">
        <v>5.0</v>
      </c>
      <c r="B796" s="1" t="s">
        <v>792</v>
      </c>
      <c r="C796" t="str">
        <f>IFERROR(__xludf.DUMMYFUNCTION("GOOGLETRANSLATE(B796, ""es"", ""en"")"),"Nice, comfortable at a great price Very comfortable. I asked for my number and I'll perfection. Tb is true qie I have a finite foot and does not usually give me problems when choosing. I'm happy and the price was great as we were 44'46 €.")</f>
        <v>Nice, comfortable at a great price Very comfortable. I asked for my number and I'll perfection. Tb is true qie I have a finite foot and does not usually give me problems when choosing. I'm happy and the price was great as we were 44'46 €.</v>
      </c>
    </row>
    <row r="797">
      <c r="A797" s="1">
        <v>5.0</v>
      </c>
      <c r="B797" s="1" t="s">
        <v>793</v>
      </c>
      <c r="C797" t="str">
        <f>IFERROR(__xludf.DUMMYFUNCTION("GOOGLETRANSLATE(B797, ""es"", ""en"")"),"My pet hair brush bitch usually throw a lot of hair and normal brushes or half does not go away with this. The truth I am very pleased also that you can remove the skewers to clean more easily.")</f>
        <v>My pet hair brush bitch usually throw a lot of hair and normal brushes or half does not go away with this. The truth I am very pleased also that you can remove the skewers to clean more easily.</v>
      </c>
    </row>
    <row r="798">
      <c r="A798" s="1">
        <v>5.0</v>
      </c>
      <c r="B798" s="1" t="s">
        <v>794</v>
      </c>
      <c r="C798" t="str">
        <f>IFERROR(__xludf.DUMMYFUNCTION("GOOGLETRANSLATE(B798, ""es"", ""en"")"),"Very nice are of good quality and worth so are perfect for a detailed commitment !!")</f>
        <v>Very nice are of good quality and worth so are perfect for a detailed commitment !!</v>
      </c>
    </row>
    <row r="799">
      <c r="A799" s="1">
        <v>5.0</v>
      </c>
      <c r="B799" s="1" t="s">
        <v>795</v>
      </c>
      <c r="C799" t="str">
        <f>IFERROR(__xludf.DUMMYFUNCTION("GOOGLETRANSLATE(B799, ""es"", ""en"")"),"Easy to use practical, arrive on time indicated")</f>
        <v>Easy to use practical, arrive on time indicated</v>
      </c>
    </row>
    <row r="800">
      <c r="A800" s="1">
        <v>5.0</v>
      </c>
      <c r="B800" s="1" t="s">
        <v>524</v>
      </c>
      <c r="C800" t="str">
        <f>IFERROR(__xludf.DUMMYFUNCTION("GOOGLETRANSLATE(B800, ""es"", ""en"")"),"Brilliant brilliant")</f>
        <v>Brilliant brilliant</v>
      </c>
    </row>
    <row r="801">
      <c r="A801" s="1">
        <v>5.0</v>
      </c>
      <c r="B801" s="1" t="s">
        <v>796</v>
      </c>
      <c r="C801" t="str">
        <f>IFERROR(__xludf.DUMMYFUNCTION("GOOGLETRANSLATE(B801, ""es"", ""en"")"),"It is well priced as pictured")</f>
        <v>It is well priced as pictured</v>
      </c>
    </row>
    <row r="802">
      <c r="A802" s="1">
        <v>5.0</v>
      </c>
      <c r="B802" s="1" t="s">
        <v>797</v>
      </c>
      <c r="C802" t="str">
        <f>IFERROR(__xludf.DUMMYFUNCTION("GOOGLETRANSLATE(B802, ""es"", ""en"")"),"Just what I expected Good product")</f>
        <v>Just what I expected Good product</v>
      </c>
    </row>
    <row r="803">
      <c r="A803" s="1">
        <v>5.0</v>
      </c>
      <c r="B803" s="1" t="s">
        <v>798</v>
      </c>
      <c r="C803" t="str">
        <f>IFERROR(__xludf.DUMMYFUNCTION("GOOGLETRANSLATE(B803, ""es"", ""en"")"),"I perfect fit like a glove from day one. So comfortable and waterproof. The best boots I've had so far. Above they are of Spanish manufacture ...")</f>
        <v>I perfect fit like a glove from day one. So comfortable and waterproof. The best boots I've had so far. Above they are of Spanish manufacture ...</v>
      </c>
    </row>
    <row r="804">
      <c r="A804" s="1">
        <v>5.0</v>
      </c>
      <c r="B804" s="1" t="s">
        <v>799</v>
      </c>
      <c r="C804" t="str">
        <f>IFERROR(__xludf.DUMMYFUNCTION("GOOGLETRANSLATE(B804, ""es"", ""en"")"),"Perfect for gift giving perfect for gift giving")</f>
        <v>Perfect for gift giving perfect for gift giving</v>
      </c>
    </row>
    <row r="805">
      <c r="A805" s="1">
        <v>5.0</v>
      </c>
      <c r="B805" s="1" t="s">
        <v>800</v>
      </c>
      <c r="C805" t="str">
        <f>IFERROR(__xludf.DUMMYFUNCTION("GOOGLETRANSLATE(B805, ""es"", ""en"")"),"Perfect is very comfortable and very fresh. Besides this type of lavas tected when there is virtually be ironed")</f>
        <v>Perfect is very comfortable and very fresh. Besides this type of lavas tected when there is virtually be ironed</v>
      </c>
    </row>
    <row r="806">
      <c r="A806" s="1">
        <v>5.0</v>
      </c>
      <c r="B806" s="1" t="s">
        <v>801</v>
      </c>
      <c r="C806" t="str">
        <f>IFERROR(__xludf.DUMMYFUNCTION("GOOGLETRANSLATE(B806, ""es"", ""en"")"),"Customer Amazon Very good works clock to perfection, my mother has one for many years and has never failed so I decided on this and the truth that so far I have no hits, has a very simple operation and it comes to you with two batteries, would definitely "&amp;"recommend")</f>
        <v>Customer Amazon Very good works clock to perfection, my mother has one for many years and has never failed so I decided on this and the truth that so far I have no hits, has a very simple operation and it comes to you with two batteries, would definitely recommend</v>
      </c>
    </row>
    <row r="807">
      <c r="A807" s="1">
        <v>5.0</v>
      </c>
      <c r="B807" s="1" t="s">
        <v>802</v>
      </c>
      <c r="C807" t="str">
        <f>IFERROR(__xludf.DUMMYFUNCTION("GOOGLETRANSLATE(B807, ""es"", ""en"")"),"I did not change very good bottle. Comfortable and right size. I use it since my daughter was born and is perfect")</f>
        <v>I did not change very good bottle. Comfortable and right size. I use it since my daughter was born and is perfect</v>
      </c>
    </row>
    <row r="808">
      <c r="A808" s="1">
        <v>5.0</v>
      </c>
      <c r="B808" s="1" t="s">
        <v>803</v>
      </c>
      <c r="C808" t="str">
        <f>IFERROR(__xludf.DUMMYFUNCTION("GOOGLETRANSLATE(B808, ""es"", ""en"")"),"Perfect, good quality. They are a very good sport for the day-to-day, high quality and perfect for the city. Nice and comfortable, very wearable.")</f>
        <v>Perfect, good quality. They are a very good sport for the day-to-day, high quality and perfect for the city. Nice and comfortable, very wearable.</v>
      </c>
    </row>
    <row r="809">
      <c r="A809" s="1">
        <v>5.0</v>
      </c>
      <c r="B809" s="1" t="s">
        <v>804</v>
      </c>
      <c r="C809" t="str">
        <f>IFERROR(__xludf.DUMMYFUNCTION("GOOGLETRANSLATE(B809, ""es"", ""en"")"),"Alegria I ate two cubs have cable and I thought I would not find the same, and like a glove")</f>
        <v>Alegria I ate two cubs have cable and I thought I would not find the same, and like a glove</v>
      </c>
    </row>
    <row r="810">
      <c r="A810" s="1">
        <v>5.0</v>
      </c>
      <c r="B810" s="1" t="s">
        <v>805</v>
      </c>
      <c r="C810" t="str">
        <f>IFERROR(__xludf.DUMMYFUNCTION("GOOGLETRANSLATE(B810, ""es"", ""en"")"),"As the perfect hoped. Very comfortable to wear non-laces, perfect for summer, very basic and elegant to be completely black.")</f>
        <v>As the perfect hoped. Very comfortable to wear non-laces, perfect for summer, very basic and elegant to be completely black.</v>
      </c>
    </row>
    <row r="811">
      <c r="A811" s="1">
        <v>5.0</v>
      </c>
      <c r="B811" s="1" t="s">
        <v>806</v>
      </c>
      <c r="C811" t="str">
        <f>IFERROR(__xludf.DUMMYFUNCTION("GOOGLETRANSLATE(B811, ""es"", ""en"")"),"wireless headphones I liked a lot, hard drums and heard pretty good quality, bluetooth gives quite a distance. I use to run and I are going well. They also come with charger, and spare parts to keep estuchito")</f>
        <v>wireless headphones I liked a lot, hard drums and heard pretty good quality, bluetooth gives quite a distance. I use to run and I are going well. They also come with charger, and spare parts to keep estuchito</v>
      </c>
    </row>
    <row r="812">
      <c r="A812" s="1">
        <v>5.0</v>
      </c>
      <c r="B812" s="1" t="s">
        <v>807</v>
      </c>
      <c r="C812" t="str">
        <f>IFERROR(__xludf.DUMMYFUNCTION("GOOGLETRANSLATE(B812, ""es"", ""en"")"),"Small size compared to other brands. The've had to return despite being a good deal. This brand small size relative to other brands such as Reebok or Nike. There is a difference of about half a centimeter. The particular model is also narrower than a Reeb"&amp;"ok Classic for example so must be taken into account before launching into buying.")</f>
        <v>Small size compared to other brands. The've had to return despite being a good deal. This brand small size relative to other brands such as Reebok or Nike. There is a difference of about half a centimeter. The particular model is also narrower than a Reebok Classic for example so must be taken into account before launching into buying.</v>
      </c>
    </row>
    <row r="813">
      <c r="A813" s="1">
        <v>5.0</v>
      </c>
      <c r="B813" s="1" t="s">
        <v>808</v>
      </c>
      <c r="C813" t="str">
        <f>IFERROR(__xludf.DUMMYFUNCTION("GOOGLETRANSLATE(B813, ""es"", ""en"")"),"Very, very satisfied it because the heat these days, but the only fault I find is moisture on the pads in contact with the ear after a while of use. The rest, very good sound, excellent noise cancellation (tested on a plane, eliminates hum of the engines)"&amp;" and very good battery life. To understand, it has three modes: With cable and off: work without using battery power, with a sound slightly off and not work any of the touch controls. With cable and lit: spend battery and the expected sound is clear and p"&amp;"recise. Fast listening mode works by plugging the handset but do not touch the controls. It can be used with or without cancellation. Without cable: same as above but with touch controls working. There is no appreciable difference between the latter two o"&amp;"ptions sound level. Also it has three listening modes regarding cancellation: -Cancellation off. As a traditional headphones. -Cancellation on. Eliminates much of the bass constant as engines, buzzes and others, but not sharp, so you can hear the high-pit"&amp;"ched voices. -Mode sound environment. Ambient sound mix with music, simulating a open headphones. In short, very satisfied with the purchase.")</f>
        <v>Very, very satisfied it because the heat these days, but the only fault I find is moisture on the pads in contact with the ear after a while of use. The rest, very good sound, excellent noise cancellation (tested on a plane, eliminates hum of the engines) and very good battery life. To understand, it has three modes: With cable and off: work without using battery power, with a sound slightly off and not work any of the touch controls. With cable and lit: spend battery and the expected sound is clear and precise. Fast listening mode works by plugging the handset but do not touch the controls. It can be used with or without cancellation. Without cable: same as above but with touch controls working. There is no appreciable difference between the latter two options sound level. Also it has three listening modes regarding cancellation: -Cancellation off. As a traditional headphones. -Cancellation on. Eliminates much of the bass constant as engines, buzzes and others, but not sharp, so you can hear the high-pitched voices. -Mode sound environment. Ambient sound mix with music, simulating a open headphones. In short, very satisfied with the purchase.</v>
      </c>
    </row>
    <row r="814">
      <c r="A814" s="1">
        <v>2.0</v>
      </c>
      <c r="B814" s="1" t="s">
        <v>809</v>
      </c>
      <c r="C814" t="str">
        <f>IFERROR(__xludf.DUMMYFUNCTION("GOOGLETRANSLATE(B814, ""es"", ""en"")"),"I do not like money, I do not recommend it. I know it's not an iron face, but it is not comfortable and you have to make enough pressure.")</f>
        <v>I do not like money, I do not recommend it. I know it's not an iron face, but it is not comfortable and you have to make enough pressure.</v>
      </c>
    </row>
    <row r="815">
      <c r="A815" s="1">
        <v>3.0</v>
      </c>
      <c r="B815" s="1" t="s">
        <v>810</v>
      </c>
      <c r="C815" t="str">
        <f>IFERROR(__xludf.DUMMYFUNCTION("GOOGLETRANSLATE(B815, ""es"", ""en"")"),"It's okay to protect breakage if used for l glass bottle is good protection for blows and falls (without this cover, the other bottle to the fall broke me). It does not keep the heat from the food, although the glass bottle holds longer than plastic. Velc"&amp;"ro is easily opened.")</f>
        <v>It's okay to protect breakage if used for l glass bottle is good protection for blows and falls (without this cover, the other bottle to the fall broke me). It does not keep the heat from the food, although the glass bottle holds longer than plastic. Velcro is easily opened.</v>
      </c>
    </row>
    <row r="816">
      <c r="A816" s="1">
        <v>3.0</v>
      </c>
      <c r="B816" s="1" t="s">
        <v>811</v>
      </c>
      <c r="C816" t="str">
        <f>IFERROR(__xludf.DUMMYFUNCTION("GOOGLETRANSLATE(B816, ""es"", ""en"")"),"MATERIAL a little thin The seller excellent but the product is very fine. I have this brand for years but every time you buy it is noted that the low quality. Are garments economic but the last time a few years ago to today, the quality has bajadado much "&amp;"much, very fine garment.")</f>
        <v>MATERIAL a little thin The seller excellent but the product is very fine. I have this brand for years but every time you buy it is noted that the low quality. Are garments economic but the last time a few years ago to today, the quality has bajadado much much, very fine garment.</v>
      </c>
    </row>
    <row r="817">
      <c r="A817" s="1">
        <v>1.0</v>
      </c>
      <c r="B817" s="1" t="s">
        <v>812</v>
      </c>
      <c r="C817" t="str">
        <f>IFERROR(__xludf.DUMMYFUNCTION("GOOGLETRANSLATE(B817, ""es"", ""en"")"),"Stops working year. A year of use has stopped working properly, barely heard over have not given me any solution.")</f>
        <v>Stops working year. A year of use has stopped working properly, barely heard over have not given me any solution.</v>
      </c>
    </row>
    <row r="818">
      <c r="A818" s="1">
        <v>1.0</v>
      </c>
      <c r="B818" s="1" t="s">
        <v>813</v>
      </c>
      <c r="C818" t="str">
        <f>IFERROR(__xludf.DUMMYFUNCTION("GOOGLETRANSLATE(B818, ""es"", ""en"")"),"I bought some shoes BAD QUALITY equal security but the gray and after 2 months were broken by the poor quality of the shoe. Attached image.")</f>
        <v>I bought some shoes BAD QUALITY equal security but the gray and after 2 months were broken by the poor quality of the shoe. Attached image.</v>
      </c>
    </row>
    <row r="819">
      <c r="A819" s="1">
        <v>4.0</v>
      </c>
      <c r="B819" s="1" t="s">
        <v>814</v>
      </c>
      <c r="C819" t="str">
        <f>IFERROR(__xludf.DUMMYFUNCTION("GOOGLETRANSLATE(B819, ""es"", ""en"")"),"I like a little big but very nice")</f>
        <v>I like a little big but very nice</v>
      </c>
    </row>
    <row r="820">
      <c r="A820" s="1">
        <v>4.0</v>
      </c>
      <c r="B820" s="1" t="s">
        <v>815</v>
      </c>
      <c r="C820" t="str">
        <f>IFERROR(__xludf.DUMMYFUNCTION("GOOGLETRANSLATE(B820, ""es"", ""en"")"),"Good looks are heard well, but very thin long cable, I do not think they are very durable, with pillows come in my ear a little tight")</f>
        <v>Good looks are heard well, but very thin long cable, I do not think they are very durable, with pillows come in my ear a little tight</v>
      </c>
    </row>
    <row r="821">
      <c r="A821" s="1">
        <v>4.0</v>
      </c>
      <c r="B821" s="1" t="s">
        <v>816</v>
      </c>
      <c r="C821" t="str">
        <f>IFERROR(__xludf.DUMMYFUNCTION("GOOGLETRANSLATE(B821, ""es"", ""en"")"),"Snow good note good waterproofing keeps feet dry and warm in the snow")</f>
        <v>Snow good note good waterproofing keeps feet dry and warm in the snow</v>
      </c>
    </row>
    <row r="822">
      <c r="A822" s="1">
        <v>4.0</v>
      </c>
      <c r="B822" s="1" t="s">
        <v>817</v>
      </c>
      <c r="C822" t="str">
        <f>IFERROR(__xludf.DUMMYFUNCTION("GOOGLETRANSLATE(B822, ""es"", ""en"")"),"It looks like something big quality cable and bend it costs compared to others who have, therefore gives a sense of robustness.")</f>
        <v>It looks like something big quality cable and bend it costs compared to others who have, therefore gives a sense of robustness.</v>
      </c>
    </row>
    <row r="823">
      <c r="A823" s="1">
        <v>4.0</v>
      </c>
      <c r="B823" s="1" t="s">
        <v>818</v>
      </c>
      <c r="C823" t="str">
        <f>IFERROR(__xludf.DUMMYFUNCTION("GOOGLETRANSLATE(B823, ""es"", ""en"")"),"Good for daily cleaning &lt;div id = ""video-block-R1GCBZ3X1Q62QT"" class = ""a-section a-spacing-small a-spacing-top mini video-block""&gt; &lt;div tabindex = ""0"" class = ""airy airy-svg vmin-unsupported airy-skin-beacon ""style ="" background-color: rgb (0, 0,"&amp;" 0) position: relative; width: 100%; height: 100%; font-size: 0px; overflow: hidden; outline: none; ""&gt; &lt;div class ="" airy-renderer-container ""style ="" position: relative; height: 100%; width: 100%; ""&gt; &lt;video id ="" 7 ""preload ="" auto "" src = ""htt"&amp;"ps://images-eu.ssl-images-amazon.com/images/I/C1t46gYgL3S.mp4"" style = ""position: absolute; left: 0px; top: 0px; overflow: hidden; height: 1px; width: 1px; ""&gt; &lt;/ video&gt; &lt;/ div&gt; &lt;div id ="" airy-slate-preload ""style ="" background-color: rgb (0, 0, 0);"&amp;" background-image: url (&amp; quot; https : //images-eu.ssl-images-amazon.com/images/I/91fz+TWDdBS.png&amp;quot;); background-size: Contain; background-position: center center; background-repeat: no-repeat; position: absolute; top: 0px; left: 0px; visibility: vis"&amp;"ible; width: 100%; height: 100%; ""&gt; &lt;/ div&gt; &lt;ifr love scrolling = ""no"" frameborder = ""0"" src = ""about: blank"" style = ""display: none;""&gt; &lt;/ iframe&gt; &lt;div tabindex = ""- 1"" class = ""airy-controls-container"" style = ""opacity: 0; visibility: hidde"&amp;"n; ""&gt; &lt;div tabindex ="" - 1 ""class ="" airy-screen-size-toggle airy-fullscreen ""&gt; &lt;/ div&gt; &lt;div tabindex ="" - 1 ""class ="" airy-container-bottom "" &gt; &lt;div tabindex = ""- 1"" class = ""airy-track-bar-spacer-left"" style = ""width: 11px;""&gt; &lt;/ div&gt; &lt;div"&amp;" tabindex = ""- 1"" class = ""airy-play- airy toggle-play ""style ="" width: 12px; margin-right: 12px; ""&gt; &lt;/ div&gt; &lt;div tabindex ="" - 1 ""class ="" airy-audio-elements ""style ="" float: right; width: 34px; ""&gt; &lt;div tabindex ="" - 1 ""class ="" airy-audi"&amp;"o-toggle airy-on ""&gt; &lt;/ div&gt; &lt;div tabindex ="" - 1 ""class ="" airy-audio-container ""style = ""opacity: 0; visibility: hidden; ""&gt; &lt;div tabindex ="" - 1 ""class ="" airy-audio-track-bar ""style ="" height: 80%; ""&gt; &lt;div tabindex ="" - 1 ""class ="" airy-"&amp;"audio- Scrubber-bar ""style ="" height: 85%; ""&gt; &lt;/ div&gt; &lt;div tabindex ="" - 1 ""class ="" airy-audio-scrubber ""style ="" height: 12px; bottom 85% ""&gt; &lt;/ div&gt; &lt;/ div&gt; &lt;/ div&gt; &lt;/ div&gt; &lt;div tabindex ="" - 1 ""class ="" airy-duration-label ""style ="" float"&amp;": right; width: 26px; margin-right: 4px; text-align: center; ""&gt; 1:24 &lt;/ div&gt; &lt;div tabindex ="" - 1 ""class ="" airy-track-bar-spacer-right ""style ="" float: right; width: 11px; ""&gt; &lt;/ div&gt; &lt;div tabindex ="" - 1 ""class ="" airy-track-bar-container ""sty"&amp;"le ="" margin-left: 35px; margin-right: 75px; ""&gt; &lt;div tabindex ="" - 1 ""class ="" airy-airy-track-bar vertically-centering-table ""&gt; &lt;div tabindex ="" - 1 ""class ="" airy-Vertical-centering- table-cell ""&gt; &lt;div tabindex ="" - 1 ""class ="" airy-track-b"&amp;"ar-elements ""&gt; &lt;div tabindex ="" - 1 ""class ="" airy-progress-bar ""style ="" width: 25.4032%; ""&gt; &lt;/ div&gt; &lt;div tabindex ="" - 1 ""class ="" airy-scrubber-bar ""&gt; &lt;/ div&gt; &lt;div tabindex ="" - 1 ""class ="" airy-scrubber ""&gt; &lt;div tabindex ="" - 1 ""class "&amp;"="" airy-scrubber-icon ""&gt; &lt;/ div&gt; &lt;div tabindex ="" - 1 ""class ="" airy-adjusted-AUI-tooltip ""style ="" opacity: 0; visibility: hidden; ""&gt; &lt;div tabindex ="" - 1 ""class ="" airy-adjusted-aui-tooltip-inner ""&gt; &lt;div tabindex ="" - 1 ""class ="" airy-cur"&amp;"rent-time-label ""&gt; 0: 00 &lt;/ div&gt; &lt;/ div&gt; &lt;div tabindex = ""- 1"" class = ""airy-adjusted-AUI-arrow-border""&gt; &lt;div tabindex = ""- 1"" class = ""airy-adjusted-AUI-arrow"" &gt; &lt;/ div&gt; &lt;/ div&gt; &lt;/ div&gt; &lt;/ div&gt; &lt;/ div&gt; &lt;/ div&gt; &lt;/ div&gt; &lt;/ div&gt; &lt;/ div&gt; &lt;/ div&gt; &lt;di"&amp;"v tabindex = ""- 1"" class = ""airy-age-gate airy-stage airy-Vertical-centering-table airy-dialog"" style = ""opacity: 0; visibility: hidden; ""&gt; &lt;div tabindex ="" - 1 ""class ="" airy-age-gate-Vertical-centering-table-cell airy-Vertical-centering-table-c"&amp;"ell ""&gt; &lt;div tabindex ="" - 1 ""class = ""airy-Vertical-centering-wrapper airy-age-gate-elements-wrapper""&gt; &lt;div tabindex = ""- 1"" class = ""airy-age-gate-elements airy-dialog-elements""&gt; &lt;div tabindex = "" -1 ""class ="" airy-age-gate-prompt ""&gt; This vi"&amp;"deo is not Intended for all audiences What date were you born &lt;/ div&gt; &lt;div tabindex =.?"" - 1 ""class ="" airy-age-gate -inputs airy-dialog-inner-elements ""&gt; &lt;select tabindex ="" - 1 ""class ="" airy-age-gate-month ""&gt; &lt;option value ="" 1 ""&gt; January &lt;/ "&amp;"option&gt; &lt;option value ="" 2 ""&gt; February &lt;/ option&gt; &lt;option value ="" 3 ""&gt; March &lt;/ option&gt; &lt;option value ="" 4 ""&gt; April &lt;/ option&gt; &lt;option value ="" 5 ""&gt; May &lt;/ option&gt; &lt;option value = ""6""&gt; June &lt;/ option&gt; &lt;option value = ""7""&gt; July &lt;/ option&gt; &lt;opt"&amp;"ion value = ""8""&gt; August &lt;/ option&gt; &lt;option value = ""9""&gt; September &lt;/ option&gt; &lt;option value = ""10""&gt; October &lt;/ option&gt; &lt;option value = ""11""&gt; November &lt;/ option&gt; &lt;option value = ""12""&gt; December &lt;/ option&gt; &lt;/ select&gt; &lt;select tabindex = ""- 1"" class"&amp;" = ""airy-age-gate-day""&gt; &lt;opti on value = ""1""&gt; 1 &lt;/ option&gt; &lt;option value = ""2""&gt; 2 &lt;/ option&gt; &lt;option value = ""3""&gt; 3 &lt;/ option&gt; &lt;option value = ""4""&gt; 4 &lt;/ option &gt; &lt;option value = ""5""&gt; 5 &lt;/ option&gt; &lt;option value = ""6""&gt; 6 &lt;/ option&gt; &lt;option val"&amp;"ue = ""7""&gt; 7 &lt;/ option&gt; &lt;option value = ""8""&gt; 8 &lt; / option&gt; &lt;option value = ""9""&gt; 9 &lt;/ option&gt; &lt;option value = ""10""&gt; 10 &lt;/ option&gt; &lt;option value = ""11""&gt; 11 &lt;/ option&gt; &lt;option value = ""12""&gt; 12 &lt;/ option&gt; &lt;option value = ""13""&gt; 13 &lt;/ option&gt; &lt;opti"&amp;"on value = ""14""&gt; 14 &lt;/ option&gt; &lt;option value = ""15""&gt; 15 &lt;/ option&gt; &lt;option value = ""16 ""&gt; 16 &lt;/ option&gt; &lt;option value ="" 17 ""&gt; 17 &lt;/ option&gt; &lt;option value ="" 18 ""&gt; 18 &lt;/ option&gt; &lt;option value ="" 19 ""&gt; 19 &lt;/ option&gt; &lt;option value = ""20""&gt; 20 &lt;"&amp;"/ option&gt; &lt;option value = ""21""&gt; 21 &lt;/ option&gt; &lt;option value = ""22""&gt; 22 &lt;/ option&gt; &lt;option value = ""23""&gt; 23 &lt;/ option&gt; &lt;option value = ""24""&gt; 24 &lt;/ option&gt; &lt;option value = ""25""&gt; 25 &lt;/ option&gt; &lt;option value = ""26""&gt; 26 &lt;/ option&gt; &lt;option value = "&amp;"""27""&gt; 27 &lt;/ option&gt; &lt;option value = ""28""&gt; 28 &lt;/ option&gt; &lt;option value = ""29""&gt; 29 &lt;/ option&gt; &lt;option value = ""30""&gt; 30 &lt;/ option&gt; &lt;option value = ""31""&gt; 31 &lt;/ option&gt; &lt;/ select&gt; &lt;select tabindex = ""- 1"" class = ""airy-age-gate-year""&gt; &lt;option val"&amp;"ue = ""2019""&gt; 2019 &lt;/ option&gt; &lt; option value = ""2018""&gt; 2018 &lt;/ option&gt; &lt;option value = ""2017""&gt; 2017 &lt;/ option&gt; &lt;option value = ""2016""&gt; ​​2016 &lt;/ option&gt; &lt;option value = ""2015""&gt; 2015 &lt;/ option &gt; &lt;option value = ""2014""&gt; 2014 &lt;/ option&gt; &lt;option va"&amp;"lue = ""2013""&gt; 2013 &lt;/ option&gt; &lt;option value = ""2012""&gt; 2012 &lt;/ option&gt; &lt;option value = ""2011""&gt; 2011 &lt; / option&gt; &lt;option value = ""2010""&gt; 2010 &lt;/ option&gt; &lt;option value = ""2009""&gt; 2009 &lt;/ option&gt; &lt;option value = ""2008""&gt; 2008 &lt;/ option&gt; &lt;option valu"&amp;"e = ""2007""&gt; 2007 &lt;/ option&gt; &lt;option value = ""2006""&gt; 2006 &lt;/ option&gt; &lt;option value = ""2005""&gt; 2005 &lt;/ option&gt; &lt;option value = ""2004""&gt; 2004 &lt;/ option&gt; &lt;option value = ""2003 ""&gt; 2003 &lt;/ option&gt; &lt;option value ="" 2002 ""&gt; 2002 &lt;/ option&gt; &lt;option value"&amp;" ="" 2001 ""&gt; 2001 &lt;/ option&gt; &lt;option value ="" 2000 ""&gt; 2000 &lt;/ option&gt; &lt;option value = ""1999""&gt; 1999 &lt;/ option&gt; &lt;option value = ""1998""&gt; 1998 &lt;/ option&gt; &lt;option value = ""1997""&gt; 1997 &lt;/ option&gt; &lt;option value = ""1996""&gt; 1996 &lt;/ option&gt; &lt;option value "&amp;"= ""1995""&gt; 1995 &lt;/ option&gt; &lt;option value = ""1994""&gt; 1994 &lt;/ option&gt; &lt;option value = ""1993""&gt; 1993 &lt;/ option&gt; &lt;option value = ""1992""&gt; 1992 &lt;/ option&gt; &lt;option value = ""1991""&gt; 1991 &lt;/ option&gt; &lt;option value = ""1990""&gt; 1990 &lt;/ option&gt; &lt;option value = "&amp;""" 1989 ""&gt; 1989 &lt;/ option&gt; &lt;option value ="" 1988 ""&gt; 1988 &lt;/ option&gt; &lt;option value ="" 1987 ""&gt; 1987 &lt;/ option&gt; &lt;option value ="" 1986 ""&gt; 1986 &lt;/ option&gt; &lt;value option = ""1985""&gt; 1985 &lt;/ option&gt; &lt;option value = ""1984""&gt; 1984 &lt;/ option&gt; &lt;option value "&amp;"= ""1983""&gt; 1983 &lt;/ option&gt; &lt;option value = ""1982""&gt; 1982 &lt;/ option&gt; &lt; option value = ""1981""&gt; 1981 &lt;/ option&gt; &lt;option value = ""1980""&gt; 1980 &lt;/ option&gt; &lt;option value = ""1979""&gt; 1979 &lt;/ option&gt; &lt;option value = ""1978""&gt; 1978 &lt;/ option &gt; &lt;option value ="&amp;" ""1977""&gt; 1977 &lt;/ option&gt; &lt;option value = ""1976""&gt; 1976 &lt;/ option&gt; &lt;option value = ""1975""&gt; 1975 &lt;/ option&gt; &lt;option value = ""1974""&gt; 1974 &lt; / option&gt; &lt;option value = ""1973""&gt; 1973 &lt;/ option&gt; &lt;option value = ""1972""&gt; 1972 &lt;/ option&gt; &lt;option value = "&amp;"""1971""&gt; 1971 &lt;/ option&gt; &lt;option value = ""1970""&gt; 1970 &lt;/ option&gt; &lt;option value = ""1969""&gt; 1969 &lt;/ option&gt; &lt;option value = ""1968""&gt; 1968 &lt;/ option&gt; &lt;option value = ""1967""&gt; 1967 &lt;/ option&gt; &lt;option value = ""1966 ""&gt; 1966 &lt;/ option&gt; &lt;option value ="" "&amp;"1965 ""&gt; 1965 &lt;/ option&gt; &lt;option value ="" 1964 ""&gt; 1964 &lt;/ option&gt; &lt;option value ="" 1963 ""&gt; 1963 &lt;/ option&gt; &lt;option value = ""1962""&gt; 1962 &lt;/ option&gt; &lt;option value = ""1961""&gt; 1961 &lt;/ option&gt; &lt;option value = ""1960""&gt; 1960 &lt;/ op tion&gt; &lt;option value = "&amp;"""1959""&gt; 1959 &lt;/ option&gt; &lt;option value = ""1958""&gt; 1958 &lt;/ option&gt; &lt;option value = ""1957""&gt; 1957 &lt;/ option&gt; &lt;option value = ""1956""&gt; 1956 &lt;/ option&gt; &lt;option value = ""1955""&gt; 1955 &lt;/ option&gt; &lt;option value = ""1954""&gt; 1954 &lt;/ option&gt; &lt;option value = ""1"&amp;"953""&gt; 1953 &lt;/ option&gt; &lt;option value = ""1952"" &gt; 1952 &lt;/ option&gt; &lt;option value = ""1951""&gt; 1951 &lt;/ option&gt; &lt;option value = ""1950""&gt; 1950 &lt;/ option&gt; &lt;option value = ""1949""&gt; 1949 &lt;/ option&gt; &lt;option value = "" 1948 ""&gt; 1948 &lt;/ option&gt; &lt;option value ="" 1"&amp;"947 ""&gt; 1947 &lt;/ option&gt; &lt;option value ="" 1946 ""&gt; 1946 &lt;/ option&gt; &lt;option value ="" 1945 ""&gt; 1945 &lt;/ option&gt; &lt;value option = ""1944""&gt; 1944 &lt;/ option&gt; &lt;option value = ""1943""&gt; 1943 &lt;/ option&gt; &lt;option value = ""1942""&gt; 1942 &lt;/ option&gt; &lt;option value = ""1"&amp;"941""&gt; 1941 &lt;/ option&gt; &lt; option value = ""1940""&gt; 1940 &lt;/ option&gt; &lt;option value = ""1939""&gt; 1939 &lt;/ option&gt; &lt;option value = ""1938""&gt; 1938 &lt;/ option&gt; &lt;option value = ""1937""&gt; 1937 &lt;/ option &gt; &lt;option value = ""1936""&gt; 1936 &lt;/ option&gt; &lt;option value = ""19"&amp;"35""&gt; 1935 &lt;/ option&gt; &lt;option value = ""1934""&gt; 1934 &lt;/ option&gt; &lt;option value = ""1933""&gt; 1933 &lt; / option&gt; &lt;option value = ""1932""&gt; 1932 &lt;/ option&gt; &lt;option value = ""1931""&gt; 1931 &lt;/ option&gt; &lt;option v alue = ""1930""&gt; 1930 &lt;/ option&gt; &lt;option value = ""192"&amp;"9""&gt; 1929 &lt;/ option&gt; &lt;option value = ""1928""&gt; 1928 &lt;/ option&gt; &lt;option value = ""1927""&gt; 1927 &lt;/ option&gt; &lt;option value = ""1926""&gt; 1926 &lt;/ option&gt; &lt;option value = ""1925""&gt; 1925 &lt;/ option&gt; &lt;option value = ""1924""&gt; 1924 &lt;/ option&gt; &lt;option value = ""1923"""&amp;"&gt; 1923 &lt;/ option&gt; &lt;option value = ""1922""&gt; 1922 &lt;/ option&gt; &lt;option value = ""1921""&gt; 1921 &lt;/ option&gt; &lt;option value = ""1920""&gt; 1920 &lt;/ option&gt; &lt;option value = ""1919""&gt; 1919 &lt;/ option&gt; &lt;option value = ""1918""&gt; 1918 &lt;/ option&gt; &lt;option value = ""1917""&gt; 1"&amp;"917 &lt;/ option&gt; &lt;option value = ""1916""&gt; 1916 &lt;/ option&gt; &lt;option value = ""1915"" &gt; 1915 &lt;/ option&gt; &lt;option value = ""1914""&gt; 1914 &lt;/ option&gt; &lt;option value = ""1913""&gt; 1913 &lt;/ option&gt; &lt;option value = ""1912""&gt; 1912 &lt;/ option&gt; &lt;option value = "" 1911 ""&gt; 1"&amp;"911 &lt;/ option&gt; &lt;option value ="" 1910 ""&gt; 1910 &lt;/ option&gt; &lt;option value ="" 1909 ""&gt; 1909 &lt;/ option&gt; &lt;option value ="" 1908 ""&gt; 1908 &lt;/ option&gt; &lt;value option = ""1907""&gt; 1907 &lt;/ option&gt; &lt;option value = ""1906""&gt; 1906 &lt;/ option&gt; &lt;option value = ""1905""&gt; 1"&amp;"905 &lt;/ option&gt; &lt;option value = ""1904""&gt; 1904 &lt;/ option&gt; &lt; option value = ""1903""&gt; 1903 &lt;/ option&gt; &lt;option value = ""1902""&gt; 1902 &lt;/ option&gt; &lt;option value = ""1901""&gt; 19 01 &lt;/ option&gt; &lt;option value = ""1900""&gt; 1900 &lt;/ option&gt; &lt;/ select&gt; &lt;div tabindex = "&amp;"""- 1"" class = ""airy-age-gate-submit airy-submit-button airy airy-submit- disabled ""&gt; Submit &lt;/ div&gt; &lt;/ div&gt; &lt;/ div&gt; &lt;/ div&gt; &lt;/ div&gt; &lt;/ div&gt; &lt;div tabindex ="" - 1 ""class ="" airy-install-flash-dialog airy-stage airy -vertical-centering-table-dialog ai"&amp;"ry airy-denied ""style ="" opacity: 0; visibility: hidden; ""&gt; &lt;div tabindex ="" - 1 ""class ="" airy-install-flash-Vertical-centering-table-cell airy-Vertical-centering-table-cell ""&gt; &lt;div tabindex ="" - 1 ""class = ""airy-Vertical-centering-wrapper airy"&amp;"-install-flash-elements-wrapper""&gt; &lt;div tabindex = ""- 1"" class = ""airy-install-flash-elements airy-dialog-elements""&gt; &lt;div tabindex = "" -1 ""class ="" airy-install-flash-prompt ""&gt; Adobe Flash Player is required to watch this video &lt;/ div&gt; &lt;div tabind"&amp;"ex =."" - 1 ""class ="" airy-install-flash-button-wrapper airy -dialog-inner-elements ""&gt; &lt;div tabindex ="" - 1 ""class ="" airy-install-flash-button airy-button ""&gt; install Flash Player &lt;/ div&gt; &lt;/ div&gt; &lt;/ div&gt; &lt;/ div&gt; &lt;/ div&gt; &lt;/ div&gt; &lt;div tabindex = ""- "&amp;"1"" class = ""airy-video-unsupported-dialog airy-stage airy-Vertical-centering-table airy-dialog airy-denied"" style = ""opacity: 0; visibility: hidden; ""&gt; &lt;div tabindex ="" - 1 ""class ="" airy-video-unsupported-Vertical-centering-table-cell airy-Vertic"&amp;"al-centering-table-cell ""&gt; &lt;div tabindex ="" - 1 ""class = ""airy-Vertical-centering-wrapper airy-video-unsupported-elements-wrapper""&gt; &lt;div tabindex = ""- 1"" class = ""airy-video-unsupported-elements airy-dialog-elements""&gt; &lt;div tabindex = "" -1 ""clas"&amp;"s ="" airy-video-unsupported-prompt ""&gt; &lt;/ div&gt; &lt;/ div&gt; &lt;/ div&gt; &lt;/ div&gt; &lt;/ div&gt; &lt;div tabindex ="" - 1 ""class ="" airy-loading- spinner-stage airy-stage ""&gt; &lt;div tabindex ="" - 1 ""class ="" airy-loading-spinner-Vertical-centering-table-cell airy-Vertical"&amp;"-centering-table-cell ""&gt; &lt;div tabindex ="" - 1 ""class ="" airy-loading-spinner-container airy-scalable-hint-container ""&gt; &lt;div tabindex ="" - 1 ""class ="" airy-loading-spinner-dummy airy-scalable-dummy ""&gt; &lt;/ div&gt; &lt; div tabindex = ""- 1"" class = ""air"&amp;"y-loading-spinner airy-hint"" style = ""visibility: hidden;""&gt; &lt;/ div&gt; &lt;/ div&gt; &lt;/ div&gt; &lt;/ div&gt; &lt;div tabindex = ""- 1 ""class ="" airy-ads-screen-size-toggle airy-screen-size-toggle-fullscreen airy ""style ="" visibility: hidden; ""&gt; &lt;/ div&gt; &lt;div tabindex "&amp;"= ""-1"" class = ""airy-ad-prompt-container"" style = ""visibility: hidden;""&gt; &lt;div tabindex = ""- 1"" class = ""airy-ad-prompt-Vertical-centering-table-vertically airy centering-table ""&gt; &lt;div tabindex ="" - 1 ""class ="" airy-ad-prompt-Vertical-centerin"&amp;"g-table-cell airy-Vertical-centering-table-cell ""&gt; &lt;div tabindex ="" - 1 ""class = ""airy-ad-prompt-label""&gt; &lt;/ div&gt; &lt;/ div&gt; &lt;/ div&gt; &lt;/ div&gt; &lt;div tabindex = ""- 1"" class = ""airy-ads-controls-container"" style = ""visibility: hidden; ""&gt; &lt;div tabindex ="&amp;""" - 1 ""class ="" airy-ads-audio-toggle airy-audio-toggle airy-on ""style ="" visibility: hidden; ""&gt; &lt;/ div&gt; &lt;div tabindex ="" - 1 ""class ="" airy-time-remaining-label-container ""&gt; &lt;div tabindex ="" - 1 ""class ="" airy-time-remaining-Vertical-centeri"&amp;"ng-table airy-Vertical-centering-table ""&gt; &lt;div tabindex = ""- 1"" class = ""airy-time-remaining-Vertical-centering-table-cell airy-Vertical-centering-table-cell""&gt; &lt;div tabindex = ""- 1"" class = ""airy-Vertical-centering-wrapper airy-time-remaining-labe"&amp;"l-wrapper ""&gt; &lt;div tabindex ="" - 1 ""class ="" airy-time-remaining-label ""style ="" visibility: hidden; ""&gt; &lt;/ div&gt; &lt;div tabi ndex = ""- 1"" class = ""airy-ad-skip"" style = ""visibility: hidden;""&gt; &lt;/ div&gt; &lt;div tabindex = ""- 1"" class = ""airy-ad-end"&amp;""" style = ""visibility: hidden ""&gt; &lt;/ div&gt; &lt;/ div&gt; &lt;/ div&gt; &lt;/ div&gt; &lt;/ div&gt; &lt;div tabindex ="" - 1 ""class ="" airy-learn-more ""style ="" visibility: hidden; ""&gt; &lt;/ div&gt; &lt;/ div&gt; &lt;div tabindex = ""- 1"" class = ""airy-play-toggle-hint-stage airy-stage airy"&amp;"-cursor""&gt; &lt;div tabindex = ""- 1"" class = ""airy-play -toggle-hint-Vertical-centering-table-cell airy-Vertical-centering-table-cell airy-cursor ""&gt; &lt;div tabindex ="" - 1 ""class ="" airy-play-toggle-hint-container airy-scalable- Hint-container ""&gt; &lt;div t"&amp;"abindex ="" - 1 ""class ="" airy-play-toggle-hint-dummy airy-scalable-dummy ""&gt; &lt;/ div&gt; &lt;div tabindex ="" - 1 ""class ="" airy-play -toggle-hint hint airy-airy-play-hint ""style ="" opacity: 1; visibility: visible; ""&gt; &lt;/ div&gt; &lt;/ div&gt; &lt;/ div&gt; &lt;/ div&gt; &lt;div"&amp;" tabindex ="" - 1 ""class ="" airy-replay-hint-stage airy-stage ""style ="" visibility: hidden ; ""&gt; &lt;div tabindex ="" - 1 ""class ="" airy-replay-hint-Vertical-centering-table-cell airy-Vertical-centering-table-cell airy-cursor ""&gt; &lt;div tabindex ="" - 1 "&amp;"""class = ""airy-replay-hint-container airy-scalable-hint-container""&gt; &lt;div tabindex = ""- 1"" class = ""airy-replay-hint-dummy airy-scalable-dummy""&gt; &lt;/ div&gt; &lt;div tabindex = ""- 1"" class = ""airy-replay-hint airy-hint""&gt; &lt;/ div&gt; &lt;/ div&gt; &lt;/ div&gt; &lt;/ div&gt; "&amp;"&lt;div tabindex = ""- 1"" class = ""airy-autoplay-hint -stage airy-stage ""style ="" visibility: hidden; ""&gt; &lt;div tabindex ="" - 1 ""class ="" airy-autoplay-hint-Vertical-centering-table-cell airy-Vertical-centering-table-cell airy- cursor ""&gt; &lt;div tabindex"&amp;" ="" - 1 ""class ="" autoplay airy-airy-hint-container-scalable-hint-container ""&gt; &lt;div tabindex ="" - 1 ""class ="" airy-autoplay-hint-dummy airy- scalable-dummy ""&gt; &lt;/ div&gt; &lt;/ div&gt; &lt;/ div&gt; &lt;/ div&gt; &lt;/ div&gt; &lt;/ div&gt; &lt;input type ="" hidden ""name ="" ""valu"&amp;"e ="" https: // images-eu .ssl-images-amazon.com / images / I / C1t46gYgL3S.mp4 ""Class ="" video-url ""&gt; &lt;input type ="" hidden ""name ="" ""value ="" https://images-eu.ssl-images-amazon.com/images/I/91fz+TWDdBS.png ""class = ""video-slate-img-url""&gt; &amp; n"&amp;"bsp; we bought it because we have pets and daily cleaning is essential, including mopping the floor. We buy this brand because we have a Roomba, we were pleased with her and her sister chose to complete daily cleaning. The conclusions are that fails the s"&amp;"ame as the Roomba, but has the bucket to ""lead her GPS"" is erratic and find the obataculos with blows. The wheels are coated with a rubber constantly off and only have two options, or hit (cone in our case) or buy new ones, because it goes hopping and c"&amp;"an not scrub. The noise level is minimal. Cleanliness is correct but not in depth. It's very easy to clean. A the end is a cleaning mop. As a conclusion, the same as any other automatic cleaning machine scrubbing corners and crannies must do old-fashioned"&amp;". But this well to keep daily cleaning and all that time to devote to other tasks. Scrub time is long ... For 45 meters need 1 hour. Maybe it has a high price for the services offered.")</f>
        <v>Good for daily cleaning &lt;div id = "video-block-R1GCBZ3X1Q62QT" class = "a-section a-spacing-small a-spacing-top mini video-block"&gt; &lt;div tabindex = "0" class = "airy airy-svg vmin-unsupported airy-skin-beacon "style =" background-color: rgb (0, 0, 0) position: relative; width: 100%; height: 100%; font-size: 0px; overflow: hidden; outline: none; "&gt; &lt;div class =" airy-renderer-container "style =" position: relative; height: 100%; width: 100%; "&gt; &lt;video id =" 7 "preload =" auto " src = "https://images-eu.ssl-images-amazon.com/images/I/C1t46gYgL3S.mp4" style = "position: absolute; left: 0px; top: 0px; overflow: hidden; height: 1px; width: 1px; "&gt; &lt;/ video&gt; &lt;/ div&gt; &lt;div id =" airy-slate-preload "style =" background-color: rgb (0, 0, 0); background-image: url (&amp; quot; https : //images-eu.ssl-images-amazon.com/images/I/91fz+TWDdBS.png&amp;quot;); background-size: Contain; background-position: center center; background-repeat: no-repeat; position: absolute; top: 0px; left: 0px; visibility: visible; width: 100%; height: 100%; "&gt; &lt;/ div&gt; &lt;ifr love scrolling = "no" frameborder = "0" src = "about: blank" style = "display: none;"&gt; &lt;/ iframe&gt; &lt;div tabindex = "- 1" class = "airy-controls-container" style = "opacity: 0; visibility: hidden; "&gt; &lt;div tabindex =" - 1 "class =" airy-screen-size-toggle airy-fullscreen "&gt; &lt;/ div&gt; &lt;div tabindex =" - 1 "class =" airy-container-bottom " &gt; &lt;div tabindex = "- 1" class = "airy-track-bar-spacer-left" style = "width: 11px;"&gt; &lt;/ div&gt; &lt;div tabindex = "- 1" class = "airy-play- airy toggle-play "style =" width: 12px; margin-right: 12px; "&gt; &lt;/ div&gt; &lt;div tabindex =" - 1 "class =" airy-audio-elements "style =" float: right; width: 34px; "&gt; &lt;div tabindex =" - 1 "class =" airy-audio-toggle airy-on "&gt; &lt;/ div&gt; &lt;div tabindex =" - 1 "class =" airy-audio-container "style = "opacity: 0; visibility: hidden; "&gt; &lt;div tabindex =" - 1 "class =" airy-audio-track-bar "style =" height: 80%; "&gt; &lt;div tabindex =" - 1 "class =" airy-audio- Scrubber-bar "style =" height: 85%; "&gt; &lt;/ div&gt; &lt;div tabindex =" - 1 "class =" airy-audio-scrubber "style =" height: 12px; bottom 85% "&gt; &lt;/ div&gt; &lt;/ div&gt; &lt;/ div&gt; &lt;/ div&gt; &lt;div tabindex =" - 1 "class =" airy-duration-label "style =" float: right; width: 26px; margin-right: 4px; text-align: center; "&gt; 1:24 &lt;/ div&gt; &lt;div tabindex =" - 1 "class =" airy-track-bar-spacer-right "style =" float: right; width: 11px; "&gt; &lt;/ div&gt; &lt;div tabindex =" - 1 "class =" airy-track-bar-container "style =" margin-left: 35px; margin-right: 75px; "&gt; &lt;div tabindex =" - 1 "class =" airy-airy-track-bar vertically-centering-table "&gt; &lt;div tabindex =" - 1 "class =" airy-Vertical-centering- table-cell "&gt; &lt;div tabindex =" - 1 "class =" airy-track-bar-elements "&gt; &lt;div tabindex =" - 1 "class =" airy-progress-bar "style =" width: 25.4032%; "&gt; &lt;/ div&gt; &lt;div tabindex =" - 1 "class =" airy-scrubber-bar "&gt; &lt;/ div&gt; &lt;div tabindex =" - 1 "class =" airy-scrubber "&gt; &lt;div tabindex =" - 1 "class =" airy-scrubber-icon "&gt; &lt;/ div&gt; &lt;div tabindex =" - 1 "class =" airy-adjusted-AUI-tooltip "style =" opacity: 0; visibility: hidden; "&gt; &lt;div tabindex =" - 1 "class =" airy-adjusted-aui-tooltip-inner "&gt; &lt;div tabindex =" - 1 "class =" airy-current-time-label "&gt; 0: 00 &lt;/ div&gt; &lt;/ div&gt; &lt;div tabindex = "- 1" class = "airy-adjusted-AUI-arrow-border"&gt; &lt;div tabindex = "- 1" class = "airy-adjusted-AUI-arrow" &gt; &lt;/ div&gt; &lt;/ div&gt; &lt;/ div&gt; &lt;/ div&gt; &lt;/ div&gt; &lt;/ div&gt; &lt;/ div&gt; &lt;/ div&gt; &lt;/ div&gt; &lt;/ div&gt; &lt;div tabindex = "- 1" class = "airy-age-gate airy-stage airy-Vertical-centering-table airy-dialog" style = "opacity: 0; visibility: hidden; "&gt; &lt;div tabindex =" - 1 "class =" airy-age-gate-Vertical-centering-table-cell airy-Vertical-centering-table-cell "&gt; &lt;div tabindex =" - 1 "class = "airy-Vertical-centering-wrapper airy-age-gate-elements-wrapper"&gt; &lt;div tabindex = "- 1" class = "airy-age-gate-elements airy-dialog-elements"&gt; &lt;div tabindex = " -1 "class =" airy-age-gate-prompt "&gt; This video is not Intended for all audiences What date were you born &lt;/ div&gt; &lt;div tabindex =.?" - 1 "class =" airy-age-gate -inputs airy-dialog-inner-elements "&gt; &lt;select tabindex =" - 1 "class =" airy-age-gate-month "&gt; &lt;option value =" 1 "&gt; January &lt;/ option&gt; &lt;option value =" 2 "&gt; February &lt;/ option&gt; &lt;option value =" 3 "&gt; March &lt;/ option&gt; &lt;option value =" 4 "&gt; April &lt;/ option&gt; &lt;option value =" 5 "&gt; May &lt;/ option&gt; &lt;option value = "6"&gt; June &lt;/ option&gt; &lt;option value = "7"&gt; July &lt;/ option&gt; &lt;option value = "8"&gt; August &lt;/ option&gt; &lt;option value = "9"&gt; September &lt;/ option&gt; &lt;option value = "10"&gt; October &lt;/ option&gt; &lt;option value = "11"&gt; November &lt;/ option&gt; &lt;option value = "12"&gt; December &lt;/ option&gt; &lt;/ select&gt; &lt;select tabindex = "- 1" class = "airy-age-gate-day"&gt; &lt;opti on value = "1"&gt; 1 &lt;/ option&gt; &lt;option value = "2"&gt; 2 &lt;/ option&gt; &lt;option value = "3"&gt; 3 &lt;/ option&gt; &lt;option value = "4"&gt; 4 &lt;/ option &gt; &lt;option value = "5"&gt; 5 &lt;/ option&gt; &lt;option value = "6"&gt; 6 &lt;/ option&gt; &lt;option value = "7"&gt; 7 &lt;/ option&gt; &lt;option value = "8"&gt; 8 &lt; / option&gt; &lt;option value = "9"&gt; 9 &lt;/ option&gt; &lt;option value = "10"&gt; 10 &lt;/ option&gt; &lt;option value = "11"&gt; 11 &lt;/ option&gt; &lt;option value = "12"&gt; 12 &lt;/ option&gt; &lt;option value = "13"&gt; 13 &lt;/ option&gt; &lt;option value = "14"&gt; 14 &lt;/ option&gt; &lt;option value = "15"&gt; 15 &lt;/ option&gt; &lt;option value = "16 "&gt; 16 &lt;/ option&gt; &lt;option value =" 17 "&gt; 17 &lt;/ option&gt; &lt;option value =" 18 "&gt; 18 &lt;/ option&gt; &lt;option value =" 19 "&gt; 19 &lt;/ option&gt; &lt;option value = "20"&gt; 20 &lt;/ option&gt; &lt;option value = "21"&gt; 21 &lt;/ option&gt; &lt;option value = "22"&gt; 22 &lt;/ option&gt; &lt;option value = "23"&gt; 23 &lt;/ option&gt; &lt;option value = "24"&gt; 24 &lt;/ option&gt; &lt;option value = "25"&gt; 25 &lt;/ option&gt; &lt;option value = "26"&gt; 26 &lt;/ option&gt; &lt;option value = "27"&gt; 27 &lt;/ option&gt; &lt;option value = "28"&gt; 28 &lt;/ option&gt; &lt;option value = "29"&gt; 29 &lt;/ option&gt; &lt;option value = "30"&gt; 30 &lt;/ option&gt; &lt;option value = "31"&gt; 31 &lt;/ option&gt; &lt;/ select&gt; &lt;select tabindex = "- 1" class = "airy-age-gate-year"&gt; &lt;option value = "2019"&gt; 2019 &lt;/ option&gt; &lt; option value = "2018"&gt; 2018 &lt;/ option&gt; &lt;option value = "2017"&gt; 2017 &lt;/ option&gt; &lt;option value = "2016"&gt; ​​2016 &lt;/ option&gt; &lt;option value = "2015"&gt; 2015 &lt;/ option &gt; &lt;option value = "2014"&gt; 2014 &lt;/ option&gt; &lt;option value = "2013"&gt; 2013 &lt;/ option&gt; &lt;option value = "2012"&gt; 2012 &lt;/ option&gt; &lt;option value = "2011"&gt; 2011 &lt; / option&gt; &lt;option value = "2010"&gt; 2010 &lt;/ option&gt; &lt;option value = "2009"&gt; 2009 &lt;/ option&gt; &lt;option value = "2008"&gt; 2008 &lt;/ option&gt; &lt;option value = "2007"&gt; 2007 &lt;/ option&gt; &lt;option value = "2006"&gt; 2006 &lt;/ option&gt; &lt;option value = "2005"&gt; 2005 &lt;/ option&gt; &lt;option value = "2004"&gt; 2004 &lt;/ option&gt; &lt;option value = "2003 "&gt; 2003 &lt;/ option&gt; &lt;option value =" 2002 "&gt; 2002 &lt;/ option&gt; &lt;option value =" 2001 "&gt; 2001 &lt;/ option&gt; &lt;option value =" 2000 "&gt; 2000 &lt;/ option&gt; &lt;option value = "1999"&gt; 1999 &lt;/ option&gt; &lt;option value = "1998"&gt; 1998 &lt;/ option&gt; &lt;option value = "1997"&gt; 1997 &lt;/ option&gt; &lt;option value = "1996"&gt; 1996 &lt;/ option&gt; &lt;option value = "1995"&gt; 1995 &lt;/ option&gt; &lt;option value = "1994"&gt; 1994 &lt;/ option&gt; &lt;option value = "1993"&gt; 1993 &lt;/ option&gt; &lt;option value = "1992"&gt; 1992 &lt;/ option&gt; &lt;option value = "1991"&gt; 1991 &lt;/ option&gt; &lt;option value = "1990"&gt; 1990 &lt;/ option&gt; &lt;option value = " 1989 "&gt; 1989 &lt;/ option&gt; &lt;option value =" 1988 "&gt; 1988 &lt;/ option&gt; &lt;option value =" 1987 "&gt; 1987 &lt;/ option&gt; &lt;option value =" 1986 "&gt; 1986 &lt;/ option&gt; &lt;value option = "1985"&gt; 1985 &lt;/ option&gt; &lt;option value = "1984"&gt; 1984 &lt;/ option&gt; &lt;option value = "1983"&gt; 1983 &lt;/ option&gt; &lt;option value = "1982"&gt; 1982 &lt;/ option&gt; &lt; option value = "1981"&gt; 1981 &lt;/ option&gt; &lt;option value = "1980"&gt; 1980 &lt;/ option&gt; &lt;option value = "1979"&gt; 1979 &lt;/ option&gt; &lt;option value = "1978"&gt; 1978 &lt;/ option &gt; &lt;option value = "1977"&gt; 1977 &lt;/ option&gt; &lt;option value = "1976"&gt; 1976 &lt;/ option&gt; &lt;option value = "1975"&gt; 1975 &lt;/ option&gt; &lt;option value = "1974"&gt; 1974 &lt; / option&gt; &lt;option value = "1973"&gt; 1973 &lt;/ option&gt; &lt;option value = "1972"&gt; 1972 &lt;/ option&gt; &lt;option value = "1971"&gt; 1971 &lt;/ option&gt; &lt;option value = "1970"&gt; 1970 &lt;/ option&gt; &lt;option value = "1969"&gt; 1969 &lt;/ option&gt; &lt;option value = "1968"&gt; 1968 &lt;/ option&gt; &lt;option value = "1967"&gt; 1967 &lt;/ option&gt; &lt;option value = "1966 "&gt; 1966 &lt;/ option&gt; &lt;option value =" 1965 "&gt; 1965 &lt;/ option&gt; &lt;option value =" 1964 "&gt; 1964 &lt;/ option&gt; &lt;option value =" 1963 "&gt; 1963 &lt;/ option&gt; &lt;option value = "1962"&gt; 1962 &lt;/ option&gt; &lt;option value = "1961"&gt; 1961 &lt;/ option&gt; &lt;option value = "1960"&gt; 1960 &lt;/ op tion&gt; &lt;option value = "1959"&gt; 1959 &lt;/ option&gt; &lt;option value = "1958"&gt; 1958 &lt;/ option&gt; &lt;option value = "1957"&gt; 1957 &lt;/ option&gt; &lt;option value = "1956"&gt; 1956 &lt;/ option&gt; &lt;option value = "1955"&gt; 1955 &lt;/ option&gt; &lt;option value = "1954"&gt; 1954 &lt;/ option&gt; &lt;option value = "1953"&gt; 1953 &lt;/ option&gt; &lt;option value = "1952" &gt; 1952 &lt;/ option&gt; &lt;option value = "1951"&gt; 1951 &lt;/ option&gt; &lt;option value = "1950"&gt; 1950 &lt;/ option&gt; &lt;option value = "1949"&gt; 1949 &lt;/ option&gt; &lt;option value = " 1948 "&gt; 1948 &lt;/ option&gt; &lt;option value =" 1947 "&gt; 1947 &lt;/ option&gt; &lt;option value =" 1946 "&gt; 1946 &lt;/ option&gt; &lt;option value =" 1945 "&gt; 1945 &lt;/ option&gt; &lt;value option = "1944"&gt; 1944 &lt;/ option&gt; &lt;option value = "1943"&gt; 1943 &lt;/ option&gt; &lt;option value = "1942"&gt; 1942 &lt;/ option&gt; &lt;option value = "1941"&gt; 1941 &lt;/ option&gt; &lt; option value = "1940"&gt; 1940 &lt;/ option&gt; &lt;option value = "1939"&gt; 1939 &lt;/ option&gt; &lt;option value = "1938"&gt; 1938 &lt;/ option&gt; &lt;option value = "1937"&gt; 1937 &lt;/ option &gt; &lt;option value = "1936"&gt; 1936 &lt;/ option&gt; &lt;option value = "1935"&gt; 1935 &lt;/ option&gt; &lt;option value = "1934"&gt; 1934 &lt;/ option&gt; &lt;option value = "1933"&gt; 1933 &lt; / option&gt; &lt;option value = "1932"&gt; 1932 &lt;/ option&gt; &lt;option value = "1931"&gt; 1931 &lt;/ option&gt; &lt;option v alue = "1930"&gt; 1930 &lt;/ option&gt; &lt;option value = "1929"&gt; 1929 &lt;/ option&gt; &lt;option value = "1928"&gt; 1928 &lt;/ option&gt; &lt;option value = "1927"&gt; 1927 &lt;/ option&gt; &lt;option value = "1926"&gt; 1926 &lt;/ option&gt; &lt;option value = "1925"&gt; 1925 &lt;/ option&gt; &lt;option value = "1924"&gt; 1924 &lt;/ option&gt; &lt;option value = "1923"&gt; 1923 &lt;/ option&gt; &lt;option value = "1922"&gt; 1922 &lt;/ option&gt; &lt;option value = "1921"&gt; 1921 &lt;/ option&gt; &lt;option value = "1920"&gt; 1920 &lt;/ option&gt; &lt;option value = "1919"&gt; 1919 &lt;/ option&gt; &lt;option value = "1918"&gt; 1918 &lt;/ option&gt; &lt;option value = "1917"&gt; 1917 &lt;/ option&gt; &lt;option value = "1916"&gt; 1916 &lt;/ option&gt; &lt;option value = "1915" &gt; 1915 &lt;/ option&gt; &lt;option value = "1914"&gt; 1914 &lt;/ option&gt; &lt;option value = "1913"&gt; 1913 &lt;/ option&gt; &lt;option value = "1912"&gt; 1912 &lt;/ option&gt; &lt;option value = " 1911 "&gt; 1911 &lt;/ option&gt; &lt;option value =" 1910 "&gt; 1910 &lt;/ option&gt; &lt;option value =" 1909 "&gt; 1909 &lt;/ option&gt; &lt;option value =" 1908 "&gt; 1908 &lt;/ option&gt; &lt;value option = "1907"&gt; 1907 &lt;/ option&gt; &lt;option value = "1906"&gt; 1906 &lt;/ option&gt; &lt;option value = "1905"&gt; 1905 &lt;/ option&gt; &lt;option value = "1904"&gt; 1904 &lt;/ option&gt; &lt; option value = "1903"&gt; 1903 &lt;/ option&gt; &lt;option value = "1902"&gt; 1902 &lt;/ option&gt; &lt;option value = "1901"&gt; 19 01 &lt;/ option&gt; &lt;option value = "1900"&gt; 1900 &lt;/ option&gt; &lt;/ select&gt; &lt;div tabindex = "- 1" class = "airy-age-gate-submit airy-submit-button airy airy-submit- disabled "&gt; Submit &lt;/ div&gt; &lt;/ div&gt; &lt;/ div&gt; &lt;/ div&gt; &lt;/ div&gt; &lt;/ div&gt; &lt;div tabindex =" - 1 "class =" airy-install-flash-dialog airy-stage airy -vertical-centering-table-dialog airy airy-denied "style =" opacity: 0; visibility: hidden; "&gt; &lt;div tabindex =" - 1 "class =" airy-install-flash-Vertical-centering-table-cell airy-Vertical-centering-table-cell "&gt; &lt;div tabindex =" - 1 "class = "airy-Vertical-centering-wrapper airy-install-flash-elements-wrapper"&gt; &lt;div tabindex = "- 1" class = "airy-install-flash-elements airy-dialog-elements"&gt; &lt;div tabindex = " -1 "class =" airy-install-flash-prompt "&gt; Adobe Flash Player is required to watch this video &lt;/ div&gt; &lt;div tabindex =." - 1 "class =" airy-install-flash-button-wrapper airy -dialog-inner-elements "&gt; &lt;div tabindex =" - 1 "class =" airy-install-flash-button airy-button "&gt; install Flash Player &lt;/ div&gt; &lt;/ div&gt; &lt;/ div&gt; &lt;/ div&gt; &lt;/ div&gt; &lt;/ div&gt; &lt;div tabindex = "- 1" class = "airy-video-unsupported-dialog airy-stage airy-Vertical-centering-table airy-dialog airy-denied" style = "opacity: 0; visibility: hidden; "&gt; &lt;div tabindex =" - 1 "class =" airy-video-unsupported-Vertical-centering-table-cell airy-Vertical-centering-table-cell "&gt; &lt;div tabindex =" - 1 "class = "airy-Vertical-centering-wrapper airy-video-unsupported-elements-wrapper"&gt; &lt;div tabindex = "- 1" class = "airy-video-unsupported-elements airy-dialog-elements"&gt; &lt;div tabindex = " -1 "class =" airy-video-unsupported-prompt "&gt; &lt;/ div&gt; &lt;/ div&gt; &lt;/ div&gt; &lt;/ div&gt; &lt;/ div&gt; &lt;div tabindex =" - 1 "class =" airy-loading- spinner-stage airy-stage "&gt; &lt;div tabindex =" - 1 "class =" airy-loading-spinner-Vertical-centering-table-cell airy-Vertical-centering-table-cell "&gt; &lt;div tabindex =" - 1 "class =" airy-loading-spinner-container airy-scalable-hint-container "&gt; &lt;div tabindex =" - 1 "class =" airy-loading-spinner-dummy airy-scalable-dummy "&gt; &lt;/ div&gt; &lt; div tabindex = "- 1" class = "airy-loading-spinner airy-hint" style = "visibility: hidden;"&gt; &lt;/ div&gt; &lt;/ div&gt; &lt;/ div&gt; &lt;/ div&gt; &lt;div tabindex = "- 1 "class =" airy-ads-screen-size-toggle airy-screen-size-toggle-fullscreen airy "style =" visibility: hidden; "&gt; &lt;/ div&gt; &lt;div tabindex = "-1" class = "airy-ad-prompt-container" style = "visibility: hidden;"&gt; &lt;div tabindex = "- 1" class = "airy-ad-prompt-Vertical-centering-table-vertically airy centering-table "&gt; &lt;div tabindex =" - 1 "class =" airy-ad-prompt-Vertical-centering-table-cell airy-Vertical-centering-table-cell "&gt; &lt;div tabindex =" - 1 "class = "airy-ad-prompt-label"&gt; &lt;/ div&gt; &lt;/ div&gt; &lt;/ div&gt; &lt;/ div&gt; &lt;div tabindex = "- 1" class = "airy-ads-controls-container" style = "visibility: hidden; "&gt; &lt;div tabindex =" - 1 "class =" airy-ads-audio-toggle airy-audio-toggle airy-on "style =" visibility: hidden; "&gt; &lt;/ div&gt; &lt;div tabindex =" - 1 "class =" airy-time-remaining-label-container "&gt; &lt;div tabindex =" - 1 "class =" airy-time-remaining-Vertical-centering-table airy-Vertical-centering-table "&gt; &lt;div tabindex = "- 1" class = "airy-time-remaining-Vertical-centering-table-cell airy-Vertical-centering-table-cell"&gt; &lt;div tabindex = "- 1" class = "airy-Vertical-centering-wrapper airy-time-remaining-label-wrapper "&gt; &lt;div tabindex =" - 1 "class =" airy-time-remaining-label "style =" visibility: hidden; "&gt; &lt;/ div&gt; &lt;div tabi ndex = "- 1" class = "airy-ad-skip" style = "visibility: hidden;"&gt; &lt;/ div&gt; &lt;div tabindex = "- 1" class = "airy-ad-end" style = "visibility: hidden "&gt; &lt;/ div&gt; &lt;/ div&gt; &lt;/ div&gt; &lt;/ div&gt; &lt;/ div&gt; &lt;div tabindex =" - 1 "class =" airy-learn-more "style =" visibility: hidden; "&gt; &lt;/ div&gt; &lt;/ div&gt; &lt;div tabindex = "- 1" class = "airy-play-toggle-hint-stage airy-stage airy-cursor"&gt; &lt;div tabindex = "- 1" class = "airy-play -toggle-hint-Vertical-centering-table-cell airy-Vertical-centering-table-cell airy-cursor "&gt; &lt;div tabindex =" - 1 "class =" airy-play-toggle-hint-container airy-scalable- Hint-container "&gt; &lt;div tabindex =" - 1 "class =" airy-play-toggle-hint-dummy airy-scalable-dummy "&gt; &lt;/ div&gt; &lt;div tabindex =" - 1 "class =" airy-play -toggle-hint hint airy-airy-play-hint "style =" opacity: 1; visibility: visible; "&gt; &lt;/ div&gt; &lt;/ div&gt; &lt;/ div&gt; &lt;/ div&gt; &lt;div tabindex =" - 1 "class =" airy-replay-hint-stage airy-stage "style =" visibility: hidden ; "&gt; &lt;div tabindex =" - 1 "class =" airy-replay-hint-Vertical-centering-table-cell airy-Vertical-centering-table-cell airy-cursor "&gt; &lt;div tabindex =" - 1 "class = "airy-replay-hint-container airy-scalable-hint-container"&gt; &lt;div tabindex = "- 1" class = "airy-replay-hint-dummy airy-scalable-dummy"&gt; &lt;/ div&gt; &lt;div tabindex = "- 1" class = "airy-replay-hint airy-hint"&gt; &lt;/ div&gt; &lt;/ div&gt; &lt;/ div&gt; &lt;/ div&gt; &lt;div tabindex = "- 1" class = "airy-autoplay-hint -stage airy-stage "style =" visibility: hidden; "&gt; &lt;div tabindex =" - 1 "class =" airy-autoplay-hint-Vertical-centering-table-cell airy-Vertical-centering-table-cell airy- cursor "&gt; &lt;div tabindex =" - 1 "class =" autoplay airy-airy-hint-container-scalable-hint-container "&gt; &lt;div tabindex =" - 1 "class =" airy-autoplay-hint-dummy airy- scalable-dummy "&gt; &lt;/ div&gt; &lt;/ div&gt; &lt;/ div&gt; &lt;/ div&gt; &lt;/ div&gt; &lt;/ div&gt; &lt;input type =" hidden "name =" "value =" https: // images-eu .ssl-images-amazon.com / images / I / C1t46gYgL3S.mp4 "Class =" video-url "&gt; &lt;input type =" hidden "name =" "value =" https://images-eu.ssl-images-amazon.com/images/I/91fz+TWDdBS.png "class = "video-slate-img-url"&gt; &amp; nbsp; we bought it because we have pets and daily cleaning is essential, including mopping the floor. We buy this brand because we have a Roomba, we were pleased with her and her sister chose to complete daily cleaning. The conclusions are that fails the same as the Roomba, but has the bucket to "lead her GPS" is erratic and find the obataculos with blows. The wheels are coated with a rubber constantly off and only have two options, or hit (cone in our case) or buy new ones, because it goes hopping and can not scrub. The noise level is minimal. Cleanliness is correct but not in depth. It's very easy to clean. A the end is a cleaning mop. As a conclusion, the same as any other automatic cleaning machine scrubbing corners and crannies must do old-fashioned. But this well to keep daily cleaning and all that time to devote to other tasks. Scrub time is long ... For 45 meters need 1 hour. Maybe it has a high price for the services offered.</v>
      </c>
    </row>
    <row r="824">
      <c r="A824" s="1">
        <v>5.0</v>
      </c>
      <c r="B824" s="1" t="s">
        <v>819</v>
      </c>
      <c r="C824" t="str">
        <f>IFERROR(__xludf.DUMMYFUNCTION("GOOGLETRANSLATE(B824, ""es"", ""en"")"),"Good product is exactly the memory card I was looking for my Canon 750D. I support more than 5000 photos at full resolution, it is quick with what HD videos and photographs burst function at will and has no limitation. Value very adequate. It has been a f"&amp;"antastic purchase.")</f>
        <v>Good product is exactly the memory card I was looking for my Canon 750D. I support more than 5000 photos at full resolution, it is quick with what HD videos and photographs burst function at will and has no limitation. Value very adequate. It has been a fantastic purchase.</v>
      </c>
    </row>
    <row r="825">
      <c r="A825" s="1">
        <v>5.0</v>
      </c>
      <c r="B825" s="1" t="s">
        <v>820</v>
      </c>
      <c r="C825" t="str">
        <f>IFERROR(__xludf.DUMMYFUNCTION("GOOGLETRANSLATE(B825, ""es"", ""en"")"),"I have it very comfortable for a week, and the result is as expected, the glass is super comfortable to transport heavy and not hermetically closed, allowing transport my fruit smoothies normally. Its use is super simple push of a button. It's super clean"&amp;" just need to scrub the glass that you use, the mixer is isolated and will not stain. I recommend it to everyone who want to take their time to the maximum.")</f>
        <v>I have it very comfortable for a week, and the result is as expected, the glass is super comfortable to transport heavy and not hermetically closed, allowing transport my fruit smoothies normally. Its use is super simple push of a button. It's super clean just need to scrub the glass that you use, the mixer is isolated and will not stain. I recommend it to everyone who want to take their time to the maximum.</v>
      </c>
    </row>
    <row r="826">
      <c r="A826" s="1">
        <v>5.0</v>
      </c>
      <c r="B826" s="1" t="s">
        <v>821</v>
      </c>
      <c r="C826" t="str">
        <f>IFERROR(__xludf.DUMMYFUNCTION("GOOGLETRANSLATE(B826, ""es"", ""en"")"),"As they are announced ... Perfect, are lovely socks, size, good adhesion to the floor (wood) ... delighted with the product fits ...")</f>
        <v>As they are announced ... Perfect, are lovely socks, size, good adhesion to the floor (wood) ... delighted with the product fits ...</v>
      </c>
    </row>
    <row r="827">
      <c r="A827" s="1">
        <v>5.0</v>
      </c>
      <c r="B827" s="1" t="s">
        <v>822</v>
      </c>
      <c r="C827" t="str">
        <f>IFERROR(__xludf.DUMMYFUNCTION("GOOGLETRANSLATE(B827, ""es"", ""en"")"),"After doing their job about using it in my gym shoes weeks, I can say that fulfill their function. Shoes no longer smell")</f>
        <v>After doing their job about using it in my gym shoes weeks, I can say that fulfill their function. Shoes no longer smell</v>
      </c>
    </row>
    <row r="828">
      <c r="A828" s="1">
        <v>5.0</v>
      </c>
      <c r="B828" s="1" t="s">
        <v>823</v>
      </c>
      <c r="C828" t="str">
        <f>IFERROR(__xludf.DUMMYFUNCTION("GOOGLETRANSLATE(B828, ""es"", ""en"")"),"Very comfortable without perfect for long walks in places with asphalt")</f>
        <v>Very comfortable without perfect for long walks in places with asphalt</v>
      </c>
    </row>
    <row r="829">
      <c r="A829" s="1">
        <v>5.0</v>
      </c>
      <c r="B829" s="1" t="s">
        <v>824</v>
      </c>
      <c r="C829" t="str">
        <f>IFERROR(__xludf.DUMMYFUNCTION("GOOGLETRANSLATE(B829, ""es"", ""en"")"),"No cheating, no cardboard transport arrived very quickly with Amazon. Description such and indicated. Weighs little, the contract what I read, the belt is long. Everything seems to work well, it's nice. And the value for money is very good.")</f>
        <v>No cheating, no cardboard transport arrived very quickly with Amazon. Description such and indicated. Weighs little, the contract what I read, the belt is long. Everything seems to work well, it's nice. And the value for money is very good.</v>
      </c>
    </row>
    <row r="830">
      <c r="A830" s="1">
        <v>5.0</v>
      </c>
      <c r="B830" s="1" t="s">
        <v>825</v>
      </c>
      <c r="C830" t="str">
        <f>IFERROR(__xludf.DUMMYFUNCTION("GOOGLETRANSLATE(B830, ""es"", ""en"")"),"It is very durable Perfect Value")</f>
        <v>It is very durable Perfect Value</v>
      </c>
    </row>
    <row r="831">
      <c r="A831" s="1">
        <v>5.0</v>
      </c>
      <c r="B831" s="1" t="s">
        <v>826</v>
      </c>
      <c r="C831" t="str">
        <f>IFERROR(__xludf.DUMMYFUNCTION("GOOGLETRANSLATE(B831, ""es"", ""en"")"),"Capacity, comfort and perfect finishes for what I needed")</f>
        <v>Capacity, comfort and perfect finishes for what I needed</v>
      </c>
    </row>
    <row r="832">
      <c r="A832" s="1">
        <v>5.0</v>
      </c>
      <c r="B832" s="1" t="s">
        <v>827</v>
      </c>
      <c r="C832" t="str">
        <f>IFERROR(__xludf.DUMMYFUNCTION("GOOGLETRANSLATE(B832, ""es"", ""en"")"),"Essential for working with groups of people Easy installation, perfect timing through the jack. Works on any computer, and with great sound quality. It lets you zoom out enough of the amplifier, and the ease of not having to be holding the microphone. We "&amp;"use it with almost 300 people and listened perfectly")</f>
        <v>Essential for working with groups of people Easy installation, perfect timing through the jack. Works on any computer, and with great sound quality. It lets you zoom out enough of the amplifier, and the ease of not having to be holding the microphone. We use it with almost 300 people and listened perfectly</v>
      </c>
    </row>
    <row r="833">
      <c r="A833" s="1">
        <v>5.0</v>
      </c>
      <c r="B833" s="1" t="s">
        <v>828</v>
      </c>
      <c r="C833" t="str">
        <f>IFERROR(__xludf.DUMMYFUNCTION("GOOGLETRANSLATE(B833, ""es"", ""en"")"),"Very happy with the blender. I bought it to replace the common hand blenders and exceeded my expectations. Besides the ease and comfort both to use and to clean, since you can disassemble and remove the blades, has a lot of power, I tried to throw ice one"&amp;" by one by fear and nothing, the enduring perfectly. By putting some sticks, I'd say the smell takes store to go, although less leaves no strange taste. Prepared for cold moment I have no complaints, but for hot food I can not comment because I do not thi"&amp;"nk to use it, but the glass both the main vessel and sconces are very very strong. In short, a good buy pleases my expectations.")</f>
        <v>Very happy with the blender. I bought it to replace the common hand blenders and exceeded my expectations. Besides the ease and comfort both to use and to clean, since you can disassemble and remove the blades, has a lot of power, I tried to throw ice one by one by fear and nothing, the enduring perfectly. By putting some sticks, I'd say the smell takes store to go, although less leaves no strange taste. Prepared for cold moment I have no complaints, but for hot food I can not comment because I do not think to use it, but the glass both the main vessel and sconces are very very strong. In short, a good buy pleases my expectations.</v>
      </c>
    </row>
    <row r="834">
      <c r="A834" s="1">
        <v>5.0</v>
      </c>
      <c r="B834" s="1" t="s">
        <v>829</v>
      </c>
      <c r="C834" t="str">
        <f>IFERROR(__xludf.DUMMYFUNCTION("GOOGLETRANSLATE(B834, ""es"", ""en"")"),"Perfect You order a full size or minimum size and a half, but otherwise perfect very good, good grip, it seems that these flying cushioning A good product")</f>
        <v>Perfect You order a full size or minimum size and a half, but otherwise perfect very good, good grip, it seems that these flying cushioning A good product</v>
      </c>
    </row>
    <row r="835">
      <c r="A835" s="1">
        <v>5.0</v>
      </c>
      <c r="B835" s="1" t="s">
        <v>830</v>
      </c>
      <c r="C835" t="str">
        <f>IFERROR(__xludf.DUMMYFUNCTION("GOOGLETRANSLATE(B835, ""es"", ""en"")"),"Excellent quality I needed a Bluetooth headset, so I decided to have it all in one. Weight is pretty good, the battery is perfect for a couple of loads. fast loading and has a display with battery percentage. it lacks one thing: also brings a case to save"&amp;" and replacement of rubber bands headphones.")</f>
        <v>Excellent quality I needed a Bluetooth headset, so I decided to have it all in one. Weight is pretty good, the battery is perfect for a couple of loads. fast loading and has a display with battery percentage. it lacks one thing: also brings a case to save and replacement of rubber bands headphones.</v>
      </c>
    </row>
    <row r="836">
      <c r="A836" s="1">
        <v>5.0</v>
      </c>
      <c r="B836" s="1" t="s">
        <v>831</v>
      </c>
      <c r="C836" t="str">
        <f>IFERROR(__xludf.DUMMYFUNCTION("GOOGLETRANSLATE(B836, ""es"", ""en"")"),"A renovated classic watch what Hipster For all lovers of classic watches the F91W is an icon of all time. Well, Casio has decided to renew its entire line of watches with retro golden colors. The turn of the F91W has come and has decided to change the bla"&amp;"ck cover almost a golden. A decision that I think gives a different touch. While the clock is still plastic contrast gold with black belt he makes it look very cool to watch. That does not change functionality only in appearance. The only point I see is h"&amp;"im against the package in the coming was a shame and demerits much. An envelope with the manual and some sort of tatty fabric cover.")</f>
        <v>A renovated classic watch what Hipster For all lovers of classic watches the F91W is an icon of all time. Well, Casio has decided to renew its entire line of watches with retro golden colors. The turn of the F91W has come and has decided to change the black cover almost a golden. A decision that I think gives a different touch. While the clock is still plastic contrast gold with black belt he makes it look very cool to watch. That does not change functionality only in appearance. The only point I see is him against the package in the coming was a shame and demerits much. An envelope with the manual and some sort of tatty fabric cover.</v>
      </c>
    </row>
    <row r="837">
      <c r="A837" s="1">
        <v>5.0</v>
      </c>
      <c r="B837" s="1" t="s">
        <v>832</v>
      </c>
      <c r="C837" t="str">
        <f>IFERROR(__xludf.DUMMYFUNCTION("GOOGLETRANSLATE(B837, ""es"", ""en"")"),"Excellent! Excellent for winter! Keep the heat long enough to relieve cold. They are easy to use, super soft and comfortable.")</f>
        <v>Excellent! Excellent for winter! Keep the heat long enough to relieve cold. They are easy to use, super soft and comfortable.</v>
      </c>
    </row>
    <row r="838">
      <c r="A838" s="1">
        <v>5.0</v>
      </c>
      <c r="B838" s="1" t="s">
        <v>833</v>
      </c>
      <c r="C838" t="str">
        <f>IFERROR(__xludf.DUMMYFUNCTION("GOOGLETRANSLATE(B838, ""es"", ""en"")"),"It seems very comfortable gym shoes Io I have you all day ... the foot does not hurt me are perfect")</f>
        <v>It seems very comfortable gym shoes Io I have you all day ... the foot does not hurt me are perfect</v>
      </c>
    </row>
    <row r="839">
      <c r="A839" s="1">
        <v>5.0</v>
      </c>
      <c r="B839" s="1" t="s">
        <v>834</v>
      </c>
      <c r="C839" t="str">
        <f>IFERROR(__xludf.DUMMYFUNCTION("GOOGLETRANSLATE(B839, ""es"", ""en"")"),"Very light and comfortable lightweight performance as weigh nothing, I love your template that fits perfectly in my foot. It comes with a side strips which makes the foot is well supported. They have a very modern and beautiful style.")</f>
        <v>Very light and comfortable lightweight performance as weigh nothing, I love your template that fits perfectly in my foot. It comes with a side strips which makes the foot is well supported. They have a very modern and beautiful style.</v>
      </c>
    </row>
    <row r="840">
      <c r="A840" s="1">
        <v>5.0</v>
      </c>
      <c r="B840" s="1" t="s">
        <v>835</v>
      </c>
      <c r="C840" t="str">
        <f>IFERROR(__xludf.DUMMYFUNCTION("GOOGLETRANSLATE(B840, ""es"", ""en"")"),"Comfortable and lightweight is the second pair that gift to my husband, who, for his work, is many hours standing, and loves.")</f>
        <v>Comfortable and lightweight is the second pair that gift to my husband, who, for his work, is many hours standing, and loves.</v>
      </c>
    </row>
    <row r="841">
      <c r="A841" s="1">
        <v>5.0</v>
      </c>
      <c r="B841" s="1" t="s">
        <v>836</v>
      </c>
      <c r="C841" t="str">
        <f>IFERROR(__xludf.DUMMYFUNCTION("GOOGLETRANSLATE(B841, ""es"", ""en"")"),"Cool Perfect! They are exactly what I expected, comfortable and I have not had any problems with size. I'm very happy.")</f>
        <v>Cool Perfect! They are exactly what I expected, comfortable and I have not had any problems with size. I'm very happy.</v>
      </c>
    </row>
    <row r="842">
      <c r="A842" s="1">
        <v>5.0</v>
      </c>
      <c r="B842" s="1" t="s">
        <v>837</v>
      </c>
      <c r="C842" t="str">
        <f>IFERROR(__xludf.DUMMYFUNCTION("GOOGLETRANSLATE(B842, ""es"", ""en"")"),"Price Perfect quality for cable")</f>
        <v>Price Perfect quality for cable</v>
      </c>
    </row>
    <row r="843">
      <c r="A843" s="1">
        <v>2.0</v>
      </c>
      <c r="B843" s="1" t="s">
        <v>838</v>
      </c>
      <c r="C843" t="str">
        <f>IFERROR(__xludf.DUMMYFUNCTION("GOOGLETRANSLATE(B843, ""es"", ""en"")"),"More or less product as it describes the product very good quality. A pity that Amazon or rebook not be synchronized with orders and llegentarde of and do not comply with Prime.")</f>
        <v>More or less product as it describes the product very good quality. A pity that Amazon or rebook not be synchronized with orders and llegentarde of and do not comply with Prime.</v>
      </c>
    </row>
    <row r="844">
      <c r="A844" s="1">
        <v>3.0</v>
      </c>
      <c r="B844" s="1" t="s">
        <v>839</v>
      </c>
      <c r="C844" t="str">
        <f>IFERROR(__xludf.DUMMYFUNCTION("GOOGLETRANSLATE(B844, ""es"", ""en"")"),"Well it's not quite there lose hair as you put")</f>
        <v>Well it's not quite there lose hair as you put</v>
      </c>
    </row>
    <row r="845">
      <c r="A845" s="1">
        <v>3.0</v>
      </c>
      <c r="B845" s="1" t="s">
        <v>840</v>
      </c>
      <c r="C845" t="str">
        <f>IFERROR(__xludf.DUMMYFUNCTION("GOOGLETRANSLATE(B845, ""es"", ""en"")"),"I HAVE HAD GOOD PRODUCT TO RETURN BY THAT WITH MY TEAM ABROAD FATAL sounded and just what I needed to ESO. I COULD provarlo on another computer LEFT ME AND MUCH BETTER. I guess FAILURE WOULD MY TEAM AS")</f>
        <v>I HAVE HAD GOOD PRODUCT TO RETURN BY THAT WITH MY TEAM ABROAD FATAL sounded and just what I needed to ESO. I COULD provarlo on another computer LEFT ME AND MUCH BETTER. I guess FAILURE WOULD MY TEAM AS</v>
      </c>
    </row>
    <row r="846">
      <c r="A846" s="1">
        <v>1.0</v>
      </c>
      <c r="B846" s="1" t="s">
        <v>841</v>
      </c>
      <c r="C846" t="str">
        <f>IFERROR(__xludf.DUMMYFUNCTION("GOOGLETRANSLATE(B846, ""es"", ""en"")"),"I tried 2 times and not going. It does not work.")</f>
        <v>I tried 2 times and not going. It does not work.</v>
      </c>
    </row>
    <row r="847">
      <c r="A847" s="1">
        <v>1.0</v>
      </c>
      <c r="B847" s="1" t="s">
        <v>842</v>
      </c>
      <c r="C847" t="str">
        <f>IFERROR(__xludf.DUMMYFUNCTION("GOOGLETRANSLATE(B847, ""es"", ""en"")"),"Discontent all. It is to give it back and the pictures of the product comes with a white box. This format is very ugly and looks very tatty")</f>
        <v>Discontent all. It is to give it back and the pictures of the product comes with a white box. This format is very ugly and looks very tatty</v>
      </c>
    </row>
    <row r="848">
      <c r="A848" s="1">
        <v>4.0</v>
      </c>
      <c r="B848" s="1" t="s">
        <v>843</v>
      </c>
      <c r="C848" t="str">
        <f>IFERROR(__xludf.DUMMYFUNCTION("GOOGLETRANSLATE(B848, ""es"", ""en"")"),"Dr. Martins boots arrived earlier than they expected, are as wanted.")</f>
        <v>Dr. Martins boots arrived earlier than they expected, are as wanted.</v>
      </c>
    </row>
    <row r="849">
      <c r="A849" s="1">
        <v>4.0</v>
      </c>
      <c r="B849" s="1" t="s">
        <v>844</v>
      </c>
      <c r="C849" t="str">
        <f>IFERROR(__xludf.DUMMYFUNCTION("GOOGLETRANSLATE(B849, ""es"", ""en"")"),"Works is very small and unobtrusive, and works very well")</f>
        <v>Works is very small and unobtrusive, and works very well</v>
      </c>
    </row>
    <row r="850">
      <c r="A850" s="1">
        <v>4.0</v>
      </c>
      <c r="B850" s="1" t="s">
        <v>845</v>
      </c>
      <c r="C850" t="str">
        <f>IFERROR(__xludf.DUMMYFUNCTION("GOOGLETRANSLATE(B850, ""es"", ""en"")"),"Very comfortable is the second pair of Merrell shoes I buy perfecto.Estoy forward and test them in their habitat which is the campo.Seguro I repeat.")</f>
        <v>Very comfortable is the second pair of Merrell shoes I buy perfecto.Estoy forward and test them in their habitat which is the campo.Seguro I repeat.</v>
      </c>
    </row>
    <row r="851">
      <c r="A851" s="1">
        <v>4.0</v>
      </c>
      <c r="B851" s="1" t="s">
        <v>846</v>
      </c>
      <c r="C851" t="str">
        <f>IFERROR(__xludf.DUMMYFUNCTION("GOOGLETRANSLATE(B851, ""es"", ""en"")"),"Beautiful but delicate. Well a year ago just because I bought for my girl and after one year I have to say are beautiful but pearls are finished taking off. So I hope they change their masters glue, because these opinions do not think that will help.")</f>
        <v>Beautiful but delicate. Well a year ago just because I bought for my girl and after one year I have to say are beautiful but pearls are finished taking off. So I hope they change their masters glue, because these opinions do not think that will help.</v>
      </c>
    </row>
    <row r="852">
      <c r="A852" s="1">
        <v>4.0</v>
      </c>
      <c r="B852" s="1" t="s">
        <v>847</v>
      </c>
      <c r="C852" t="str">
        <f>IFERROR(__xludf.DUMMYFUNCTION("GOOGLETRANSLATE(B852, ""es"", ""en"")"),"A modern classic was walking behind a G Shock that was not huge, and I encotré with this model is a classic, but updated inside (solar, radiocontrolado ...) at an unbeatable price. Defects ... the buttons are difficult to press, barely audible alarm, and "&amp;"timing depends largely on the location. Otherwise it's a great watch.")</f>
        <v>A modern classic was walking behind a G Shock that was not huge, and I encotré with this model is a classic, but updated inside (solar, radiocontrolado ...) at an unbeatable price. Defects ... the buttons are difficult to press, barely audible alarm, and timing depends largely on the location. Otherwise it's a great watch.</v>
      </c>
    </row>
    <row r="853">
      <c r="A853" s="1">
        <v>5.0</v>
      </c>
      <c r="B853" s="1" t="s">
        <v>848</v>
      </c>
      <c r="C853" t="str">
        <f>IFERROR(__xludf.DUMMYFUNCTION("GOOGLETRANSLATE(B853, ""es"", ""en"")"),"The perfect item perfect for organizing your gaming table, the cables are super good and very cheap gathered recommend it.")</f>
        <v>The perfect item perfect for organizing your gaming table, the cables are super good and very cheap gathered recommend it.</v>
      </c>
    </row>
    <row r="854">
      <c r="A854" s="1">
        <v>5.0</v>
      </c>
      <c r="B854" s="1" t="s">
        <v>849</v>
      </c>
      <c r="C854" t="str">
        <f>IFERROR(__xludf.DUMMYFUNCTION("GOOGLETRANSLATE(B854, ""es"", ""en"")"),"Delivery casio watch the indicated date and correct operation of the clock.")</f>
        <v>Delivery casio watch the indicated date and correct operation of the clock.</v>
      </c>
    </row>
    <row r="855">
      <c r="A855" s="1">
        <v>5.0</v>
      </c>
      <c r="B855" s="1" t="s">
        <v>850</v>
      </c>
      <c r="C855" t="str">
        <f>IFERROR(__xludf.DUMMYFUNCTION("GOOGLETRANSLATE(B855, ""es"", ""en"")"),"👍 👍")</f>
        <v>👍 👍</v>
      </c>
    </row>
    <row r="856">
      <c r="A856" s="1">
        <v>5.0</v>
      </c>
      <c r="B856" s="1" t="s">
        <v>851</v>
      </c>
      <c r="C856" t="str">
        <f>IFERROR(__xludf.DUMMYFUNCTION("GOOGLETRANSLATE(B856, ""es"", ""en"")"),"Very useful! perfectly fulfills its function and when you want to change bag you just have to take everything out and then ordered! Perfect quality price!")</f>
        <v>Very useful! perfectly fulfills its function and when you want to change bag you just have to take everything out and then ordered! Perfect quality price!</v>
      </c>
    </row>
    <row r="857">
      <c r="A857" s="1">
        <v>5.0</v>
      </c>
      <c r="B857" s="1" t="s">
        <v>852</v>
      </c>
      <c r="C857" t="str">
        <f>IFERROR(__xludf.DUMMYFUNCTION("GOOGLETRANSLATE(B857, ""es"", ""en"")"),"Very comfortable very comfortable and cool")</f>
        <v>Very comfortable very comfortable and cool</v>
      </c>
    </row>
    <row r="858">
      <c r="A858" s="1">
        <v>5.0</v>
      </c>
      <c r="B858" s="1" t="s">
        <v>853</v>
      </c>
      <c r="C858" t="str">
        <f>IFERROR(__xludf.DUMMYFUNCTION("GOOGLETRANSLATE(B858, ""es"", ""en"")"),"Perfect perfect, super nice and well finished, was for a gift and really liked")</f>
        <v>Perfect perfect, super nice and well finished, was for a gift and really liked</v>
      </c>
    </row>
    <row r="859">
      <c r="A859" s="1">
        <v>5.0</v>
      </c>
      <c r="B859" s="1" t="s">
        <v>854</v>
      </c>
      <c r="C859" t="str">
        <f>IFERROR(__xludf.DUMMYFUNCTION("GOOGLETRANSLATE(B859, ""es"", ""en"")"),"easy to use me especially liked the quality, very good")</f>
        <v>easy to use me especially liked the quality, very good</v>
      </c>
    </row>
    <row r="860">
      <c r="A860" s="1">
        <v>5.0</v>
      </c>
      <c r="B860" s="1" t="s">
        <v>855</v>
      </c>
      <c r="C860" t="str">
        <f>IFERROR(__xludf.DUMMYFUNCTION("GOOGLETRANSLATE(B860, ""es"", ""en"")"),"Very comfortable and easy to use I use these products for some time to help muscles recover from training. It is a supplement that much recommended me the coaches and I finally decided to buy, because until now utiliba which gave me the club. I decided on"&amp;" this electrestimulador for the types of ""massage"" that allows and the number of electrodes that brings (6). I was surprised at the small size having the whole and especially how light is the device, which makes it very comfortable to take him to my pla"&amp;"ce of training. All components are well separated and sorted, so you can not miss it operational. In addition, a part of the instructions is Spanish, something for which I did not expect the truth. I've already used a few days in sessions of 15 minutes (p"&amp;"re-workout) and 30 minutes (post-workout) and I'm really quite happy. What I like best are perhaps the electrodes themselves and the adhesive have, they work really well. The quality of the product is according to the price of the same, it is not obviousl"&amp;"y professional quality, but for user level is the use you give me is more than enough.")</f>
        <v>Very comfortable and easy to use I use these products for some time to help muscles recover from training. It is a supplement that much recommended me the coaches and I finally decided to buy, because until now utiliba which gave me the club. I decided on this electrestimulador for the types of "massage" that allows and the number of electrodes that brings (6). I was surprised at the small size having the whole and especially how light is the device, which makes it very comfortable to take him to my place of training. All components are well separated and sorted, so you can not miss it operational. In addition, a part of the instructions is Spanish, something for which I did not expect the truth. I've already used a few days in sessions of 15 minutes (pre-workout) and 30 minutes (post-workout) and I'm really quite happy. What I like best are perhaps the electrodes themselves and the adhesive have, they work really well. The quality of the product is according to the price of the same, it is not obviously professional quality, but for user level is the use you give me is more than enough.</v>
      </c>
    </row>
    <row r="861">
      <c r="A861" s="1">
        <v>5.0</v>
      </c>
      <c r="B861" s="1" t="s">
        <v>856</v>
      </c>
      <c r="C861" t="str">
        <f>IFERROR(__xludf.DUMMYFUNCTION("GOOGLETRANSLATE(B861, ""es"", ""en"")"),"Better than I expected! Comfortable, but not enough, more durable than I thought. They're a couple of months that uses almost daily without any problems. There are already 5 years zapatods barefoot use. He was in love with the primereros 'Merrell Pace Glo"&amp;"ve' but because with each new model have been worse I chose to try a new and even cheaper brand and I'm so glad we did!")</f>
        <v>Better than I expected! Comfortable, but not enough, more durable than I thought. They're a couple of months that uses almost daily without any problems. There are already 5 years zapatods barefoot use. He was in love with the primereros 'Merrell Pace Glove' but because with each new model have been worse I chose to try a new and even cheaper brand and I'm so glad we did!</v>
      </c>
    </row>
    <row r="862">
      <c r="A862" s="1">
        <v>5.0</v>
      </c>
      <c r="B862" s="1" t="s">
        <v>857</v>
      </c>
      <c r="C862" t="str">
        <f>IFERROR(__xludf.DUMMYFUNCTION("GOOGLETRANSLATE(B862, ""es"", ""en"")"),"Good price | best quality | Name of the wrong product. Eye! The name of the product is wrong. There are two packages of 125 sheets, but a packet of 100 sheets, each sheet having 250 microns and is composed of two plastic sheets 125 microns, which can be s"&amp;"een in the description and photos of the product. Anyone could realize that it is an error of ""2 packs of 125"". I tested the product and the result was satisfactory.")</f>
        <v>Good price | best quality | Name of the wrong product. Eye! The name of the product is wrong. There are two packages of 125 sheets, but a packet of 100 sheets, each sheet having 250 microns and is composed of two plastic sheets 125 microns, which can be seen in the description and photos of the product. Anyone could realize that it is an error of "2 packs of 125". I tested the product and the result was satisfactory.</v>
      </c>
    </row>
    <row r="863">
      <c r="A863" s="1">
        <v>5.0</v>
      </c>
      <c r="B863" s="1" t="s">
        <v>858</v>
      </c>
      <c r="C863" t="str">
        <f>IFERROR(__xludf.DUMMYFUNCTION("GOOGLETRANSLATE(B863, ""es"", ""en"")"),"Magnificent Great design, excellent quality price.")</f>
        <v>Magnificent Great design, excellent quality price.</v>
      </c>
    </row>
    <row r="864">
      <c r="A864" s="1">
        <v>5.0</v>
      </c>
      <c r="B864" s="1" t="s">
        <v>859</v>
      </c>
      <c r="C864" t="str">
        <f>IFERROR(__xludf.DUMMYFUNCTION("GOOGLETRANSLATE(B864, ""es"", ""en"")"),"Perfect came well as I hoped I loved my son Thanks")</f>
        <v>Perfect came well as I hoped I loved my son Thanks</v>
      </c>
    </row>
    <row r="865">
      <c r="A865" s="1">
        <v>5.0</v>
      </c>
      <c r="B865" s="1" t="s">
        <v>860</v>
      </c>
      <c r="C865" t="str">
        <f>IFERROR(__xludf.DUMMYFUNCTION("GOOGLETRANSLATE(B865, ""es"", ""en"")"),"Fran Cabello seems good quality ... and I will tell you this later but looks good money. good quality materials")</f>
        <v>Fran Cabello seems good quality ... and I will tell you this later but looks good money. good quality materials</v>
      </c>
    </row>
    <row r="866">
      <c r="A866" s="1">
        <v>5.0</v>
      </c>
      <c r="B866" s="1" t="s">
        <v>861</v>
      </c>
      <c r="C866" t="str">
        <f>IFERROR(__xludf.DUMMYFUNCTION("GOOGLETRANSLATE(B866, ""es"", ""en"")"),"Just what I was looking he was looking for a watch better than the typical F91W and I decided on this because certain comments, certainly I am delighted with my choice and my big question was the size of the bracelet and is large enough for any wrist, oth"&amp;"erwise it is easy to use and watch as lead")</f>
        <v>Just what I was looking he was looking for a watch better than the typical F91W and I decided on this because certain comments, certainly I am delighted with my choice and my big question was the size of the bracelet and is large enough for any wrist, otherwise it is easy to use and watch as lead</v>
      </c>
    </row>
    <row r="867">
      <c r="A867" s="1">
        <v>5.0</v>
      </c>
      <c r="B867" s="1" t="s">
        <v>862</v>
      </c>
      <c r="C867" t="str">
        <f>IFERROR(__xludf.DUMMYFUNCTION("GOOGLETRANSLATE(B867, ""es"", ""en"")"),"Vac very good performance, good price, highly recommendable. Vacuums with good performance, quality and price, totally recommended, I bought one for a family member who tasted it and loved maneuverability button on and off very comfortable, no need to hol"&amp;"d it down for her performance as other models, spares economic and readily available, very pleased with the brand,")</f>
        <v>Vac very good performance, good price, highly recommendable. Vacuums with good performance, quality and price, totally recommended, I bought one for a family member who tasted it and loved maneuverability button on and off very comfortable, no need to hold it down for her performance as other models, spares economic and readily available, very pleased with the brand,</v>
      </c>
    </row>
    <row r="868">
      <c r="A868" s="1">
        <v>5.0</v>
      </c>
      <c r="B868" s="1" t="s">
        <v>863</v>
      </c>
      <c r="C868" t="str">
        <f>IFERROR(__xludf.DUMMYFUNCTION("GOOGLETRANSLATE(B868, ""es"", ""en"")"),"Perfect fast and good product very well all")</f>
        <v>Perfect fast and good product very well all</v>
      </c>
    </row>
    <row r="869">
      <c r="A869" s="1">
        <v>5.0</v>
      </c>
      <c r="B869" s="1" t="s">
        <v>864</v>
      </c>
      <c r="C869" t="str">
        <f>IFERROR(__xludf.DUMMYFUNCTION("GOOGLETRANSLATE(B869, ""es"", ""en"")"),"👍🏼 money is finite but very comfortable and fairly")</f>
        <v>👍🏼 money is finite but very comfortable and fairly</v>
      </c>
    </row>
    <row r="870">
      <c r="A870" s="1">
        <v>5.0</v>
      </c>
      <c r="B870" s="1" t="s">
        <v>865</v>
      </c>
      <c r="C870" t="str">
        <f>IFERROR(__xludf.DUMMYFUNCTION("GOOGLETRANSLATE(B870, ""es"", ""en"")"),"It is very good option as described. Very small and light. That if, being so small (not like other more bulky hard drives) gives the impression that it is not very durable, so you better protect it with a case or something similar. A Please do not need po"&amp;"wer other than the USB cable.")</f>
        <v>It is very good option as described. Very small and light. That if, being so small (not like other more bulky hard drives) gives the impression that it is not very durable, so you better protect it with a case or something similar. A Please do not need power other than the USB cable.</v>
      </c>
    </row>
    <row r="871">
      <c r="A871" s="1">
        <v>2.0</v>
      </c>
      <c r="B871" s="1" t="s">
        <v>866</v>
      </c>
      <c r="C871" t="str">
        <f>IFERROR(__xludf.DUMMYFUNCTION("GOOGLETRANSLATE(B871, ""es"", ""en"")"),"Regular practice purchase clock, although small sphere, typical for communion gift")</f>
        <v>Regular practice purchase clock, although small sphere, typical for communion gift</v>
      </c>
    </row>
    <row r="872">
      <c r="A872" s="1">
        <v>3.0</v>
      </c>
      <c r="B872" s="1" t="s">
        <v>867</v>
      </c>
      <c r="C872" t="str">
        <f>IFERROR(__xludf.DUMMYFUNCTION("GOOGLETRANSLATE(B872, ""es"", ""en"")"),"It is small, excellent attention to the Lo client I returned because it was very small, good for a teenager at school, but I can confirm that the service to the customer, was very diligent and was always present to solve and deal in record time change . S"&amp;"o I recommend it.")</f>
        <v>It is small, excellent attention to the Lo client I returned because it was very small, good for a teenager at school, but I can confirm that the service to the customer, was very diligent and was always present to solve and deal in record time change . So I recommend it.</v>
      </c>
    </row>
    <row r="873">
      <c r="A873" s="1">
        <v>1.0</v>
      </c>
      <c r="B873" s="1" t="s">
        <v>868</v>
      </c>
      <c r="C873" t="str">
        <f>IFERROR(__xludf.DUMMYFUNCTION("GOOGLETRANSLATE(B873, ""es"", ""en"")"),"AC Excessively expensive. Q I think this product is not worth the price q costs, it is fashionable that the price x")</f>
        <v>AC Excessively expensive. Q I think this product is not worth the price q costs, it is fashionable that the price x</v>
      </c>
    </row>
    <row r="874">
      <c r="A874" s="1">
        <v>1.0</v>
      </c>
      <c r="B874" s="1" t="s">
        <v>869</v>
      </c>
      <c r="C874" t="str">
        <f>IFERROR(__xludf.DUMMYFUNCTION("GOOGLETRANSLATE(B874, ""es"", ""en"")"),"Not recommended and dangerous I bought a early January and I liked it, but a week stopped working. I decided to give a second chance and asked for change. I got a replacement and it worked great so far, he returned to stop working the cable and as a surpr"&amp;"ise, to jump a spark plug of the plug and jumped leads. For lack of time, I passed me the repayment of the first, so I'll tell you in a second opinion as I went to the service to which I refer, which is about 600km from my home, so I guess I'll have to se"&amp;"nd it and bear the costs. I said: not recommended. During the months worked, great, but has not lasted a year, considering that in the summer months I have not used barely. I will tell me how it went with the official service in the second opinion that I "&amp;"am entitled to leave, because they are two identical products which I purchased.")</f>
        <v>Not recommended and dangerous I bought a early January and I liked it, but a week stopped working. I decided to give a second chance and asked for change. I got a replacement and it worked great so far, he returned to stop working the cable and as a surprise, to jump a spark plug of the plug and jumped leads. For lack of time, I passed me the repayment of the first, so I'll tell you in a second opinion as I went to the service to which I refer, which is about 600km from my home, so I guess I'll have to send it and bear the costs. I said: not recommended. During the months worked, great, but has not lasted a year, considering that in the summer months I have not used barely. I will tell me how it went with the official service in the second opinion that I am entitled to leave, because they are two identical products which I purchased.</v>
      </c>
    </row>
    <row r="875">
      <c r="A875" s="1">
        <v>4.0</v>
      </c>
      <c r="B875" s="1" t="s">
        <v>870</v>
      </c>
      <c r="C875" t="str">
        <f>IFERROR(__xludf.DUMMYFUNCTION("GOOGLETRANSLATE(B875, ""es"", ""en"")"),"The best accessories stretcher The stretcher is quite firm and perfectly fulfills its function.For that price can not ask for more. After months of use I am very happy and would buy. The hole to place the face is slightly narrower and the upholstery mater"&amp;"ial has seams very marked in the hollow by placing a soft cloth prevent be marked on the cheeks. For a non-professional use doing great.")</f>
        <v>The best accessories stretcher The stretcher is quite firm and perfectly fulfills its function.For that price can not ask for more. After months of use I am very happy and would buy. The hole to place the face is slightly narrower and the upholstery material has seams very marked in the hollow by placing a soft cloth prevent be marked on the cheeks. For a non-professional use doing great.</v>
      </c>
    </row>
    <row r="876">
      <c r="A876" s="1">
        <v>4.0</v>
      </c>
      <c r="B876" s="1" t="s">
        <v>871</v>
      </c>
      <c r="C876" t="str">
        <f>IFERROR(__xludf.DUMMYFUNCTION("GOOGLETRANSLATE(B876, ""es"", ""en"")"),"Good quality and design quality of the product is very good. The fabric is very soft and warm. Perhaps it's a bit long for my taste but it's a personal opinion. What it is not like me to leave the package to a neighbor without my asking.")</f>
        <v>Good quality and design quality of the product is very good. The fabric is very soft and warm. Perhaps it's a bit long for my taste but it's a personal opinion. What it is not like me to leave the package to a neighbor without my asking.</v>
      </c>
    </row>
    <row r="877">
      <c r="A877" s="1">
        <v>4.0</v>
      </c>
      <c r="B877" s="1" t="s">
        <v>872</v>
      </c>
      <c r="C877" t="str">
        <f>IFERROR(__xludf.DUMMYFUNCTION("GOOGLETRANSLATE(B877, ""es"", ""en"")"),"CASIO Collection MTD-1053D A good quartz watch although somewhat classic, water resist 200m, threaded crown box and stainless steel strap, the strap is 20mm. If I had a little more lumen needles and dial needles and more modern with more contrast type (pl"&amp;"ongeur) still like me. Good buy from my point of view.")</f>
        <v>CASIO Collection MTD-1053D A good quartz watch although somewhat classic, water resist 200m, threaded crown box and stainless steel strap, the strap is 20mm. If I had a little more lumen needles and dial needles and more modern with more contrast type (plongeur) still like me. Good buy from my point of view.</v>
      </c>
    </row>
    <row r="878">
      <c r="A878" s="1">
        <v>4.0</v>
      </c>
      <c r="B878" s="1" t="s">
        <v>873</v>
      </c>
      <c r="C878" t="str">
        <f>IFERROR(__xludf.DUMMYFUNCTION("GOOGLETRANSLATE(B878, ""es"", ""en"")"),"Compact Yes, what I was looking for a while and I will perfect, with good ,, apdactavilidad. Contento.gracias")</f>
        <v>Compact Yes, what I was looking for a while and I will perfect, with good ,, apdactavilidad. Contento.gracias</v>
      </c>
    </row>
    <row r="879">
      <c r="A879" s="1">
        <v>5.0</v>
      </c>
      <c r="B879" s="1" t="s">
        <v>874</v>
      </c>
      <c r="C879" t="str">
        <f>IFERROR(__xludf.DUMMYFUNCTION("GOOGLETRANSLATE(B879, ""es"", ""en"")"),"Very happy after a week of use, I can highlight the following: -Quality very good for its price: battery that has surprised me. I lasted 3-4 days using it about 4-5 hours. -Materials very accomplished. You -connectivity very fast Very comfortable and adap"&amp;"table Perhaps somewhat disappointed with the cancellation of sound. -Microphone is loose Listen In short, if you are looking for a cheap bluetooth helmets only for listening to music or playing games are perfect, but if you're about to communicate or soun"&amp;"d insulation may have to choose another option. In my case, very happy.")</f>
        <v>Very happy after a week of use, I can highlight the following: -Quality very good for its price: battery that has surprised me. I lasted 3-4 days using it about 4-5 hours. -Materials very accomplished. You -connectivity very fast Very comfortable and adaptable Perhaps somewhat disappointed with the cancellation of sound. -Microphone is loose Listen In short, if you are looking for a cheap bluetooth helmets only for listening to music or playing games are perfect, but if you're about to communicate or sound insulation may have to choose another option. In my case, very happy.</v>
      </c>
    </row>
    <row r="880">
      <c r="A880" s="1">
        <v>5.0</v>
      </c>
      <c r="B880" s="1" t="s">
        <v>875</v>
      </c>
      <c r="C880" t="str">
        <f>IFERROR(__xludf.DUMMYFUNCTION("GOOGLETRANSLATE(B880, ""es"", ""en"")"),"Article 5 stars After a long time a bit uncomfortable but perfect battery and sound. An article five star")</f>
        <v>Article 5 stars After a long time a bit uncomfortable but perfect battery and sound. An article five star</v>
      </c>
    </row>
    <row r="881">
      <c r="A881" s="1">
        <v>5.0</v>
      </c>
      <c r="B881" s="1" t="s">
        <v>876</v>
      </c>
      <c r="C881" t="str">
        <f>IFERROR(__xludf.DUMMYFUNCTION("GOOGLETRANSLATE(B881, ""es"", ""en"")"),"Comfortable from the first use original box. Received earlier than expected. The size corresponds perfectly. Super comfortable from the first use ♡")</f>
        <v>Comfortable from the first use original box. Received earlier than expected. The size corresponds perfectly. Super comfortable from the first use ♡</v>
      </c>
    </row>
    <row r="882">
      <c r="A882" s="1">
        <v>5.0</v>
      </c>
      <c r="B882" s="1" t="s">
        <v>877</v>
      </c>
      <c r="C882" t="str">
        <f>IFERROR(__xludf.DUMMYFUNCTION("GOOGLETRANSLATE(B882, ""es"", ""en"")"),"I love good buy and I are very comfortable")</f>
        <v>I love good buy and I are very comfortable</v>
      </c>
    </row>
    <row r="883">
      <c r="A883" s="1">
        <v>5.0</v>
      </c>
      <c r="B883" s="1" t="s">
        <v>878</v>
      </c>
      <c r="C883" t="str">
        <f>IFERROR(__xludf.DUMMYFUNCTION("GOOGLETRANSLATE(B883, ""es"", ""en"")"),"Perfect Savage Sweatshirt")</f>
        <v>Perfect Savage Sweatshirt</v>
      </c>
    </row>
    <row r="884">
      <c r="A884" s="1">
        <v>5.0</v>
      </c>
      <c r="B884" s="1" t="s">
        <v>879</v>
      </c>
      <c r="C884" t="str">
        <f>IFERROR(__xludf.DUMMYFUNCTION("GOOGLETRANSLATE(B884, ""es"", ""en"")"),"Very good Your presentation is mu good, it comes in a box round with tiny zipper cute, good quality and presence, headphones itself the most important thing I should mention is that they have a great sound quality, at least to my ears go excellent, plus I"&amp;" really removes background noise and that my children have always arming noise, I was going very well and fit beautifully with extra pillows they bring, can put the best ase suit your ears. Bluetooth connection is excellent, high quality and plugged in a "&amp;"few second, so it is satisfied, since he had so far took forever to connect and to reuse. Another thing I like their adaptaroes that go behind the ears do not fall, the truth this subject is highly recommended because the others are always dropping like y"&amp;"ou do not fit perfectly. Totally recommended purchase.")</f>
        <v>Very good Your presentation is mu good, it comes in a box round with tiny zipper cute, good quality and presence, headphones itself the most important thing I should mention is that they have a great sound quality, at least to my ears go excellent, plus I really removes background noise and that my children have always arming noise, I was going very well and fit beautifully with extra pillows they bring, can put the best ase suit your ears. Bluetooth connection is excellent, high quality and plugged in a few second, so it is satisfied, since he had so far took forever to connect and to reuse. Another thing I like their adaptaroes that go behind the ears do not fall, the truth this subject is highly recommended because the others are always dropping like you do not fit perfectly. Totally recommended purchase.</v>
      </c>
    </row>
    <row r="885">
      <c r="A885" s="1">
        <v>5.0</v>
      </c>
      <c r="B885" s="1" t="s">
        <v>880</v>
      </c>
      <c r="C885" t="str">
        <f>IFERROR(__xludf.DUMMYFUNCTION("GOOGLETRANSLATE(B885, ""es"", ""en"")"),"All content as described")</f>
        <v>All content as described</v>
      </c>
    </row>
    <row r="886">
      <c r="A886" s="1">
        <v>5.0</v>
      </c>
      <c r="B886" s="1" t="s">
        <v>881</v>
      </c>
      <c r="C886" t="str">
        <f>IFERROR(__xludf.DUMMYFUNCTION("GOOGLETRANSLATE(B886, ""es"", ""en"")"),"Very very good. Are comfortable to touch, not press with excessive ear (others have had if they did and proved annoying after a while). The sound is crisp. The cable is strong and robust. The application for tablet bq edison 3 delivers the digital dolby s"&amp;"ound. It is spectacular and even more, if possible, for less than 11 €. Highly recommended. The Amazon service, as always, great.")</f>
        <v>Very very good. Are comfortable to touch, not press with excessive ear (others have had if they did and proved annoying after a while). The sound is crisp. The cable is strong and robust. The application for tablet bq edison 3 delivers the digital dolby sound. It is spectacular and even more, if possible, for less than 11 €. Highly recommended. The Amazon service, as always, great.</v>
      </c>
    </row>
    <row r="887">
      <c r="A887" s="1">
        <v>5.0</v>
      </c>
      <c r="B887" s="1" t="s">
        <v>882</v>
      </c>
      <c r="C887" t="str">
        <f>IFERROR(__xludf.DUMMYFUNCTION("GOOGLETRANSLATE(B887, ""es"", ""en"")"),"Such perfect which I advertised it has been great.")</f>
        <v>Such perfect which I advertised it has been great.</v>
      </c>
    </row>
    <row r="888">
      <c r="A888" s="1">
        <v>5.0</v>
      </c>
      <c r="B888" s="1" t="s">
        <v>883</v>
      </c>
      <c r="C888" t="str">
        <f>IFERROR(__xludf.DUMMYFUNCTION("GOOGLETRANSLATE(B888, ""es"", ""en"")"),"A great craftsmanship. They are perfect and of high quality.")</f>
        <v>A great craftsmanship. They are perfect and of high quality.</v>
      </c>
    </row>
    <row r="889">
      <c r="A889" s="1">
        <v>5.0</v>
      </c>
      <c r="B889" s="1" t="s">
        <v>884</v>
      </c>
      <c r="C889" t="str">
        <f>IFERROR(__xludf.DUMMYFUNCTION("GOOGLETRANSLATE(B889, ""es"", ""en"")"),"Escelente Very good")</f>
        <v>Escelente Very good</v>
      </c>
    </row>
    <row r="890">
      <c r="A890" s="1">
        <v>5.0</v>
      </c>
      <c r="B890" s="1" t="s">
        <v>885</v>
      </c>
      <c r="C890" t="str">
        <f>IFERROR(__xludf.DUMMYFUNCTION("GOOGLETRANSLATE(B890, ""es"", ""en"")"),"Cheap and easy to plug the IN to the OUT of my EDRUM and USB to the PC. I recognized instantly. Then I got the dtxmania and drumear;)")</f>
        <v>Cheap and easy to plug the IN to the OUT of my EDRUM and USB to the PC. I recognized instantly. Then I got the dtxmania and drumear;)</v>
      </c>
    </row>
    <row r="891">
      <c r="A891" s="1">
        <v>5.0</v>
      </c>
      <c r="B891" s="1" t="s">
        <v>886</v>
      </c>
      <c r="C891" t="str">
        <f>IFERROR(__xludf.DUMMYFUNCTION("GOOGLETRANSLATE(B891, ""es"", ""en"")"),"Very useful and original To motivate children is perfect love")</f>
        <v>Very useful and original To motivate children is perfect love</v>
      </c>
    </row>
    <row r="892">
      <c r="A892" s="1">
        <v>5.0</v>
      </c>
      <c r="B892" s="1" t="s">
        <v>887</v>
      </c>
      <c r="C892" t="str">
        <f>IFERROR(__xludf.DUMMYFUNCTION("GOOGLETRANSLATE(B892, ""es"", ""en"")"),"Best Possibly the best technical shirt that I purchased. Tight to the body meets perfectly with what is expected of her. It does not produce scratches and sweat away completely from the inside of the shirt.")</f>
        <v>Best Possibly the best technical shirt that I purchased. Tight to the body meets perfectly with what is expected of her. It does not produce scratches and sweat away completely from the inside of the shirt.</v>
      </c>
    </row>
    <row r="893">
      <c r="A893" s="1">
        <v>5.0</v>
      </c>
      <c r="B893" s="1" t="s">
        <v>888</v>
      </c>
      <c r="C893" t="str">
        <f>IFERROR(__xludf.DUMMYFUNCTION("GOOGLETRANSLATE(B893, ""es"", ""en"")"),"Buy satisfactorily with the teat on properly, it is perfect, not catch air, not choking, suction-like chest. Microwaveable. excellent quality. The best I've had.")</f>
        <v>Buy satisfactorily with the teat on properly, it is perfect, not catch air, not choking, suction-like chest. Microwaveable. excellent quality. The best I've had.</v>
      </c>
    </row>
    <row r="894">
      <c r="A894" s="1">
        <v>5.0</v>
      </c>
      <c r="B894" s="1" t="s">
        <v>889</v>
      </c>
      <c r="C894" t="str">
        <f>IFERROR(__xludf.DUMMYFUNCTION("GOOGLETRANSLATE(B894, ""es"", ""en"")"),"Perfect! It is perfect and is well insulated from the ground.")</f>
        <v>Perfect! It is perfect and is well insulated from the ground.</v>
      </c>
    </row>
    <row r="895">
      <c r="A895" s="1">
        <v>5.0</v>
      </c>
      <c r="B895" s="1" t="s">
        <v>890</v>
      </c>
      <c r="C895" t="str">
        <f>IFERROR(__xludf.DUMMYFUNCTION("GOOGLETRANSLATE(B895, ""es"", ""en"")"),"GOOD TOSTADORA Tuesta very well, being one long groove is wider and fits all types of bread. Toasting not uniform everything, but I think it is the kind of bread that have been roasting. aesthetics is nice. Fulfills its function correctly")</f>
        <v>GOOD TOSTADORA Tuesta very well, being one long groove is wider and fits all types of bread. Toasting not uniform everything, but I think it is the kind of bread that have been roasting. aesthetics is nice. Fulfills its function correctly</v>
      </c>
    </row>
    <row r="896">
      <c r="A896" s="1">
        <v>5.0</v>
      </c>
      <c r="B896" s="1" t="s">
        <v>891</v>
      </c>
      <c r="C896" t="str">
        <f>IFERROR(__xludf.DUMMYFUNCTION("GOOGLETRANSLATE(B896, ""es"", ""en"")"),"Perfect! It looks smart and works well. After four months of use it still looks like new. I love the magnetic function of it too! Highly recommended! 5/5 stars!")</f>
        <v>Perfect! It looks smart and works well. After four months of use it still looks like new. I love the magnetic function of it too! Highly recommended! 5/5 stars!</v>
      </c>
    </row>
    <row r="897">
      <c r="A897" s="1">
        <v>5.0</v>
      </c>
      <c r="B897" s="1" t="s">
        <v>892</v>
      </c>
      <c r="C897" t="str">
        <f>IFERROR(__xludf.DUMMYFUNCTION("GOOGLETRANSLATE(B897, ""es"", ""en"")"),"everything perfect are ideal for working, comfortable and Práticos. I love.")</f>
        <v>everything perfect are ideal for working, comfortable and Práticos. I love.</v>
      </c>
    </row>
    <row r="898">
      <c r="A898" s="1">
        <v>2.0</v>
      </c>
      <c r="B898" s="1" t="s">
        <v>893</v>
      </c>
      <c r="C898" t="str">
        <f>IFERROR(__xludf.DUMMYFUNCTION("GOOGLETRANSLATE(B898, ""es"", ""en"")"),"Two weeks later arrived I not am expecting much for the price, but really surprised me the bracelet, it's very nice, but has come two weeks later than it was scheduled.")</f>
        <v>Two weeks later arrived I not am expecting much for the price, but really surprised me the bracelet, it's very nice, but has come two weeks later than it was scheduled.</v>
      </c>
    </row>
    <row r="899">
      <c r="A899" s="1">
        <v>3.0</v>
      </c>
      <c r="B899" s="1" t="s">
        <v>894</v>
      </c>
      <c r="C899" t="str">
        <f>IFERROR(__xludf.DUMMYFUNCTION("GOOGLETRANSLATE(B899, ""es"", ""en"")"),"Consumed to the last drop of toothpaste Very useful. Spends the last drop of toothpaste. The only thing against it is that it is very uncomfortable for the way he has, if flat would be much better")</f>
        <v>Consumed to the last drop of toothpaste Very useful. Spends the last drop of toothpaste. The only thing against it is that it is very uncomfortable for the way he has, if flat would be much better</v>
      </c>
    </row>
    <row r="900">
      <c r="A900" s="1">
        <v>3.0</v>
      </c>
      <c r="B900" s="1" t="s">
        <v>895</v>
      </c>
      <c r="C900" t="str">
        <f>IFERROR(__xludf.DUMMYFUNCTION("GOOGLETRANSLATE(B900, ""es"", ""en"")"),"I like In a previous post I explained that I came with a small scratch on the glass and now use, I realize that their performance leaves much to be desired, outrageous is delayed. In short I would say that the results seen in my future purchases I'll thin"&amp;"k twice before making them hereby.")</f>
        <v>I like In a previous post I explained that I came with a small scratch on the glass and now use, I realize that their performance leaves much to be desired, outrageous is delayed. In short I would say that the results seen in my future purchases I'll think twice before making them hereby.</v>
      </c>
    </row>
    <row r="901">
      <c r="A901" s="1">
        <v>1.0</v>
      </c>
      <c r="B901" s="1" t="s">
        <v>896</v>
      </c>
      <c r="C901" t="str">
        <f>IFERROR(__xludf.DUMMYFUNCTION("GOOGLETRANSLATE(B901, ""es"", ""en"")"),"Specifications and features puts erroneous 60w and 50w have. Washable and put on the label puts not be washed or dry or wet. I have plugged the maximum 30 minutes and heats up very little. I have returned")</f>
        <v>Specifications and features puts erroneous 60w and 50w have. Washable and put on the label puts not be washed or dry or wet. I have plugged the maximum 30 minutes and heats up very little. I have returned</v>
      </c>
    </row>
    <row r="902">
      <c r="A902" s="1">
        <v>1.0</v>
      </c>
      <c r="B902" s="1" t="s">
        <v>897</v>
      </c>
      <c r="C902" t="str">
        <f>IFERROR(__xludf.DUMMYFUNCTION("GOOGLETRANSLATE(B902, ""es"", ""en"")"),"Without its original box without label seemed no original copies ... You have to ask for a number less that are great, they are great! and are very comfortable ... The way I came not guato me anything, I return ... I almost came in a white box, not in its"&amp;" original packaging without labels and without black laces that brings this model. By Amazon really bad ... I think for me the next place an order.")</f>
        <v>Without its original box without label seemed no original copies ... You have to ask for a number less that are great, they are great! and are very comfortable ... The way I came not guato me anything, I return ... I almost came in a white box, not in its original packaging without labels and without black laces that brings this model. By Amazon really bad ... I think for me the next place an order.</v>
      </c>
    </row>
    <row r="903">
      <c r="A903" s="1">
        <v>4.0</v>
      </c>
      <c r="B903" s="1" t="s">
        <v>898</v>
      </c>
      <c r="C903" t="str">
        <f>IFERROR(__xludf.DUMMYFUNCTION("GOOGLETRANSLATE(B903, ""es"", ""en"")"),"Casio Edifice The best thing about this watch for me is the relationship precio.Creo I did a good quality compra.Es better than the picture.")</f>
        <v>Casio Edifice The best thing about this watch for me is the relationship precio.Creo I did a good quality compra.Es better than the picture.</v>
      </c>
    </row>
    <row r="904">
      <c r="A904" s="1">
        <v>4.0</v>
      </c>
      <c r="B904" s="1" t="s">
        <v>899</v>
      </c>
      <c r="C904" t="str">
        <f>IFERROR(__xludf.DUMMYFUNCTION("GOOGLETRANSLATE(B904, ""es"", ""en"")"),"My most honest rewiev already have several microphones virtually the same price range. I saw many other analyzes on the Internet and decided to venture to try this microphone. My main goal is the creation of small projects, models and music-related videos"&amp;". I'm not going to cheat the microphone itself is not professional is the audio quality is not like a high quality production or professional now also say that in relation to money so we are paying for would say if he could 10. Regarding give a comparison"&amp;" with other microphones this Neewer itself is well built that look attractive even for my little taste. Regarding the audio highlight a little more treble having more brightness and sharpness than other mics I have of the same range even prices that this "&amp;"difference would say it is very discreet without highlight for everything even higher if it is true that I've noticed with more quality (nor can we pears ask elm and by that I mean the price and what we buy for that price) on the bass almost absent and if"&amp;" we put more profit that on pass about 45% will begin to distort something sounds other microphones around 35% profit and I began to distort (why I say there is a difference but very discreet concerning other microphones the same price range). On the over"&amp;"all audio quality for music recordings with some improvement program and audio editing you can be made many improvements never even comparable to a professional production yes even sound recordings with something decent. Regarding the other components exc"&amp;"ept simple but meet anti pop think it's better standing with a kind of arm is loose instead of this it brings. My final conclusion is that expected more quality or maybe it was something bigger even than for what it costs remains an option to value for ma"&amp;"ny who do not want to invest too much in hobbies or things that by the time talking directly to us not leave ie money for hobbies and hobbies. If you have other microphones of the same rank you think this has more brightness and sharpness with little or n"&amp;"o response to even notes or record that this difference is very small even it shows. If instead you have no microphone and you planning to have one for hobbies and produce some things without investing too much paste this may be your microphone if you are"&amp;" looking for professionalism otherwise sound you record good response, treble, gain sharpness etc. Then automatically rule out this microphone and probably all that is below 70-80 € (pulling him short) rather begin to look from € 100 onwards for more prof"&amp;"essional microphones. The last thing is that this microphone requires 48V if not I would consider not buying it. Greetings to the community and hope to serve you. I for now I'll stay with this until the day you want to invest in something much bigger.")</f>
        <v>My most honest rewiev already have several microphones virtually the same price range. I saw many other analyzes on the Internet and decided to venture to try this microphone. My main goal is the creation of small projects, models and music-related videos. I'm not going to cheat the microphone itself is not professional is the audio quality is not like a high quality production or professional now also say that in relation to money so we are paying for would say if he could 10. Regarding give a comparison with other microphones this Neewer itself is well built that look attractive even for my little taste. Regarding the audio highlight a little more treble having more brightness and sharpness than other mics I have of the same range even prices that this difference would say it is very discreet without highlight for everything even higher if it is true that I've noticed with more quality (nor can we pears ask elm and by that I mean the price and what we buy for that price) on the bass almost absent and if we put more profit that on pass about 45% will begin to distort something sounds other microphones around 35% profit and I began to distort (why I say there is a difference but very discreet concerning other microphones the same price range). On the overall audio quality for music recordings with some improvement program and audio editing you can be made many improvements never even comparable to a professional production yes even sound recordings with something decent. Regarding the other components except simple but meet anti pop think it's better standing with a kind of arm is loose instead of this it brings. My final conclusion is that expected more quality or maybe it was something bigger even than for what it costs remains an option to value for many who do not want to invest too much in hobbies or things that by the time talking directly to us not leave ie money for hobbies and hobbies. If you have other microphones of the same rank you think this has more brightness and sharpness with little or no response to even notes or record that this difference is very small even it shows. If instead you have no microphone and you planning to have one for hobbies and produce some things without investing too much paste this may be your microphone if you are looking for professionalism otherwise sound you record good response, treble, gain sharpness etc. Then automatically rule out this microphone and probably all that is below 70-80 € (pulling him short) rather begin to look from € 100 onwards for more professional microphones. The last thing is that this microphone requires 48V if not I would consider not buying it. Greetings to the community and hope to serve you. I for now I'll stay with this until the day you want to invest in something much bigger.</v>
      </c>
    </row>
    <row r="905">
      <c r="A905" s="1">
        <v>4.0</v>
      </c>
      <c r="B905" s="1" t="s">
        <v>900</v>
      </c>
      <c r="C905" t="str">
        <f>IFERROR(__xludf.DUMMYFUNCTION("GOOGLETRANSLATE(B905, ""es"", ""en"")"),"Nice print but darker in color photo The print is very nice and well done. The color is darker still stone gray instead of white but Digue liking. The quality than expected and Lycra are hot and quite thick. They were very delayed in delivery and responde"&amp;"d immediately offering me new ones. It was not necessary because they arrived two days later of the claim. Good buy at that price")</f>
        <v>Nice print but darker in color photo The print is very nice and well done. The color is darker still stone gray instead of white but Digue liking. The quality than expected and Lycra are hot and quite thick. They were very delayed in delivery and responded immediately offering me new ones. It was not necessary because they arrived two days later of the claim. Good buy at that price</v>
      </c>
    </row>
    <row r="906">
      <c r="A906" s="1">
        <v>4.0</v>
      </c>
      <c r="B906" s="1" t="s">
        <v>901</v>
      </c>
      <c r="C906" t="str">
        <f>IFERROR(__xludf.DUMMYFUNCTION("GOOGLETRANSLATE(B906, ""es"", ""en"")"),"Chusa cool sneakers for walking and everyday. Very comfortable and very good quality at a bargain price. The only downside is that they come big. I use a 38 and I still have a little big. I'll ask the next couple of one size smaller. For the rest, all ter"&amp;"rific.")</f>
        <v>Chusa cool sneakers for walking and everyday. Very comfortable and very good quality at a bargain price. The only downside is that they come big. I use a 38 and I still have a little big. I'll ask the next couple of one size smaller. For the rest, all terrific.</v>
      </c>
    </row>
    <row r="907">
      <c r="A907" s="1">
        <v>4.0</v>
      </c>
      <c r="B907" s="1" t="s">
        <v>902</v>
      </c>
      <c r="C907" t="str">
        <f>IFERROR(__xludf.DUMMYFUNCTION("GOOGLETRANSLATE(B907, ""es"", ""en"")"),"Extraordinary rigidity. They are larger than usual for a number 47. The adjustable straps are somewhat short on abrocharlas.")</f>
        <v>Extraordinary rigidity. They are larger than usual for a number 47. The adjustable straps are somewhat short on abrocharlas.</v>
      </c>
    </row>
    <row r="908">
      <c r="A908" s="1">
        <v>5.0</v>
      </c>
      <c r="B908" s="1" t="s">
        <v>903</v>
      </c>
      <c r="C908" t="str">
        <f>IFERROR(__xludf.DUMMYFUNCTION("GOOGLETRANSLATE(B908, ""es"", ""en"")"),"Children's right to use This is a school scissors APLI brand. They are tiny, 13 centimeters long. They are made of stainless steel and finger rings are made of plastic in red orange and yellow colors. Ergonomically they shaped, so they are quite comfortab"&amp;"le to use without a lis kids bother fingers. Obviously such as scissors school tips are rounded to avoid or minimize possible accidents. The truth is that for the price they are more than adequate.")</f>
        <v>Children's right to use This is a school scissors APLI brand. They are tiny, 13 centimeters long. They are made of stainless steel and finger rings are made of plastic in red orange and yellow colors. Ergonomically they shaped, so they are quite comfortable to use without a lis kids bother fingers. Obviously such as scissors school tips are rounded to avoid or minimize possible accidents. The truth is that for the price they are more than adequate.</v>
      </c>
    </row>
    <row r="909">
      <c r="A909" s="1">
        <v>5.0</v>
      </c>
      <c r="B909" s="1" t="s">
        <v>904</v>
      </c>
      <c r="C909" t="str">
        <f>IFERROR(__xludf.DUMMYFUNCTION("GOOGLETRANSLATE(B909, ""es"", ""en"")"),"comfortable and with good sound The truth is that me surprised their quality as well as having a great sound well insulated from the outside and so poedes enjoy more of the music are also very comfortable that besides stretching earmuffs can be moved adap"&amp;"ting much better to your head")</f>
        <v>comfortable and with good sound The truth is that me surprised their quality as well as having a great sound well insulated from the outside and so poedes enjoy more of the music are also very comfortable that besides stretching earmuffs can be moved adapting much better to your head</v>
      </c>
    </row>
    <row r="910">
      <c r="A910" s="1">
        <v>5.0</v>
      </c>
      <c r="B910" s="1" t="s">
        <v>905</v>
      </c>
      <c r="C910" t="str">
        <f>IFERROR(__xludf.DUMMYFUNCTION("GOOGLETRANSLATE(B910, ""es"", ""en"")"),"Very thin but looks tough. timely delivery Good value, not easy to find long silver chains. Have delivered on time, it comes in a box with good presentation")</f>
        <v>Very thin but looks tough. timely delivery Good value, not easy to find long silver chains. Have delivered on time, it comes in a box with good presentation</v>
      </c>
    </row>
    <row r="911">
      <c r="A911" s="1">
        <v>5.0</v>
      </c>
      <c r="B911" s="1" t="s">
        <v>906</v>
      </c>
      <c r="C911" t="str">
        <f>IFERROR(__xludf.DUMMYFUNCTION("GOOGLETRANSLATE(B911, ""es"", ""en"")"),"Practice is very practical and do minimal effort with hands")</f>
        <v>Practice is very practical and do minimal effort with hands</v>
      </c>
    </row>
    <row r="912">
      <c r="A912" s="1">
        <v>5.0</v>
      </c>
      <c r="B912" s="1" t="s">
        <v>907</v>
      </c>
      <c r="C912" t="str">
        <f>IFERROR(__xludf.DUMMYFUNCTION("GOOGLETRANSLATE(B912, ""es"", ""en"")"),"Perfect and especially the help of vendor Everything perfect truth came estopeado hitch 1 microphone, worked perfectly, yet it communicates to the seller and another completely free and fast sent me, stunning really very grateful and recommended to 100% t"&amp;"hey are not a large microphones but solve the papelete having 2 to 1, and listen good quality / price.")</f>
        <v>Perfect and especially the help of vendor Everything perfect truth came estopeado hitch 1 microphone, worked perfectly, yet it communicates to the seller and another completely free and fast sent me, stunning really very grateful and recommended to 100% they are not a large microphones but solve the papelete having 2 to 1, and listen good quality / price.</v>
      </c>
    </row>
    <row r="913">
      <c r="A913" s="1">
        <v>5.0</v>
      </c>
      <c r="B913" s="1" t="s">
        <v>908</v>
      </c>
      <c r="C913" t="str">
        <f>IFERROR(__xludf.DUMMYFUNCTION("GOOGLETRANSLATE(B913, ""es"", ""en"")"),"Perfect moment works great and is very easy to clean. I can not ask for more for what I paid. Good buy.")</f>
        <v>Perfect moment works great and is very easy to clean. I can not ask for more for what I paid. Good buy.</v>
      </c>
    </row>
    <row r="914">
      <c r="A914" s="1">
        <v>5.0</v>
      </c>
      <c r="B914" s="1" t="s">
        <v>909</v>
      </c>
      <c r="C914" t="str">
        <f>IFERROR(__xludf.DUMMYFUNCTION("GOOGLETRANSLATE(B914, ""es"", ""en"")"),"Elegant, discreet and economical excellent quality at good price. Casio never disappoints")</f>
        <v>Elegant, discreet and economical excellent quality at good price. Casio never disappoints</v>
      </c>
    </row>
    <row r="915">
      <c r="A915" s="1">
        <v>5.0</v>
      </c>
      <c r="B915" s="1" t="s">
        <v>910</v>
      </c>
      <c r="C915" t="str">
        <f>IFERROR(__xludf.DUMMYFUNCTION("GOOGLETRANSLATE(B915, ""es"", ""en"")"),"A very affordable price for an accessory that I think is worth having at home is a good accessory to have in the kitchen and although I do not use it every day I'm satisfied with the results must say that I am not a professional but given use more homespu"&amp;"n")</f>
        <v>A very affordable price for an accessory that I think is worth having at home is a good accessory to have in the kitchen and although I do not use it every day I'm satisfied with the results must say that I am not a professional but given use more homespun</v>
      </c>
    </row>
    <row r="916">
      <c r="A916" s="1">
        <v>5.0</v>
      </c>
      <c r="B916" s="1" t="s">
        <v>911</v>
      </c>
      <c r="C916" t="str">
        <f>IFERROR(__xludf.DUMMYFUNCTION("GOOGLETRANSLATE(B916, ""es"", ""en"")"),"Hunter Boots Comfort")</f>
        <v>Hunter Boots Comfort</v>
      </c>
    </row>
    <row r="917">
      <c r="A917" s="1">
        <v>5.0</v>
      </c>
      <c r="B917" s="1" t="s">
        <v>912</v>
      </c>
      <c r="C917" t="str">
        <f>IFERROR(__xludf.DUMMYFUNCTION("GOOGLETRANSLATE(B917, ""es"", ""en"")"),"I love'm happy with my reebok, comfortable, and freestyle design noventero reminds me of my adolescence, come to have a Blanas, and wanted to have some black.")</f>
        <v>I love'm happy with my reebok, comfortable, and freestyle design noventero reminds me of my adolescence, come to have a Blanas, and wanted to have some black.</v>
      </c>
    </row>
    <row r="918">
      <c r="A918" s="1">
        <v>5.0</v>
      </c>
      <c r="B918" s="1" t="s">
        <v>913</v>
      </c>
      <c r="C918" t="str">
        <f>IFERROR(__xludf.DUMMYFUNCTION("GOOGLETRANSLATE(B918, ""es"", ""en"")"),"Very practical sound great. What I like most is that the battery lasts long and can use the carrying case as a charger for mobile ...")</f>
        <v>Very practical sound great. What I like most is that the battery lasts long and can use the carrying case as a charger for mobile ...</v>
      </c>
    </row>
    <row r="919">
      <c r="A919" s="1">
        <v>5.0</v>
      </c>
      <c r="B919" s="1" t="s">
        <v>914</v>
      </c>
      <c r="C919" t="str">
        <f>IFERROR(__xludf.DUMMYFUNCTION("GOOGLETRANSLATE(B919, ""es"", ""en"")"),"Comfortable and sound clarity I bought these headphones because I'm tired of that I wrap the cord of the headphones are not wireless. Is very comfortable carry, adapt well to the ear and as I said, the fact that no wires is genial.Se hear quite well. The "&amp;"design is very nice overall I'm happy with everything so totally recommend it for the price they are worth.")</f>
        <v>Comfortable and sound clarity I bought these headphones because I'm tired of that I wrap the cord of the headphones are not wireless. Is very comfortable carry, adapt well to the ear and as I said, the fact that no wires is genial.Se hear quite well. The design is very nice overall I'm happy with everything so totally recommend it for the price they are worth.</v>
      </c>
    </row>
    <row r="920">
      <c r="A920" s="1">
        <v>5.0</v>
      </c>
      <c r="B920" s="1" t="s">
        <v>915</v>
      </c>
      <c r="C920" t="str">
        <f>IFERROR(__xludf.DUMMYFUNCTION("GOOGLETRANSLATE(B920, ""es"", ""en"")"),"Value insuperable relationship. The already he had his eye on other sites and this is definitely the best price, shipping included. The brand itself is already quality assurance.")</f>
        <v>Value insuperable relationship. The already he had his eye on other sites and this is definitely the best price, shipping included. The brand itself is already quality assurance.</v>
      </c>
    </row>
    <row r="921">
      <c r="A921" s="1">
        <v>5.0</v>
      </c>
      <c r="B921" s="1" t="s">
        <v>916</v>
      </c>
      <c r="C921" t="str">
        <f>IFERROR(__xludf.DUMMYFUNCTION("GOOGLETRANSLATE(B921, ""es"", ""en"")"),"Great for small stay This is an ideal product to help us keep the good odor in our rooms by eliminating bad smells. It has a very nice design, made of wood, so in addition to functional we used to give a decorative touch to our home. Once lit, the diffuse"&amp;"r emits lights of different colors, the transition between them calm and relaxed and creating a nice visual effect being. When refilling, we look at the markings inside the diffuser that indicate the amount of fluid that can enter. A filling time (we must"&amp;" never exceed the line maximum) Just take a 4-5 drops of our favorite fragrance so it's ready to run. During operation, it is quite silent, listening only at the time the perfume, so we can have it in our rooms without fear that it is too noisy vaporizes."&amp;" Overall, I think it is an elegant and nice aromatic diffuser, which will be of great help to ward off bad odors at home. Aesthetically, it's very nice because its design could easily pass for a vase.")</f>
        <v>Great for small stay This is an ideal product to help us keep the good odor in our rooms by eliminating bad smells. It has a very nice design, made of wood, so in addition to functional we used to give a decorative touch to our home. Once lit, the diffuser emits lights of different colors, the transition between them calm and relaxed and creating a nice visual effect being. When refilling, we look at the markings inside the diffuser that indicate the amount of fluid that can enter. A filling time (we must never exceed the line maximum) Just take a 4-5 drops of our favorite fragrance so it's ready to run. During operation, it is quite silent, listening only at the time the perfume, so we can have it in our rooms without fear that it is too noisy vaporizes. Overall, I think it is an elegant and nice aromatic diffuser, which will be of great help to ward off bad odors at home. Aesthetically, it's very nice because its design could easily pass for a vase.</v>
      </c>
    </row>
    <row r="922">
      <c r="A922" s="1">
        <v>5.0</v>
      </c>
      <c r="B922" s="1" t="s">
        <v>917</v>
      </c>
      <c r="C922" t="str">
        <f>IFERROR(__xludf.DUMMYFUNCTION("GOOGLETRANSLATE(B922, ""es"", ""en"")"),"Good value for money Totally recommended, since that perfectly suited my needs")</f>
        <v>Good value for money Totally recommended, since that perfectly suited my needs</v>
      </c>
    </row>
    <row r="923">
      <c r="A923" s="1">
        <v>5.0</v>
      </c>
      <c r="B923" s="1" t="s">
        <v>918</v>
      </c>
      <c r="C923" t="str">
        <f>IFERROR(__xludf.DUMMYFUNCTION("GOOGLETRANSLATE(B923, ""es"", ""en"")"),"It is adjustable to each size as in the picture. The same colors. I love that you can adjust to the size of my wrist. I thought they were pebbles, I think it is plastic, but still for the price they are super happy.")</f>
        <v>It is adjustable to each size as in the picture. The same colors. I love that you can adjust to the size of my wrist. I thought they were pebbles, I think it is plastic, but still for the price they are super happy.</v>
      </c>
    </row>
    <row r="924">
      <c r="A924" s="1">
        <v>5.0</v>
      </c>
      <c r="B924" s="1" t="s">
        <v>919</v>
      </c>
      <c r="C924" t="str">
        <f>IFERROR(__xludf.DUMMYFUNCTION("GOOGLETRANSLATE(B924, ""es"", ""en"")"),"Very good this cream is amazing when you have the muscles to dust. Ie after having gotten a good beating sport or one of those days to be standing all day, you made this cream and leaves you as new.")</f>
        <v>Very good this cream is amazing when you have the muscles to dust. Ie after having gotten a good beating sport or one of those days to be standing all day, you made this cream and leaves you as new.</v>
      </c>
    </row>
    <row r="925">
      <c r="A925" s="1">
        <v>5.0</v>
      </c>
      <c r="B925" s="1" t="s">
        <v>920</v>
      </c>
      <c r="C925" t="str">
        <f>IFERROR(__xludf.DUMMYFUNCTION("GOOGLETRANSLATE(B925, ""es"", ""en"")"),"Optimal loved us: it is powerful, very good quality, has all the necessary options, washed well, very durable and optimal price.")</f>
        <v>Optimal loved us: it is powerful, very good quality, has all the necessary options, washed well, very durable and optimal price.</v>
      </c>
    </row>
    <row r="926">
      <c r="A926" s="1">
        <v>5.0</v>
      </c>
      <c r="B926" s="1" t="s">
        <v>921</v>
      </c>
      <c r="C926" t="str">
        <f>IFERROR(__xludf.DUMMYFUNCTION("GOOGLETRANSLATE(B926, ""es"", ""en"")"),"Good footwear is a shoe very nice and good quality classic, is a good buy, I like every day and they are very durable, will last many years.")</f>
        <v>Good footwear is a shoe very nice and good quality classic, is a good buy, I like every day and they are very durable, will last many years.</v>
      </c>
    </row>
    <row r="927">
      <c r="A927" s="1">
        <v>2.0</v>
      </c>
      <c r="B927" s="1" t="s">
        <v>922</v>
      </c>
      <c r="C927" t="str">
        <f>IFERROR(__xludf.DUMMYFUNCTION("GOOGLETRANSLATE(B927, ""es"", ""en"")"),"It is original? After a short time of use it is blurring the brand logo (Moulinex). It seems a bit odd and makes me doubt the originality of the product. Is there a certificate guaranteeing the origin of the product? Had I would give 5 stars because the p"&amp;"erformance is acceptable.")</f>
        <v>It is original? After a short time of use it is blurring the brand logo (Moulinex). It seems a bit odd and makes me doubt the originality of the product. Is there a certificate guaranteeing the origin of the product? Had I would give 5 stars because the performance is acceptable.</v>
      </c>
    </row>
    <row r="928">
      <c r="A928" s="1">
        <v>3.0</v>
      </c>
      <c r="B928" s="1" t="s">
        <v>923</v>
      </c>
      <c r="C928" t="str">
        <f>IFERROR(__xludf.DUMMYFUNCTION("GOOGLETRANSLATE(B928, ""es"", ""en"")"),"Mark the time. The same brand makes watches for best price equal")</f>
        <v>Mark the time. The same brand makes watches for best price equal</v>
      </c>
    </row>
    <row r="929">
      <c r="A929" s="1">
        <v>3.0</v>
      </c>
      <c r="B929" s="1" t="s">
        <v>924</v>
      </c>
      <c r="C929" t="str">
        <f>IFERROR(__xludf.DUMMYFUNCTION("GOOGLETRANSLATE(B929, ""es"", ""en"")"),"Peter Well")</f>
        <v>Peter Well</v>
      </c>
    </row>
    <row r="930">
      <c r="A930" s="1">
        <v>1.0</v>
      </c>
      <c r="B930" s="1" t="s">
        <v>925</v>
      </c>
      <c r="C930" t="str">
        <f>IFERROR(__xludf.DUMMYFUNCTION("GOOGLETRANSLATE(B930, ""es"", ""en"")"),"Broken glass in less than 6 months bad product, while the engine itself is still running. The glass is cracked from end to end during normal use of the mixer. I do not recommend at all")</f>
        <v>Broken glass in less than 6 months bad product, while the engine itself is still running. The glass is cracked from end to end during normal use of the mixer. I do not recommend at all</v>
      </c>
    </row>
    <row r="931">
      <c r="A931" s="1">
        <v>1.0</v>
      </c>
      <c r="B931" s="1" t="s">
        <v>926</v>
      </c>
      <c r="C931" t="str">
        <f>IFERROR(__xludf.DUMMYFUNCTION("GOOGLETRANSLATE(B931, ""es"", ""en"")"),"NO DURAN NOT ONE MONTH Duran 1 month at most, initially worked well but a month start to fail, in my case the buttons to control the volume, pause, or skip to the next song, have begun work on their own . I am not touch them but suddenly jumps off track, "&amp;"or pause so repeatedly without stopping, and that just annoying.")</f>
        <v>NO DURAN NOT ONE MONTH Duran 1 month at most, initially worked well but a month start to fail, in my case the buttons to control the volume, pause, or skip to the next song, have begun work on their own . I am not touch them but suddenly jumps off track, or pause so repeatedly without stopping, and that just annoying.</v>
      </c>
    </row>
    <row r="932">
      <c r="A932" s="1">
        <v>1.0</v>
      </c>
      <c r="B932" s="1" t="s">
        <v>927</v>
      </c>
      <c r="C932" t="str">
        <f>IFERROR(__xludf.DUMMYFUNCTION("GOOGLETRANSLATE(B932, ""es"", ""en"")"),"Malfunction The head is rotatable and has a flange that slides to keep a determinda position. This single tab is lowered, and therefore, the spindle is loose when being used vertically up and down (almost always). To fix it, you have to do some hack like "&amp;"putting a wire to the tab sliding. The price is very high for the benefits it gives. I bought it to use with the telescopic handle Leifheit, since the system only serves anchor for products of this brand. But I not recommend it.")</f>
        <v>Malfunction The head is rotatable and has a flange that slides to keep a determinda position. This single tab is lowered, and therefore, the spindle is loose when being used vertically up and down (almost always). To fix it, you have to do some hack like putting a wire to the tab sliding. The price is very high for the benefits it gives. I bought it to use with the telescopic handle Leifheit, since the system only serves anchor for products of this brand. But I not recommend it.</v>
      </c>
    </row>
    <row r="933">
      <c r="A933" s="1">
        <v>4.0</v>
      </c>
      <c r="B933" s="1" t="s">
        <v>928</v>
      </c>
      <c r="C933" t="str">
        <f>IFERROR(__xludf.DUMMYFUNCTION("GOOGLETRANSLATE(B933, ""es"", ""en"")"),"Aspira great totally recommend. Highly recommended for large homes with pets. The downside, for me it is not, it is that it weighs a little more than usual.")</f>
        <v>Aspira great totally recommend. Highly recommended for large homes with pets. The downside, for me it is not, it is that it weighs a little more than usual.</v>
      </c>
    </row>
    <row r="934">
      <c r="A934" s="1">
        <v>4.0</v>
      </c>
      <c r="B934" s="1" t="s">
        <v>929</v>
      </c>
      <c r="C934" t="str">
        <f>IFERROR(__xludf.DUMMYFUNCTION("GOOGLETRANSLATE(B934, ""es"", ""en"")"),"Meets expectations bracelet ,, now adornitos buy these q so q are for my opinion somewhat overpriced for what is q")</f>
        <v>Meets expectations bracelet ,, now adornitos buy these q so q are for my opinion somewhat overpriced for what is q</v>
      </c>
    </row>
    <row r="935">
      <c r="A935" s="1">
        <v>4.0</v>
      </c>
      <c r="B935" s="1" t="s">
        <v>930</v>
      </c>
      <c r="C935" t="str">
        <f>IFERROR(__xludf.DUMMYFUNCTION("GOOGLETRANSLATE(B935, ""es"", ""en"")"),"Complies use")</f>
        <v>Complies use</v>
      </c>
    </row>
    <row r="936">
      <c r="A936" s="1">
        <v>4.0</v>
      </c>
      <c r="B936" s="1" t="s">
        <v>931</v>
      </c>
      <c r="C936" t="str">
        <f>IFERROR(__xludf.DUMMYFUNCTION("GOOGLETRANSLATE(B936, ""es"", ""en"")"),"It is perfect is a quality product; the only downside that I see is that the belt is long, long, and for the fist Hulk. A normal person is the tip above the wrist.")</f>
        <v>It is perfect is a quality product; the only downside that I see is that the belt is long, long, and for the fist Hulk. A normal person is the tip above the wrist.</v>
      </c>
    </row>
    <row r="937">
      <c r="A937" s="1">
        <v>4.0</v>
      </c>
      <c r="B937" s="1" t="s">
        <v>932</v>
      </c>
      <c r="C937" t="str">
        <f>IFERROR(__xludf.DUMMYFUNCTION("GOOGLETRANSLATE(B937, ""es"", ""en"")"),"All right all right")</f>
        <v>All right all right</v>
      </c>
    </row>
    <row r="938">
      <c r="A938" s="1">
        <v>5.0</v>
      </c>
      <c r="B938" s="1" t="s">
        <v>933</v>
      </c>
      <c r="C938" t="str">
        <f>IFERROR(__xludf.DUMMYFUNCTION("GOOGLETRANSLATE(B938, ""es"", ""en"")"),"Very good quality and price Fast delivery and very good quality at a good price")</f>
        <v>Very good quality and price Fast delivery and very good quality at a good price</v>
      </c>
    </row>
    <row r="939">
      <c r="A939" s="1">
        <v>5.0</v>
      </c>
      <c r="B939" s="1" t="s">
        <v>934</v>
      </c>
      <c r="C939" t="str">
        <f>IFERROR(__xludf.DUMMYFUNCTION("GOOGLETRANSLATE(B939, ""es"", ""en"")"),"Perfect to encourage your party includes 2 microphones, amplifier and all necessary cables to connect it to your stereo and a screen. sounds good")</f>
        <v>Perfect to encourage your party includes 2 microphones, amplifier and all necessary cables to connect it to your stereo and a screen. sounds good</v>
      </c>
    </row>
    <row r="940">
      <c r="A940" s="1">
        <v>5.0</v>
      </c>
      <c r="B940" s="1" t="s">
        <v>935</v>
      </c>
      <c r="C940" t="str">
        <f>IFERROR(__xludf.DUMMYFUNCTION("GOOGLETRANSLATE(B940, ""es"", ""en"")"),"Well right from the water I do not know I do not try")</f>
        <v>Well right from the water I do not know I do not try</v>
      </c>
    </row>
    <row r="941">
      <c r="A941" s="1">
        <v>5.0</v>
      </c>
      <c r="B941" s="1" t="s">
        <v>936</v>
      </c>
      <c r="C941" t="str">
        <f>IFERROR(__xludf.DUMMYFUNCTION("GOOGLETRANSLATE(B941, ""es"", ""en"")"),"good buy came fast and more than meets my expectations, very contene and satisfied with this blender, I use several times a day and perfect, so we give you five upmarket.")</f>
        <v>good buy came fast and more than meets my expectations, very contene and satisfied with this blender, I use several times a day and perfect, so we give you five upmarket.</v>
      </c>
    </row>
    <row r="942">
      <c r="A942" s="1">
        <v>5.0</v>
      </c>
      <c r="B942" s="1" t="s">
        <v>937</v>
      </c>
      <c r="C942" t="str">
        <f>IFERROR(__xludf.DUMMYFUNCTION("GOOGLETRANSLATE(B942, ""es"", ""en"")"),"Much perfect power pica very fast and easy to clean, no more. Whipping cream I have not, but I guess it just happened, although I'm itching and even buy encantanda. note of ten, ten.")</f>
        <v>Much perfect power pica very fast and easy to clean, no more. Whipping cream I have not, but I guess it just happened, although I'm itching and even buy encantanda. note of ten, ten.</v>
      </c>
    </row>
    <row r="943">
      <c r="A943" s="1">
        <v>5.0</v>
      </c>
      <c r="B943" s="1" t="s">
        <v>938</v>
      </c>
      <c r="C943" t="str">
        <f>IFERROR(__xludf.DUMMYFUNCTION("GOOGLETRANSLATE(B943, ""es"", ""en"")"),"All perfect. I had them before and liked.")</f>
        <v>All perfect. I had them before and liked.</v>
      </c>
    </row>
    <row r="944">
      <c r="A944" s="1">
        <v>5.0</v>
      </c>
      <c r="B944" s="1" t="s">
        <v>939</v>
      </c>
      <c r="C944" t="str">
        <f>IFERROR(__xludf.DUMMYFUNCTION("GOOGLETRANSLATE(B944, ""es"", ""en"")"),"Super perfect beautiful and practical, ideal and comfy, I was surprised. I bought for my daughter and then I gave my niece others")</f>
        <v>Super perfect beautiful and practical, ideal and comfy, I was surprised. I bought for my daughter and then I gave my niece others</v>
      </c>
    </row>
    <row r="945">
      <c r="A945" s="1">
        <v>5.0</v>
      </c>
      <c r="B945" s="1" t="s">
        <v>940</v>
      </c>
      <c r="C945" t="str">
        <f>IFERROR(__xludf.DUMMYFUNCTION("GOOGLETRANSLATE(B945, ""es"", ""en"")"),"Are original Timberland Do not do not listen to those who say they are false. There is no doubt. They are original and of high quality. Very comfortable and beautiful.")</f>
        <v>Are original Timberland Do not do not listen to those who say they are false. There is no doubt. They are original and of high quality. Very comfortable and beautiful.</v>
      </c>
    </row>
    <row r="946">
      <c r="A946" s="1">
        <v>5.0</v>
      </c>
      <c r="B946" s="1" t="s">
        <v>941</v>
      </c>
      <c r="C946" t="str">
        <f>IFERROR(__xludf.DUMMYFUNCTION("GOOGLETRANSLATE(B946, ""es"", ""en"")"),"This memory card and good brand never disappoints, well packaged, the SD card has a read and write very fast, capacity more than sufficient for use in a compact camera, buy recommended and good price")</f>
        <v>This memory card and good brand never disappoints, well packaged, the SD card has a read and write very fast, capacity more than sufficient for use in a compact camera, buy recommended and good price</v>
      </c>
    </row>
    <row r="947">
      <c r="A947" s="1">
        <v>5.0</v>
      </c>
      <c r="B947" s="1" t="s">
        <v>942</v>
      </c>
      <c r="C947" t="str">
        <f>IFERROR(__xludf.DUMMYFUNCTION("GOOGLETRANSLATE(B947, ""es"", ""en"")"),"Excellent product Shipping and flawless delivery, product highly recommended for beginners in the world of sound / production. Smooth, easy to use / installation and very good quality.")</f>
        <v>Excellent product Shipping and flawless delivery, product highly recommended for beginners in the world of sound / production. Smooth, easy to use / installation and very good quality.</v>
      </c>
    </row>
    <row r="948">
      <c r="A948" s="1">
        <v>5.0</v>
      </c>
      <c r="B948" s="1" t="s">
        <v>943</v>
      </c>
      <c r="C948" t="str">
        <f>IFERROR(__xludf.DUMMYFUNCTION("GOOGLETRANSLATE(B948, ""es"", ""en"")"),"Good quality rolls this time Acerte")</f>
        <v>Good quality rolls this time Acerte</v>
      </c>
    </row>
    <row r="949">
      <c r="A949" s="1">
        <v>5.0</v>
      </c>
      <c r="B949" s="1" t="s">
        <v>944</v>
      </c>
      <c r="C949" t="str">
        <f>IFERROR(__xludf.DUMMYFUNCTION("GOOGLETRANSLATE(B949, ""es"", ""en"")"),"Comfort and design has come as requested. It is super !! You can get an idea knowing that the waist elastic enough support to women with hips but fit, fitness is body molds to the shape and are very comfortable !!! A 1st !!! Quality is not Louis Vuitton b"&amp;"ut money is pretty good.")</f>
        <v>Comfort and design has come as requested. It is super !! You can get an idea knowing that the waist elastic enough support to women with hips but fit, fitness is body molds to the shape and are very comfortable !!! A 1st !!! Quality is not Louis Vuitton but money is pretty good.</v>
      </c>
    </row>
    <row r="950">
      <c r="A950" s="1">
        <v>5.0</v>
      </c>
      <c r="B950" s="1" t="s">
        <v>945</v>
      </c>
      <c r="C950" t="str">
        <f>IFERROR(__xludf.DUMMYFUNCTION("GOOGLETRANSLATE(B950, ""es"", ""en"")"),"Justito number I've returned because I pressed a lot on the instep. I was not going to wear comfortable yet still my number, I was rather long")</f>
        <v>Justito number I've returned because I pressed a lot on the instep. I was not going to wear comfortable yet still my number, I was rather long</v>
      </c>
    </row>
    <row r="951">
      <c r="A951" s="1">
        <v>5.0</v>
      </c>
      <c r="B951" s="1" t="s">
        <v>946</v>
      </c>
      <c r="C951" t="str">
        <f>IFERROR(__xludf.DUMMYFUNCTION("GOOGLETRANSLATE(B951, ""es"", ""en"")"),"nice feeling! &lt;Div id = ""video-block-R13SYKUT7MOSZA"" class = ""section a-a-a-spacing-small spacing-top-video mini-block""&gt; &lt;div tabindex = ""0"" class = ""airy airy-svg vmin- supported airy-skin-beacon ""style ="" background-color: rgb (0, 0, 0) positio"&amp;"n: relative; width: 100%; height: 100%; font-size: 0px; overflow: hidden; outline: none ; ""&gt; &lt;div class ="" airy-renderer-container ""style ="" position: relative; height: 100%; width: 100%; ""&gt; &lt;video id ="" 39 ""preload ="" auto ""src ="" https: //imag"&amp;"es-eu.ssl-images-amazon.com/images/I/A1OruJrv6RS.mp4 ""style ="" position: absolute; left: 0px; top: 0px; overflow: hidden; height: 1px; width: 1px; "" &gt; &lt;/ video&gt; &lt;/ div&gt; &lt;div id = ""airy-slate-preload"" style = ""background-color: rgb (0, 0, 0); backgro"&amp;"und-image: url (&amp; quot; https: // images- eu.ssl-images-amazon.com/images/I/C1ciyiEKJMS.png&amp;quot;); background-size: Contain; background-position: center center; background-repeat: no-repeat; position: absolute; top: 0px; left : 0px; visibility: visible; "&amp;"width: 100%; height: 100%; ""&gt; &lt;/ div&gt; &lt;iframe scrolling ="" no ""frameborder = ""0"" src = ""about: blank"" style = ""display: none;""&gt; &lt;/ iframe&gt; &lt;div tabindex = ""- 1"" class = ""airy-controls-container"" style = ""opacity: 0; visibility: hidden; ""&gt; &lt;"&amp;"div tabindex ="" - 1 ""class ="" airy-screen-size-toggle airy-fullscreen ""&gt; &lt;/ div&gt; &lt;div tabindex ="" - 1 ""class ="" airy-container-bottom "" &gt; &lt;div tabindex = ""- 1"" class = ""airy-track-bar-spacer-left"" style = ""width: 11px;""&gt; &lt;/ div&gt; &lt;div tabinde"&amp;"x = ""- 1"" class = ""airy-play- airy toggle-play ""style ="" width: 12px; margin-right: 12px; ""&gt; &lt;/ div&gt; &lt;div tabindex ="" - 1 ""class ="" airy-audio-elements ""style ="" float: right; width: 34px; ""&gt; &lt;div tabindex ="" - 1 ""class ="" airy-audio-toggle"&amp;" airy-on ""&gt; &lt;/ div&gt; &lt;div tabindex ="" - 1 ""class ="" airy-audio-container ""style = ""opacity: 0; visibility: hidden; ""&gt; &lt;div tabindex ="" - 1 ""class ="" airy-audio-track-bar ""style ="" height: 80%; ""&gt; &lt;div tabindex ="" - 1 ""class ="" airy-audio- S"&amp;"crubber-bar ""style ="" height: 85%; ""&gt; &lt;/ div&gt; &lt;div tabindex ="" - 1 ""class ="" airy-audio-scrubber ""style ="" height: 12px; bottom 85% ""&gt; &lt;/ div&gt; &lt;/ div&gt; &lt;/ div&gt; &lt;/ div&gt; &lt;div tabindex ="" - 1 ""class ="" airy-duration-label ""style ="" float: right;"&amp;" width: 26px; margin-right: 4px; text-align: center; ""&gt; 0:00 &lt;/ div&gt; &lt;div tabindex ="" - 1 ""class ="" airy-track-bar-spacer-right ""style ="" float: right; width: 11px; ""&gt; &lt;/ div&gt; &lt;div tabindex ="" - 1 ""class ="" airy-track-bar-container ""style ="" m"&amp;"argin-left: 35px; margin-right: 75px; ""&gt; &lt;div tabindex ="" - 1 ""class ="" airy-airy-track-bar vertically-centering-table ""&gt; &lt;div tabindex ="" - 1 ""class ="" airy-Vertical-centering- table-cell ""&gt; &lt;div tabindex ="" - 1 ""class ="" airy-track-bar-eleme"&amp;"nts ""&gt; &lt;div tabindex ="" - 1 ""class ="" airy-progress-bar ""&gt; &lt;/ div&gt; &lt;div tabindex = ""- 1"" class = ""airy-scrubber-bar""&gt; &lt;/ div&gt; &lt;div tabindex = ""- 1"" class = ""airy-scrubber""&gt; &lt;div tabindex = ""- 1"" class = ""airy-scrubber- icon ""&gt; &lt;/ div&gt; &lt;di"&amp;"v tabindex ="" - 1 ""class ="" airy-adjusted-AUI-tooltip ""style ="" opacity: 0; visibility: hidden; ""&gt; &lt;div tabindex ="" - 1 ""class ="" airy-adjusted-aui-tooltip-inner ""&gt; &lt;div tabindex ="" - 1 ""class ="" airy-current-time-label ""&gt; 0: 00 &lt;/ div&gt; &lt;/ d"&amp;"iv&gt; &lt;div tabindex = ""- 1"" class = ""airy-adjusted-AUI-arrow-border""&gt; &lt;div tabindex = ""- 1"" class = ""airy-adjusted-AUI-arrow"" &gt; &lt;/ div&gt; &lt;/ div&gt; &lt;/ div&gt; &lt;/ div&gt; &lt;/ div&gt; &lt;/ div&gt; &lt;/ div&gt; &lt;/ div&gt; &lt;/ div&gt; &lt;/ div&gt; &lt;div tabindex = ""- 1"" class = ""airy-ag"&amp;"e-gate airy-stage airy-Vertical-centering-table airy-dialog"" style = ""opacity: 0; visibility: hidden; ""&gt; &lt;div tabindex ="" - 1 ""class ="" airy-age-gate-Vertical-centering-table-cell airy-Vertical-centering-table-cell ""&gt; &lt;div tabindex ="" - 1 ""class "&amp;"= ""airy-Vertical-centering-wrapper airy-age-gate-elements-wrapper""&gt; &lt;div tabindex = ""- 1"" class = ""airy-age-gate-elements airy-dialog-elements""&gt; &lt;div tabindex = "" -1 ""class ="" airy-age-gate-prompt ""&gt; This video is not Intended for all audiences "&amp;"What date were you born &lt;/ div&gt; &lt;div tabindex =.?"" - 1 ""class ="" airy-age-gate -inputs airy-dialog-inner-elements ""&gt; &lt;select tabindex ="" - 1 ""class ="" airy-age-gate-month ""&gt; &lt;option value ="" 1 ""&gt; January &lt;/ option&gt; &lt;option value ="" 2 ""&gt; Februa"&amp;"ry &lt;/ option&gt; &lt;option value ="" 3 ""&gt; March &lt;/ option&gt; &lt;option value ="" 4 ""&gt; April &lt;/ option&gt; &lt;option value ="" 5 ""&gt; May &lt;/ option&gt; &lt;option value = ""6""&gt; June &lt;/ option&gt; &lt;option value = ""7""&gt; July &lt;/ option&gt; &lt;option value = ""8""&gt; August &lt;/ option&gt; &lt;"&amp;"option value = ""9""&gt; September &lt;/ option&gt; &lt;option value = ""10""&gt; October &lt;/ option&gt; &lt;option value = ""11""&gt; November &lt;/ option&gt; &lt;option value = ""12""&gt; December &lt;/ option&gt; &lt;/ select&gt; &lt;select tabindex = ""- 1"" class = ""airy-age-gate-day""&gt; &lt;opti on val"&amp;"ue = ""1""&gt; 1 &lt;/ option&gt; &lt;option value = ""2""&gt; 2 &lt;/ option&gt; &lt;option value = ""3""&gt; 3 &lt;/ option&gt; &lt;option value = ""4""&gt; 4 &lt;/ option &gt; &lt;option value = ""5""&gt; 5 &lt;/ option&gt; &lt;option value = ""6""&gt; 6 &lt;/ option&gt; &lt;option value = ""7""&gt; 7 &lt;/ option&gt; &lt;option value"&amp;" = ""8""&gt; 8 &lt; / option&gt; &lt;option value = ""9""&gt; 9 &lt;/ option&gt; &lt;option value = ""10""&gt; 10 &lt;/ option&gt; &lt;option value = ""11""&gt; 11 &lt;/ option&gt; &lt;option value = ""12""&gt; 12 &lt;/ option&gt; &lt;option value = ""13""&gt; 13 &lt;/ option&gt; &lt;option value = ""14""&gt; 14 &lt;/ option&gt; &lt;opti"&amp;"on value = ""15""&gt; 15 &lt;/ option&gt; &lt;option value = ""16 ""&gt; 16 &lt;/ option&gt; &lt;option value ="" 17 ""&gt; 17 &lt;/ option&gt; &lt;option value ="" 18 ""&gt; 18 &lt;/ option&gt; &lt;option value ="" 19 ""&gt; 19 &lt;/ option&gt; &lt;option value = ""20""&gt; 20 &lt;/ option&gt; &lt;option value = ""21""&gt; 21 &lt;"&amp;"/ option&gt; &lt;option value = ""22""&gt; 22 &lt;/ option&gt; &lt;option value = ""23""&gt; 23 &lt;/ option&gt; &lt;option value = ""24""&gt; 24 &lt;/ option&gt; &lt;option value = ""25""&gt; 25 &lt;/ option&gt; &lt;option value = ""26""&gt; 26 &lt;/ option&gt; &lt;option value = ""27""&gt; 27 &lt;/ option&gt; &lt;option value = "&amp;"""28""&gt; 28 &lt;/ option&gt; &lt;option value = ""29""&gt; 29 &lt;/ option&gt; &lt;option value = ""30""&gt; 30 &lt;/ option&gt; &lt;option value = ""31""&gt; 31 &lt;/ option&gt; &lt;/ select&gt; &lt;select tabindex = ""- 1"" class = ""airy-age-gate-year""&gt; &lt;option value = ""2019""&gt; 2019 &lt;/ option&gt; &lt; optio"&amp;"n value = ""2018""&gt; 2018 &lt;/ option&gt; &lt;option value = ""2017""&gt; 2017 &lt;/ option&gt; &lt;option value = ""2016""&gt; ​​2016 &lt;/ option&gt; &lt;option value = ""2015""&gt; 2015 &lt;/ option &gt; &lt;option value = ""2014""&gt; 2014 &lt;/ option&gt; &lt;option value = ""2013""&gt; 2013 &lt;/ option&gt; &lt;optio"&amp;"n value = ""2012""&gt; 2012 &lt;/ option&gt; &lt;option value = ""2011""&gt; 2011 &lt; / option&gt; &lt;option value = ""2010""&gt; 2010 &lt;/ option&gt; &lt;option value = ""2009""&gt; 2009 &lt;/ option&gt; &lt;option value = ""2008""&gt; 2008 &lt;/ option&gt; &lt;option value = ""2007""&gt; 2007 &lt;/ option&gt; &lt;option "&amp;"value = ""2006""&gt; 2006 &lt;/ option&gt; &lt;option value = ""2005""&gt; 2005 &lt;/ option&gt; &lt;option value = ""2004""&gt; 2004 &lt;/ option&gt; &lt;option value = ""2003 ""&gt; 2003 &lt;/ option&gt; &lt;option value ="" 2002 ""&gt; 2002 &lt;/ option&gt; &lt;option value ="" 2001 ""&gt; 2001 &lt;/ option&gt; &lt;option "&amp;"value ="" 2000 ""&gt; 2000 &lt;/ option&gt; &lt;option value = ""1999""&gt; 1999 &lt;/ option&gt; &lt;option value = ""1998""&gt; 1998 &lt;/ option&gt; &lt;option value = ""1997""&gt; 1997 &lt;/ option&gt; &lt;option value = ""1996""&gt; 1996 &lt;/ option&gt; &lt;option value = ""1995""&gt; 1995 &lt;/ option&gt; &lt;option va"&amp;"lue = ""1994""&gt; 1994 &lt;/ option&gt; &lt;option value = ""1993""&gt; 1993 &lt;/ option&gt; &lt;option value = ""1992""&gt; 1992 &lt;/ option&gt; &lt;option value = ""1991""&gt; 1991 &lt;/ option&gt; &lt;option value = ""1990""&gt; 1990 &lt;/ option&gt; &lt;option value = "" 1989 ""&gt; 1989 &lt;/ option&gt; &lt;option val"&amp;"ue ="" 1988 ""&gt; 1988 &lt;/ option&gt; &lt;option value ="" 1987 ""&gt; 1987 &lt;/ option&gt; &lt;option value ="" 1986 ""&gt; 1986 &lt;/ option&gt; &lt;value option = ""1985""&gt; 1985 &lt;/ option&gt; &lt;option value = ""1984""&gt; 1984 &lt;/ option&gt; &lt;option value = ""1983""&gt; 1983 &lt;/ option&gt; &lt;option val"&amp;"ue = ""1982""&gt; 1982 &lt;/ option&gt; &lt; option value = ""1981""&gt; 1981 &lt;/ option&gt; &lt;option value = ""1980""&gt; 1980 &lt;/ option&gt; &lt;option value = ""1979""&gt; 1979 &lt;/ option&gt; &lt;option value = ""1978""&gt; 1978 &lt;/ option &gt; &lt;option value = ""1977""&gt; 1977 &lt;/ option&gt; &lt;option valu"&amp;"e = ""1976""&gt; 1976 &lt;/ option&gt; &lt;option value = ""1975""&gt; 1975 &lt;/ option&gt; &lt;option value = ""1974""&gt; 1974 &lt; / option&gt; &lt;option value = ""1973""&gt; 1973 &lt;/ option&gt; &lt;option value = ""1972""&gt; 1972 &lt;/ option&gt; &lt;option value = ""1971""&gt; 1971 &lt;/ option&gt; &lt;option value "&amp;"= ""1970""&gt; 1970 &lt;/ option&gt; &lt;option value = ""1969""&gt; 1969 &lt;/ option&gt; &lt;option value = ""1968""&gt; 1968 &lt;/ option&gt; &lt;option value = ""1967""&gt; 1967 &lt;/ option&gt; &lt;option value = ""1966 ""&gt; 1966 &lt;/ option&gt; &lt;option value ="" 1965 ""&gt; 1965 &lt;/ option&gt; &lt;option value ="&amp;""" 1964 ""&gt; 1964 &lt;/ option&gt; &lt;option value ="" 1963 ""&gt; 1963 &lt;/ option&gt; &lt;option value = ""1962""&gt; 1962 &lt;/ option&gt; &lt;option value = ""1961""&gt; 1961 &lt;/ option&gt; &lt;option value = ""1960""&gt; 1960 &lt;/ op tion&gt; &lt;option value = ""1959""&gt; 1959 &lt;/ option&gt; &lt;option value ="&amp;" ""1958""&gt; 1958 &lt;/ option&gt; &lt;option value = ""1957""&gt; 1957 &lt;/ option&gt; &lt;option value = ""1956""&gt; 1956 &lt;/ option&gt; &lt;option value = ""1955""&gt; 1955 &lt;/ option&gt; &lt;option value = ""1954""&gt; 1954 &lt;/ option&gt; &lt;option value = ""1953""&gt; 1953 &lt;/ option&gt; &lt;option value = """&amp;"1952"" &gt; 1952 &lt;/ option&gt; &lt;option value = ""1951""&gt; 1951 &lt;/ option&gt; &lt;option value = ""1950""&gt; 1950 &lt;/ option&gt; &lt;option value = ""1949""&gt; 1949 &lt;/ option&gt; &lt;option value = "" 1948 ""&gt; 1948 &lt;/ option&gt; &lt;option value ="" 1947 ""&gt; 1947 &lt;/ option&gt; &lt;option value ="""&amp;" 1946 ""&gt; 1946 &lt;/ option&gt; &lt;option value ="" 1945 ""&gt; 1945 &lt;/ option&gt; &lt;value option = ""1944""&gt; 1944 &lt;/ option&gt; &lt;option value = ""1943""&gt; 1943 &lt;/ option&gt; &lt;option value = ""1942""&gt; 1942 &lt;/ option&gt; &lt;option value = ""1941""&gt; 1941 &lt;/ option&gt; &lt; option value = "&amp;"""1940""&gt; 1940 &lt;/ option&gt; &lt;option value = ""1939""&gt; 1939 &lt;/ option&gt; &lt;option value = ""1938""&gt; 1938 &lt;/ option&gt; &lt;option value = ""1937""&gt; 1937 &lt;/ option &gt; &lt;option value = ""1936""&gt; 1936 &lt;/ option&gt; &lt;option value = ""1935""&gt; 1935 &lt;/ option&gt; &lt;option value = """&amp;"1934""&gt; 1934 &lt;/ option&gt; &lt;option value = ""1933""&gt; 1933 &lt; / option&gt; &lt;option value = ""1932""&gt; 1932 &lt;/ option&gt; &lt;option value = ""1931""&gt; 1931 &lt;/ option&gt; &lt;option v alue = ""1930""&gt; 1930 &lt;/ option&gt; &lt;option value = ""1929""&gt; 1929 &lt;/ option&gt; &lt;option value = ""1"&amp;"928""&gt; 1928 &lt;/ option&gt; &lt;option value = ""1927""&gt; 1927 &lt;/ option&gt; &lt;option value = ""1926""&gt; 1926 &lt;/ option&gt; &lt;option value = ""1925""&gt; 1925 &lt;/ option&gt; &lt;option value = ""1924""&gt; 1924 &lt;/ option&gt; &lt;option value = ""1923""&gt; 1923 &lt;/ option&gt; &lt;option value = ""1922"&amp;"""&gt; 1922 &lt;/ option&gt; &lt;option value = ""1921""&gt; 1921 &lt;/ option&gt; &lt;option value = ""1920""&gt; 1920 &lt;/ option&gt; &lt;option value = ""1919""&gt; 1919 &lt;/ option&gt; &lt;option value = ""1918""&gt; 1918 &lt;/ option&gt; &lt;option value = ""1917""&gt; 1917 &lt;/ option&gt; &lt;option value = ""1916""&gt;"&amp;" 1916 &lt;/ option&gt; &lt;option value = ""1915"" &gt; 1915 &lt;/ option&gt; &lt;option value = ""1914""&gt; 1914 &lt;/ option&gt; &lt;option value = ""1913""&gt; 1913 &lt;/ option&gt; &lt;option value = ""1912""&gt; 1912 &lt;/ option&gt; &lt;option value = "" 1911 ""&gt; 1911 &lt;/ option&gt; &lt;option value ="" 1910 """&amp;"&gt; 1910 &lt;/ option&gt; &lt;option value ="" 1909 ""&gt; 1909 &lt;/ option&gt; &lt;option value ="" 1908 ""&gt; 1908 &lt;/ option&gt; &lt;value option = ""1907""&gt; 1907 &lt;/ option&gt; &lt;option value = ""1906""&gt; 1906 &lt;/ option&gt; &lt;option value = ""1905""&gt; 1905 &lt;/ option&gt; &lt;option value = ""1904""&gt;"&amp;" 1904 &lt;/ option&gt; &lt; option value = ""1903""&gt; 1903 &lt;/ option&gt; &lt;option value = ""1902""&gt; 1902 &lt;/ option&gt; &lt;option value = ""1901""&gt; 19 01 &lt;/ option&gt; &lt;option value = ""1900""&gt; 1900 &lt;/ option&gt; &lt;/ select&gt; &lt;div tabindex = ""- 1"" class = ""airy-age-gate-submit ai"&amp;"ry-submit-button airy airy-submit- disabled ""&gt; Submit &lt;/ div&gt; &lt;/ div&gt; &lt;/ div&gt; &lt;/ div&gt; &lt;/ div&gt; &lt;/ div&gt; &lt;div tabindex ="" - 1 ""class ="" airy-install-flash-dialog airy-stage airy -vertical-centering-table-dialog airy airy-denied ""style ="" opacity: 0; vi"&amp;"sibility: hidden; ""&gt; &lt;div tabindex ="" - 1 ""class ="" airy-install-flash-Vertical-centering-table-cell airy-Vertical-centering-table-cell ""&gt; &lt;div tabindex ="" - 1 ""class = ""airy-Vertical-centering-wrapper airy-install-flash-elements-wrapper""&gt; &lt;div t"&amp;"abindex = ""- 1"" class = ""airy-install-flash-elements airy-dialog-elements""&gt; &lt;div tabindex = "" -1 ""class ="" airy-install-flash-prompt ""&gt; Adobe Flash Player is required to watch this video &lt;/ div&gt; &lt;div tabindex =."" - 1 ""class ="" airy-install-flas"&amp;"h-button-wrapper airy -dialog-inner-elements ""&gt; &lt;div tabindex ="" - 1 ""class ="" airy-install-flash-button airy-button ""&gt; install Flash Player &lt;/ div&gt; &lt;/ div&gt; &lt;/ div&gt; &lt;/ div&gt; &lt;/ div&gt; &lt;/ div&gt; &lt;div tabindex = ""- 1"" class = ""airy-video-unsupported-dial"&amp;"og airy-stage airy-Vertical-centering-table airy-dialog airy-denied"" style = ""opacity: 0; visibility: hidden; ""&gt; &lt;div tabindex ="" - 1 ""class ="" airy-video-unsupported-Vertical-centering-table-cell airy-Vertical-centering-table-cell ""&gt; &lt;div tabindex"&amp;" ="" - 1 ""class = ""airy-Vertical-centering-wrapper airy-video-unsupported-elements-wrapper""&gt; &lt;div tabindex = ""- 1"" class = ""airy-video-unsupported-elements airy-dialog-elements""&gt; &lt;div tabindex = "" -1 ""class ="" airy-video-unsupported-prompt ""&gt; &lt;"&amp;"/ div&gt; &lt;/ div&gt; &lt;/ div&gt; &lt;/ div&gt; &lt;/ div&gt; &lt;div tabindex ="" - 1 ""class ="" airy-loading- spinner-stage airy-stage ""&gt; &lt;div tabindex ="" - 1 ""class ="" airy-loading-spinner-Vertical-centering-table-cell airy-Vertical-centering-table-cell ""&gt; &lt;div tabindex ="&amp;""" - 1 ""class ="" airy-loading-spinner-container airy-scalable-hint-container ""&gt; &lt;div tabindex ="" - 1 ""class ="" airy-loading-spinner-dummy airy-scalable-dummy ""&gt; &lt;/ div&gt; &lt; div tabindex = ""- 1"" class = ""airy-loading-spinner airy-hint"" style = ""v"&amp;"isibility: hidden;""&gt; &lt;/ div&gt; &lt;/ div&gt; &lt;/ div&gt; &lt;/ div&gt; &lt;div tabindex = ""- 1 ""class ="" airy-ads-screen-size-toggle airy-screen-size-toggle-fullscreen airy ""style ="" visibility: hidden; ""&gt; &lt;/ div&gt; &lt;div tabindex = ""-1"" class = ""airy-ad-prompt-contain"&amp;"er"" style = ""visibility: hidden;""&gt; &lt;div tabindex = ""- 1"" class = ""airy-ad-prompt-Vertical-centering-table-vertically airy centering-table ""&gt; &lt;div tabindex ="" - 1 ""class ="" airy-ad-prompt-Vertical-centering-table-cell airy-Vertical-centering-tabl"&amp;"e-cell ""&gt; &lt;div tabindex ="" - 1 ""class = ""airy-ad-prompt-label""&gt; &lt;/ div&gt; &lt;/ div&gt; &lt;/ div&gt; &lt;/ div&gt; &lt;div tabindex = ""- 1"" class = ""airy-ads-controls-container"" style = ""visibility: hidden; ""&gt; &lt;div tabindex ="" - 1 ""class ="" airy-ads-audio-toggle "&amp;"airy-audio-toggle airy-on ""style ="" visibility: hidden; ""&gt; &lt;/ div&gt; &lt;div tabindex ="" - 1 ""class ="" airy-time-remaining-label-container ""&gt; &lt;div tabindex ="" - 1 ""class ="" airy-time-remaining-Vertical-centering-table airy-Vertical-centering-table """&amp;"&gt; &lt;div tabindex = ""- 1"" class = ""airy-time-remaining-Vertical-centering-table-cell airy-Vertical-centering-table-cell""&gt; &lt;div tabindex = ""- 1"" class = ""airy-Vertical-centering-wrapper airy-time-remaining-label-wrapper ""&gt; &lt;div tabindex ="" - 1 ""cla"&amp;"ss ="" airy-time-remaining-label ""style ="" visibility: hidden; ""&gt; &lt;/ div&gt; &lt;div tabi ndex = ""- 1"" class = ""airy-ad-skip"" style = ""visibility: hidden;""&gt; &lt;/ div&gt; &lt;div tabindex = ""- 1"" class = ""airy-ad-end"" style = ""visibility: hidden ""&gt; &lt;/ div"&amp;"&gt; &lt;/ div&gt; &lt;/ div&gt; &lt;/ div&gt; &lt;/ div&gt; &lt;div tabindex ="" - 1 ""class ="" airy-learn-more ""style ="" visibility: hidden; ""&gt; &lt;/ div&gt; &lt;/ div&gt; &lt;div tabindex = ""- 1"" class = ""airy-play-toggle-hint-stage airy-stage airy-cursor""&gt; &lt;div tabindex = ""- 1"" class ="&amp;" ""airy-play -toggle-hint-Vertical-centering-table-cell airy-Vertical-centering-table-cell airy-cursor ""&gt; &lt;div tabindex ="" - 1 ""class ="" airy-play-toggle-hint-container airy-scalable- Hint-container ""&gt; &lt;div tabindex ="" - 1 ""class ="" airy-play-togg"&amp;"le-hint-dummy airy-scalable-dummy ""&gt; &lt;/ div&gt; &lt;div tabindex ="" - 1 ""class ="" airy-play -toggle-hint hint airy-airy-play-hint ""style ="" opacity: 1; visibility: visible; ""&gt; &lt;/ div&gt; &lt;/ div&gt; &lt;/ div&gt; &lt;/ div&gt; &lt;div tabindex ="" - 1 ""class ="" airy-replay-"&amp;"hint-stage airy-stage ""style ="" visibility: hidden ; ""&gt; &lt;div tabindex ="" - 1 ""class ="" airy-replay-hint-Vertical-centering-table-cell airy-Vertical-centering-table-cell airy-cursor ""&gt; &lt;div tabindex ="" - 1 ""class = ""airy-replay-hint-container air"&amp;"y-scalable-hint-container""&gt; &lt;div tabindex = ""- 1"" class = ""airy-replay-hint-dummy airy-scalable-dummy""&gt; &lt;/ div&gt; &lt;div tabindex = ""- 1"" class = ""airy-replay-hint airy-hint""&gt; &lt;/ div&gt; &lt;/ div&gt; &lt;/ div&gt; &lt;/ div&gt; &lt;div tabindex = ""- 1"" class = ""airy-aut"&amp;"oplay-hint -stage airy-stage ""style ="" visibility: hidden; ""&gt; &lt;div tabindex ="" - 1 ""class ="" airy-autoplay-hint-Vertical-centering-table-cell airy-Vertical-centering-table-cell airy- cursor ""&gt; &lt;div tabindex ="" - 1 ""class ="" autoplay airy-airy-hi"&amp;"nt-container-scalable-hint-container ""&gt; &lt;div tabindex ="" - 1 ""class ="" airy-autoplay-hint-dummy airy- scalable-dummy ""&gt; &lt;/ div&gt; &lt;/ div&gt; &lt;/ div&gt; &lt;/ div&gt; &lt;/ div&gt; &lt;/ div&gt; &lt;input type ="" hidden ""name ="" ""value ="" https: // images-eu .ssl-images-amaz"&amp;"on.com / images / I / A1OruJrv6RS.mp4 ""Class ="" video-url ""&gt; &lt;input type ="" hidden ""name ="" ""value ="" https://images-eu.ssl-images-amazon.com/images/I/C1ciyiEKJMS.png ""class ="" video-slate-img-url ""&gt; &amp; nbsp; Wear a week using a half hour day be"&amp;"cause not much recommended daily use, but sometimes there are times when I spend time. I bought it for use by the whole family and we will not take turns when sitting on the couch. It's a nice feeling and pleasant, I usually use up to the neck and shoulde"&amp;"rs but also in the lumbar and tingling sensation is nice.")</f>
        <v>nice feeling! &lt;Div id = "video-block-R13SYKUT7MOSZA" class = "section a-a-a-spacing-small spacing-top-video mini-block"&gt; &lt;div tabindex = "0" class = "airy airy-svg vmin- supported airy-skin-beacon "style =" background-color: rgb (0, 0, 0) position: relative; width: 100%; height: 100%; font-size: 0px; overflow: hidden; outline: none ; "&gt; &lt;div class =" airy-renderer-container "style =" position: relative; height: 100%; width: 100%; "&gt; &lt;video id =" 39 "preload =" auto "src =" https: //images-eu.ssl-images-amazon.com/images/I/A1OruJrv6RS.mp4 "style =" position: absolute; left: 0px; top: 0px; overflow: hidden; height: 1px; width: 1px; " &gt; &lt;/ video&gt; &lt;/ div&gt; &lt;div id = "airy-slate-preload" style = "background-color: rgb (0, 0, 0); background-image: url (&amp; quot; https: // images- eu.ssl-images-amazon.com/images/I/C1ciyiEKJMS.png&amp;quot;); background-size: Contain; background-position: center center; background-repeat: no-repeat; position: absolute; top: 0px; left : 0px; visibility: visible; width: 100%; height: 100%; "&gt; &lt;/ div&gt; &lt;iframe scrolling =" no "frameborder = "0" src = "about: blank" style = "display: none;"&gt; &lt;/ iframe&gt; &lt;div tabindex = "- 1" class = "airy-controls-container" style = "opacity: 0; visibility: hidden; "&gt; &lt;div tabindex =" - 1 "class =" airy-screen-size-toggle airy-fullscreen "&gt; &lt;/ div&gt; &lt;div tabindex =" - 1 "class =" airy-container-bottom " &gt; &lt;div tabindex = "- 1" class = "airy-track-bar-spacer-left" style = "width: 11px;"&gt; &lt;/ div&gt; &lt;div tabindex = "- 1" class = "airy-play- airy toggle-play "style =" width: 12px; margin-right: 12px; "&gt; &lt;/ div&gt; &lt;div tabindex =" - 1 "class =" airy-audio-elements "style =" float: right; width: 34px; "&gt; &lt;div tabindex =" - 1 "class =" airy-audio-toggle airy-on "&gt; &lt;/ div&gt; &lt;div tabindex =" - 1 "class =" airy-audio-container "style = "opacity: 0; visibility: hidden; "&gt; &lt;div tabindex =" - 1 "class =" airy-audio-track-bar "style =" height: 80%; "&gt; &lt;div tabindex =" - 1 "class =" airy-audio- Scrubber-bar "style =" height: 85%; "&gt; &lt;/ div&gt; &lt;div tabindex =" - 1 "class =" airy-audio-scrubber "style =" height: 12px; bottom 85% "&gt; &lt;/ div&gt; &lt;/ div&gt; &lt;/ div&gt; &lt;/ div&gt; &lt;div tabindex =" - 1 "class =" airy-duration-label "style =" float: right; width: 26px; margin-right: 4px; text-align: center; "&gt; 0:00 &lt;/ div&gt; &lt;div tabindex =" - 1 "class =" airy-track-bar-spacer-right "style =" float: right; width: 11px; "&gt; &lt;/ div&gt; &lt;div tabindex =" - 1 "class =" airy-track-bar-container "style =" margin-left: 35px; margin-right: 75px; "&gt; &lt;div tabindex =" - 1 "class =" airy-airy-track-bar vertically-centering-table "&gt; &lt;div tabindex =" - 1 "class =" airy-Vertical-centering- table-cell "&gt; &lt;div tabindex =" - 1 "class =" airy-track-bar-elements "&gt; &lt;div tabindex =" - 1 "class =" airy-progress-bar "&gt; &lt;/ div&gt; &lt;div tabindex = "- 1" class = "airy-scrubber-bar"&gt; &lt;/ div&gt; &lt;div tabindex = "- 1" class = "airy-scrubber"&gt; &lt;div tabindex = "- 1" class = "airy-scrubber- icon "&gt; &lt;/ div&gt; &lt;div tabindex =" - 1 "class =" airy-adjusted-AUI-tooltip "style =" opacity: 0; visibility: hidden; "&gt; &lt;div tabindex =" - 1 "class =" airy-adjusted-aui-tooltip-inner "&gt; &lt;div tabindex =" - 1 "class =" airy-current-time-label "&gt; 0: 00 &lt;/ div&gt; &lt;/ div&gt; &lt;div tabindex = "- 1" class = "airy-adjusted-AUI-arrow-border"&gt; &lt;div tabindex = "- 1" class = "airy-adjusted-AUI-arrow" &gt; &lt;/ div&gt; &lt;/ div&gt; &lt;/ div&gt; &lt;/ div&gt; &lt;/ div&gt; &lt;/ div&gt; &lt;/ div&gt; &lt;/ div&gt; &lt;/ div&gt; &lt;/ div&gt; &lt;div tabindex = "- 1" class = "airy-age-gate airy-stage airy-Vertical-centering-table airy-dialog" style = "opacity: 0; visibility: hidden; "&gt; &lt;div tabindex =" - 1 "class =" airy-age-gate-Vertical-centering-table-cell airy-Vertical-centering-table-cell "&gt; &lt;div tabindex =" - 1 "class = "airy-Vertical-centering-wrapper airy-age-gate-elements-wrapper"&gt; &lt;div tabindex = "- 1" class = "airy-age-gate-elements airy-dialog-elements"&gt; &lt;div tabindex = " -1 "class =" airy-age-gate-prompt "&gt; This video is not Intended for all audiences What date were you born &lt;/ div&gt; &lt;div tabindex =.?" - 1 "class =" airy-age-gate -inputs airy-dialog-inner-elements "&gt; &lt;select tabindex =" - 1 "class =" airy-age-gate-month "&gt; &lt;option value =" 1 "&gt; January &lt;/ option&gt; &lt;option value =" 2 "&gt; February &lt;/ option&gt; &lt;option value =" 3 "&gt; March &lt;/ option&gt; &lt;option value =" 4 "&gt; April &lt;/ option&gt; &lt;option value =" 5 "&gt; May &lt;/ option&gt; &lt;option value = "6"&gt; June &lt;/ option&gt; &lt;option value = "7"&gt; July &lt;/ option&gt; &lt;option value = "8"&gt; August &lt;/ option&gt; &lt;option value = "9"&gt; September &lt;/ option&gt; &lt;option value = "10"&gt; October &lt;/ option&gt; &lt;option value = "11"&gt; November &lt;/ option&gt; &lt;option value = "12"&gt; December &lt;/ option&gt; &lt;/ select&gt; &lt;select tabindex = "- 1" class = "airy-age-gate-day"&gt; &lt;opti on value = "1"&gt; 1 &lt;/ option&gt; &lt;option value = "2"&gt; 2 &lt;/ option&gt; &lt;option value = "3"&gt; 3 &lt;/ option&gt; &lt;option value = "4"&gt; 4 &lt;/ option &gt; &lt;option value = "5"&gt; 5 &lt;/ option&gt; &lt;option value = "6"&gt; 6 &lt;/ option&gt; &lt;option value = "7"&gt; 7 &lt;/ option&gt; &lt;option value = "8"&gt; 8 &lt; / option&gt; &lt;option value = "9"&gt; 9 &lt;/ option&gt; &lt;option value = "10"&gt; 10 &lt;/ option&gt; &lt;option value = "11"&gt; 11 &lt;/ option&gt; &lt;option value = "12"&gt; 12 &lt;/ option&gt; &lt;option value = "13"&gt; 13 &lt;/ option&gt; &lt;option value = "14"&gt; 14 &lt;/ option&gt; &lt;option value = "15"&gt; 15 &lt;/ option&gt; &lt;option value = "16 "&gt; 16 &lt;/ option&gt; &lt;option value =" 17 "&gt; 17 &lt;/ option&gt; &lt;option value =" 18 "&gt; 18 &lt;/ option&gt; &lt;option value =" 19 "&gt; 19 &lt;/ option&gt; &lt;option value = "20"&gt; 20 &lt;/ option&gt; &lt;option value = "21"&gt; 21 &lt;/ option&gt; &lt;option value = "22"&gt; 22 &lt;/ option&gt; &lt;option value = "23"&gt; 23 &lt;/ option&gt; &lt;option value = "24"&gt; 24 &lt;/ option&gt; &lt;option value = "25"&gt; 25 &lt;/ option&gt; &lt;option value = "26"&gt; 26 &lt;/ option&gt; &lt;option value = "27"&gt; 27 &lt;/ option&gt; &lt;option value = "28"&gt; 28 &lt;/ option&gt; &lt;option value = "29"&gt; 29 &lt;/ option&gt; &lt;option value = "30"&gt; 30 &lt;/ option&gt; &lt;option value = "31"&gt; 31 &lt;/ option&gt; &lt;/ select&gt; &lt;select tabindex = "- 1" class = "airy-age-gate-year"&gt; &lt;option value = "2019"&gt; 2019 &lt;/ option&gt; &lt; option value = "2018"&gt; 2018 &lt;/ option&gt; &lt;option value = "2017"&gt; 2017 &lt;/ option&gt; &lt;option value = "2016"&gt; ​​2016 &lt;/ option&gt; &lt;option value = "2015"&gt; 2015 &lt;/ option &gt; &lt;option value = "2014"&gt; 2014 &lt;/ option&gt; &lt;option value = "2013"&gt; 2013 &lt;/ option&gt; &lt;option value = "2012"&gt; 2012 &lt;/ option&gt; &lt;option value = "2011"&gt; 2011 &lt; / option&gt; &lt;option value = "2010"&gt; 2010 &lt;/ option&gt; &lt;option value = "2009"&gt; 2009 &lt;/ option&gt; &lt;option value = "2008"&gt; 2008 &lt;/ option&gt; &lt;option value = "2007"&gt; 2007 &lt;/ option&gt; &lt;option value = "2006"&gt; 2006 &lt;/ option&gt; &lt;option value = "2005"&gt; 2005 &lt;/ option&gt; &lt;option value = "2004"&gt; 2004 &lt;/ option&gt; &lt;option value = "2003 "&gt; 2003 &lt;/ option&gt; &lt;option value =" 2002 "&gt; 2002 &lt;/ option&gt; &lt;option value =" 2001 "&gt; 2001 &lt;/ option&gt; &lt;option value =" 2000 "&gt; 2000 &lt;/ option&gt; &lt;option value = "1999"&gt; 1999 &lt;/ option&gt; &lt;option value = "1998"&gt; 1998 &lt;/ option&gt; &lt;option value = "1997"&gt; 1997 &lt;/ option&gt; &lt;option value = "1996"&gt; 1996 &lt;/ option&gt; &lt;option value = "1995"&gt; 1995 &lt;/ option&gt; &lt;option value = "1994"&gt; 1994 &lt;/ option&gt; &lt;option value = "1993"&gt; 1993 &lt;/ option&gt; &lt;option value = "1992"&gt; 1992 &lt;/ option&gt; &lt;option value = "1991"&gt; 1991 &lt;/ option&gt; &lt;option value = "1990"&gt; 1990 &lt;/ option&gt; &lt;option value = " 1989 "&gt; 1989 &lt;/ option&gt; &lt;option value =" 1988 "&gt; 1988 &lt;/ option&gt; &lt;option value =" 1987 "&gt; 1987 &lt;/ option&gt; &lt;option value =" 1986 "&gt; 1986 &lt;/ option&gt; &lt;value option = "1985"&gt; 1985 &lt;/ option&gt; &lt;option value = "1984"&gt; 1984 &lt;/ option&gt; &lt;option value = "1983"&gt; 1983 &lt;/ option&gt; &lt;option value = "1982"&gt; 1982 &lt;/ option&gt; &lt; option value = "1981"&gt; 1981 &lt;/ option&gt; &lt;option value = "1980"&gt; 1980 &lt;/ option&gt; &lt;option value = "1979"&gt; 1979 &lt;/ option&gt; &lt;option value = "1978"&gt; 1978 &lt;/ option &gt; &lt;option value = "1977"&gt; 1977 &lt;/ option&gt; &lt;option value = "1976"&gt; 1976 &lt;/ option&gt; &lt;option value = "1975"&gt; 1975 &lt;/ option&gt; &lt;option value = "1974"&gt; 1974 &lt; / option&gt; &lt;option value = "1973"&gt; 1973 &lt;/ option&gt; &lt;option value = "1972"&gt; 1972 &lt;/ option&gt; &lt;option value = "1971"&gt; 1971 &lt;/ option&gt; &lt;option value = "1970"&gt; 1970 &lt;/ option&gt; &lt;option value = "1969"&gt; 1969 &lt;/ option&gt; &lt;option value = "1968"&gt; 1968 &lt;/ option&gt; &lt;option value = "1967"&gt; 1967 &lt;/ option&gt; &lt;option value = "1966 "&gt; 1966 &lt;/ option&gt; &lt;option value =" 1965 "&gt; 1965 &lt;/ option&gt; &lt;option value =" 1964 "&gt; 1964 &lt;/ option&gt; &lt;option value =" 1963 "&gt; 1963 &lt;/ option&gt; &lt;option value = "1962"&gt; 1962 &lt;/ option&gt; &lt;option value = "1961"&gt; 1961 &lt;/ option&gt; &lt;option value = "1960"&gt; 1960 &lt;/ op tion&gt; &lt;option value = "1959"&gt; 1959 &lt;/ option&gt; &lt;option value = "1958"&gt; 1958 &lt;/ option&gt; &lt;option value = "1957"&gt; 1957 &lt;/ option&gt; &lt;option value = "1956"&gt; 1956 &lt;/ option&gt; &lt;option value = "1955"&gt; 1955 &lt;/ option&gt; &lt;option value = "1954"&gt; 1954 &lt;/ option&gt; &lt;option value = "1953"&gt; 1953 &lt;/ option&gt; &lt;option value = "1952" &gt; 1952 &lt;/ option&gt; &lt;option value = "1951"&gt; 1951 &lt;/ option&gt; &lt;option value = "1950"&gt; 1950 &lt;/ option&gt; &lt;option value = "1949"&gt; 1949 &lt;/ option&gt; &lt;option value = " 1948 "&gt; 1948 &lt;/ option&gt; &lt;option value =" 1947 "&gt; 1947 &lt;/ option&gt; &lt;option value =" 1946 "&gt; 1946 &lt;/ option&gt; &lt;option value =" 1945 "&gt; 1945 &lt;/ option&gt; &lt;value option = "1944"&gt; 1944 &lt;/ option&gt; &lt;option value = "1943"&gt; 1943 &lt;/ option&gt; &lt;option value = "1942"&gt; 1942 &lt;/ option&gt; &lt;option value = "1941"&gt; 1941 &lt;/ option&gt; &lt; option value = "1940"&gt; 1940 &lt;/ option&gt; &lt;option value = "1939"&gt; 1939 &lt;/ option&gt; &lt;option value = "1938"&gt; 1938 &lt;/ option&gt; &lt;option value = "1937"&gt; 1937 &lt;/ option &gt; &lt;option value = "1936"&gt; 1936 &lt;/ option&gt; &lt;option value = "1935"&gt; 1935 &lt;/ option&gt; &lt;option value = "1934"&gt; 1934 &lt;/ option&gt; &lt;option value = "1933"&gt; 1933 &lt; / option&gt; &lt;option value = "1932"&gt; 1932 &lt;/ option&gt; &lt;option value = "1931"&gt; 1931 &lt;/ option&gt; &lt;option v alue = "1930"&gt; 1930 &lt;/ option&gt; &lt;option value = "1929"&gt; 1929 &lt;/ option&gt; &lt;option value = "1928"&gt; 1928 &lt;/ option&gt; &lt;option value = "1927"&gt; 1927 &lt;/ option&gt; &lt;option value = "1926"&gt; 1926 &lt;/ option&gt; &lt;option value = "1925"&gt; 1925 &lt;/ option&gt; &lt;option value = "1924"&gt; 1924 &lt;/ option&gt; &lt;option value = "1923"&gt; 1923 &lt;/ option&gt; &lt;option value = "1922"&gt; 1922 &lt;/ option&gt; &lt;option value = "1921"&gt; 1921 &lt;/ option&gt; &lt;option value = "1920"&gt; 1920 &lt;/ option&gt; &lt;option value = "1919"&gt; 1919 &lt;/ option&gt; &lt;option value = "1918"&gt; 1918 &lt;/ option&gt; &lt;option value = "1917"&gt; 1917 &lt;/ option&gt; &lt;option value = "1916"&gt; 1916 &lt;/ option&gt; &lt;option value = "1915" &gt; 1915 &lt;/ option&gt; &lt;option value = "1914"&gt; 1914 &lt;/ option&gt; &lt;option value = "1913"&gt; 1913 &lt;/ option&gt; &lt;option value = "1912"&gt; 1912 &lt;/ option&gt; &lt;option value = " 1911 "&gt; 1911 &lt;/ option&gt; &lt;option value =" 1910 "&gt; 1910 &lt;/ option&gt; &lt;option value =" 1909 "&gt; 1909 &lt;/ option&gt; &lt;option value =" 1908 "&gt; 1908 &lt;/ option&gt; &lt;value option = "1907"&gt; 1907 &lt;/ option&gt; &lt;option value = "1906"&gt; 1906 &lt;/ option&gt; &lt;option value = "1905"&gt; 1905 &lt;/ option&gt; &lt;option value = "1904"&gt; 1904 &lt;/ option&gt; &lt; option value = "1903"&gt; 1903 &lt;/ option&gt; &lt;option value = "1902"&gt; 1902 &lt;/ option&gt; &lt;option value = "1901"&gt; 19 01 &lt;/ option&gt; &lt;option value = "1900"&gt; 1900 &lt;/ option&gt; &lt;/ select&gt; &lt;div tabindex = "- 1" class = "airy-age-gate-submit airy-submit-button airy airy-submit- disabled "&gt; Submit &lt;/ div&gt; &lt;/ div&gt; &lt;/ div&gt; &lt;/ div&gt; &lt;/ div&gt; &lt;/ div&gt; &lt;div tabindex =" - 1 "class =" airy-install-flash-dialog airy-stage airy -vertical-centering-table-dialog airy airy-denied "style =" opacity: 0; visibility: hidden; "&gt; &lt;div tabindex =" - 1 "class =" airy-install-flash-Vertical-centering-table-cell airy-Vertical-centering-table-cell "&gt; &lt;div tabindex =" - 1 "class = "airy-Vertical-centering-wrapper airy-install-flash-elements-wrapper"&gt; &lt;div tabindex = "- 1" class = "airy-install-flash-elements airy-dialog-elements"&gt; &lt;div tabindex = " -1 "class =" airy-install-flash-prompt "&gt; Adobe Flash Player is required to watch this video &lt;/ div&gt; &lt;div tabindex =." - 1 "class =" airy-install-flash-button-wrapper airy -dialog-inner-elements "&gt; &lt;div tabindex =" - 1 "class =" airy-install-flash-button airy-button "&gt; install Flash Player &lt;/ div&gt; &lt;/ div&gt; &lt;/ div&gt; &lt;/ div&gt; &lt;/ div&gt; &lt;/ div&gt; &lt;div tabindex = "- 1" class = "airy-video-unsupported-dialog airy-stage airy-Vertical-centering-table airy-dialog airy-denied" style = "opacity: 0; visibility: hidden; "&gt; &lt;div tabindex =" - 1 "class =" airy-video-unsupported-Vertical-centering-table-cell airy-Vertical-centering-table-cell "&gt; &lt;div tabindex =" - 1 "class = "airy-Vertical-centering-wrapper airy-video-unsupported-elements-wrapper"&gt; &lt;div tabindex = "- 1" class = "airy-video-unsupported-elements airy-dialog-elements"&gt; &lt;div tabindex = " -1 "class =" airy-video-unsupported-prompt "&gt; &lt;/ div&gt; &lt;/ div&gt; &lt;/ div&gt; &lt;/ div&gt; &lt;/ div&gt; &lt;div tabindex =" - 1 "class =" airy-loading- spinner-stage airy-stage "&gt; &lt;div tabindex =" - 1 "class =" airy-loading-spinner-Vertical-centering-table-cell airy-Vertical-centering-table-cell "&gt; &lt;div tabindex =" - 1 "class =" airy-loading-spinner-container airy-scalable-hint-container "&gt; &lt;div tabindex =" - 1 "class =" airy-loading-spinner-dummy airy-scalable-dummy "&gt; &lt;/ div&gt; &lt; div tabindex = "- 1" class = "airy-loading-spinner airy-hint" style = "visibility: hidden;"&gt; &lt;/ div&gt; &lt;/ div&gt; &lt;/ div&gt; &lt;/ div&gt; &lt;div tabindex = "- 1 "class =" airy-ads-screen-size-toggle airy-screen-size-toggle-fullscreen airy "style =" visibility: hidden; "&gt; &lt;/ div&gt; &lt;div tabindex = "-1" class = "airy-ad-prompt-container" style = "visibility: hidden;"&gt; &lt;div tabindex = "- 1" class = "airy-ad-prompt-Vertical-centering-table-vertically airy centering-table "&gt; &lt;div tabindex =" - 1 "class =" airy-ad-prompt-Vertical-centering-table-cell airy-Vertical-centering-table-cell "&gt; &lt;div tabindex =" - 1 "class = "airy-ad-prompt-label"&gt; &lt;/ div&gt; &lt;/ div&gt; &lt;/ div&gt; &lt;/ div&gt; &lt;div tabindex = "- 1" class = "airy-ads-controls-container" style = "visibility: hidden; "&gt; &lt;div tabindex =" - 1 "class =" airy-ads-audio-toggle airy-audio-toggle airy-on "style =" visibility: hidden; "&gt; &lt;/ div&gt; &lt;div tabindex =" - 1 "class =" airy-time-remaining-label-container "&gt; &lt;div tabindex =" - 1 "class =" airy-time-remaining-Vertical-centering-table airy-Vertical-centering-table "&gt; &lt;div tabindex = "- 1" class = "airy-time-remaining-Vertical-centering-table-cell airy-Vertical-centering-table-cell"&gt; &lt;div tabindex = "- 1" class = "airy-Vertical-centering-wrapper airy-time-remaining-label-wrapper "&gt; &lt;div tabindex =" - 1 "class =" airy-time-remaining-label "style =" visibility: hidden; "&gt; &lt;/ div&gt; &lt;div tabi ndex = "- 1" class = "airy-ad-skip" style = "visibility: hidden;"&gt; &lt;/ div&gt; &lt;div tabindex = "- 1" class = "airy-ad-end" style = "visibility: hidden "&gt; &lt;/ div&gt; &lt;/ div&gt; &lt;/ div&gt; &lt;/ div&gt; &lt;/ div&gt; &lt;div tabindex =" - 1 "class =" airy-learn-more "style =" visibility: hidden; "&gt; &lt;/ div&gt; &lt;/ div&gt; &lt;div tabindex = "- 1" class = "airy-play-toggle-hint-stage airy-stage airy-cursor"&gt; &lt;div tabindex = "- 1" class = "airy-play -toggle-hint-Vertical-centering-table-cell airy-Vertical-centering-table-cell airy-cursor "&gt; &lt;div tabindex =" - 1 "class =" airy-play-toggle-hint-container airy-scalable- Hint-container "&gt; &lt;div tabindex =" - 1 "class =" airy-play-toggle-hint-dummy airy-scalable-dummy "&gt; &lt;/ div&gt; &lt;div tabindex =" - 1 "class =" airy-play -toggle-hint hint airy-airy-play-hint "style =" opacity: 1; visibility: visible; "&gt; &lt;/ div&gt; &lt;/ div&gt; &lt;/ div&gt; &lt;/ div&gt; &lt;div tabindex =" - 1 "class =" airy-replay-hint-stage airy-stage "style =" visibility: hidden ; "&gt; &lt;div tabindex =" - 1 "class =" airy-replay-hint-Vertical-centering-table-cell airy-Vertical-centering-table-cell airy-cursor "&gt; &lt;div tabindex =" - 1 "class = "airy-replay-hint-container airy-scalable-hint-container"&gt; &lt;div tabindex = "- 1" class = "airy-replay-hint-dummy airy-scalable-dummy"&gt; &lt;/ div&gt; &lt;div tabindex = "- 1" class = "airy-replay-hint airy-hint"&gt; &lt;/ div&gt; &lt;/ div&gt; &lt;/ div&gt; &lt;/ div&gt; &lt;div tabindex = "- 1" class = "airy-autoplay-hint -stage airy-stage "style =" visibility: hidden; "&gt; &lt;div tabindex =" - 1 "class =" airy-autoplay-hint-Vertical-centering-table-cell airy-Vertical-centering-table-cell airy- cursor "&gt; &lt;div tabindex =" - 1 "class =" autoplay airy-airy-hint-container-scalable-hint-container "&gt; &lt;div tabindex =" - 1 "class =" airy-autoplay-hint-dummy airy- scalable-dummy "&gt; &lt;/ div&gt; &lt;/ div&gt; &lt;/ div&gt; &lt;/ div&gt; &lt;/ div&gt; &lt;/ div&gt; &lt;input type =" hidden "name =" "value =" https: // images-eu .ssl-images-amazon.com / images / I / A1OruJrv6RS.mp4 "Class =" video-url "&gt; &lt;input type =" hidden "name =" "value =" https://images-eu.ssl-images-amazon.com/images/I/C1ciyiEKJMS.png "class =" video-slate-img-url "&gt; &amp; nbsp; Wear a week using a half hour day because not much recommended daily use, but sometimes there are times when I spend time. I bought it for use by the whole family and we will not take turns when sitting on the couch. It's a nice feeling and pleasant, I usually use up to the neck and shoulders but also in the lumbar and tingling sensation is nice.</v>
      </c>
    </row>
    <row r="952">
      <c r="A952" s="1">
        <v>5.0</v>
      </c>
      <c r="B952" s="1" t="s">
        <v>947</v>
      </c>
      <c r="C952" t="str">
        <f>IFERROR(__xludf.DUMMYFUNCTION("GOOGLETRANSLATE(B952, ""es"", ""en"")"),"What I wanted. Handsome")</f>
        <v>What I wanted. Handsome</v>
      </c>
    </row>
    <row r="953">
      <c r="A953" s="1">
        <v>5.0</v>
      </c>
      <c r="B953" s="1" t="s">
        <v>948</v>
      </c>
      <c r="C953" t="str">
        <f>IFERROR(__xludf.DUMMYFUNCTION("GOOGLETRANSLATE(B953, ""es"", ""en"")"),"Good quality fabric good quality, I love")</f>
        <v>Good quality fabric good quality, I love</v>
      </c>
    </row>
    <row r="954">
      <c r="A954" s="1">
        <v>5.0</v>
      </c>
      <c r="B954" s="1" t="s">
        <v>949</v>
      </c>
      <c r="C954" t="str">
        <f>IFERROR(__xludf.DUMMYFUNCTION("GOOGLETRANSLATE(B954, ""es"", ""en"")"),"Perfect. / Quality ideal price. Met.")</f>
        <v>Perfect. / Quality ideal price. Met.</v>
      </c>
    </row>
    <row r="955">
      <c r="A955" s="1">
        <v>5.0</v>
      </c>
      <c r="B955" s="1" t="s">
        <v>950</v>
      </c>
      <c r="C955" t="str">
        <f>IFERROR(__xludf.DUMMYFUNCTION("GOOGLETRANSLATE(B955, ""es"", ""en"")"),"A right product right")</f>
        <v>A right product right</v>
      </c>
    </row>
    <row r="956">
      <c r="A956" s="1">
        <v>2.0</v>
      </c>
      <c r="B956" s="1" t="s">
        <v>951</v>
      </c>
      <c r="C956" t="str">
        <f>IFERROR(__xludf.DUMMYFUNCTION("GOOGLETRANSLATE(B956, ""es"", ""en"")"),"There are other options on the market, we do not recommend. We buy recommendation and q really regret the avent philips from our experience give many turns to this, wide mouth, tight thread around, much easier when cleaning, and teats than this if q it is"&amp;" very personal likes more our baby. In addition the measurement scale for example has 30 ml or 60 ml which are what we give our newborn, so even silly me takes longer make shots with these bottles.")</f>
        <v>There are other options on the market, we do not recommend. We buy recommendation and q really regret the avent philips from our experience give many turns to this, wide mouth, tight thread around, much easier when cleaning, and teats than this if q it is very personal likes more our baby. In addition the measurement scale for example has 30 ml or 60 ml which are what we give our newborn, so even silly me takes longer make shots with these bottles.</v>
      </c>
    </row>
    <row r="957">
      <c r="A957" s="1">
        <v>3.0</v>
      </c>
      <c r="B957" s="1" t="s">
        <v>952</v>
      </c>
      <c r="C957" t="str">
        <f>IFERROR(__xludf.DUMMYFUNCTION("GOOGLETRANSLATE(B957, ""es"", ""en"")"),"fulfills its function thought to carry two tickets to the miniSD card behave as a double drive, but it is not. Take default which is engaged, and if they are two which is at the bottom. I tried to 64GB in an old PSP and although it takes a few seconds to "&amp;"recognize the card, handled with ease.")</f>
        <v>fulfills its function thought to carry two tickets to the miniSD card behave as a double drive, but it is not. Take default which is engaged, and if they are two which is at the bottom. I tried to 64GB in an old PSP and although it takes a few seconds to recognize the card, handled with ease.</v>
      </c>
    </row>
    <row r="958">
      <c r="A958" s="1">
        <v>3.0</v>
      </c>
      <c r="B958" s="1" t="s">
        <v>953</v>
      </c>
      <c r="C958" t="str">
        <f>IFERROR(__xludf.DUMMYFUNCTION("GOOGLETRANSLATE(B958, ""es"", ""en"")"),"Are very rigid shoes are beautiful. However they are super hard. I hurt the back of the foot, at least the first three times I put them on. I had to use banditas and really was not pleasant even bother with thick socks. He agreed with several people who a"&amp;"re very hard on newly purchased.")</f>
        <v>Are very rigid shoes are beautiful. However they are super hard. I hurt the back of the foot, at least the first three times I put them on. I had to use banditas and really was not pleasant even bother with thick socks. He agreed with several people who are very hard on newly purchased.</v>
      </c>
    </row>
    <row r="959">
      <c r="A959" s="1">
        <v>1.0</v>
      </c>
      <c r="B959" s="1" t="s">
        <v>954</v>
      </c>
      <c r="C959" t="str">
        <f>IFERROR(__xludf.DUMMYFUNCTION("GOOGLETRANSLATE(B959, ""es"", ""en"")"),"Deception does not work the lock ... a hoax full")</f>
        <v>Deception does not work the lock ... a hoax full</v>
      </c>
    </row>
    <row r="960">
      <c r="A960" s="1">
        <v>1.0</v>
      </c>
      <c r="B960" s="1" t="s">
        <v>955</v>
      </c>
      <c r="C960" t="str">
        <f>IFERROR(__xludf.DUMMYFUNCTION("GOOGLETRANSLATE(B960, ""es"", ""en"")"),"Did not work, returned the computer recognized him but could not capture sound")</f>
        <v>Did not work, returned the computer recognized him but could not capture sound</v>
      </c>
    </row>
    <row r="961">
      <c r="A961" s="1">
        <v>4.0</v>
      </c>
      <c r="B961" s="1" t="s">
        <v>956</v>
      </c>
      <c r="C961" t="str">
        <f>IFERROR(__xludf.DUMMYFUNCTION("GOOGLETRANSLATE(B961, ""es"", ""en"")"),"They are very comfortable very comfortable, so if you have to ask for a number less The only downside is that stalls a little water")</f>
        <v>They are very comfortable very comfortable, so if you have to ask for a number less The only downside is that stalls a little water</v>
      </c>
    </row>
    <row r="962">
      <c r="A962" s="1">
        <v>4.0</v>
      </c>
      <c r="B962" s="1" t="s">
        <v>957</v>
      </c>
      <c r="C962" t="str">
        <f>IFERROR(__xludf.DUMMYFUNCTION("GOOGLETRANSLATE(B962, ""es"", ""en"")"),"Good gift good gift and good quality, but for its closure system, the assistance of another person is needed.")</f>
        <v>Good gift good gift and good quality, but for its closure system, the assistance of another person is needed.</v>
      </c>
    </row>
    <row r="963">
      <c r="A963" s="1">
        <v>4.0</v>
      </c>
      <c r="B963" s="1" t="s">
        <v>958</v>
      </c>
      <c r="C963" t="str">
        <f>IFERROR(__xludf.DUMMYFUNCTION("GOOGLETRANSLATE(B963, ""es"", ""en"")"),"Economico and very good Super SSD 240GB Kingston. Great quality and very fast. Fully recommended a purchase and more at this price")</f>
        <v>Economico and very good Super SSD 240GB Kingston. Great quality and very fast. Fully recommended a purchase and more at this price</v>
      </c>
    </row>
    <row r="964">
      <c r="A964" s="1">
        <v>4.0</v>
      </c>
      <c r="B964" s="1" t="s">
        <v>959</v>
      </c>
      <c r="C964" t="str">
        <f>IFERROR(__xludf.DUMMYFUNCTION("GOOGLETRANSLATE(B964, ""es"", ""en"")"),"ideal size if you have little space highlighted the size, occupying very little space in the kitchen, it seems it takes a tad longer to heat the water but the difference is barely noticeable, so great because so save energy.")</f>
        <v>ideal size if you have little space highlighted the size, occupying very little space in the kitchen, it seems it takes a tad longer to heat the water but the difference is barely noticeable, so great because so save energy.</v>
      </c>
    </row>
    <row r="965">
      <c r="A965" s="1">
        <v>4.0</v>
      </c>
      <c r="B965" s="1" t="s">
        <v>960</v>
      </c>
      <c r="C965" t="str">
        <f>IFERROR(__xludf.DUMMYFUNCTION("GOOGLETRANSLATE(B965, ""es"", ""en"")"),"Good buy than expected, good product quality / price I was surprised how good they sound, and that he was used to a sennheiser. The only thing I do not like is the union of the cable with the jack, he looks to break out there. That if, hopefully within a "&amp;"lot.")</f>
        <v>Good buy than expected, good product quality / price I was surprised how good they sound, and that he was used to a sennheiser. The only thing I do not like is the union of the cable with the jack, he looks to break out there. That if, hopefully within a lot.</v>
      </c>
    </row>
    <row r="966">
      <c r="A966" s="1">
        <v>5.0</v>
      </c>
      <c r="B966" s="1" t="s">
        <v>961</v>
      </c>
      <c r="C966" t="str">
        <f>IFERROR(__xludf.DUMMYFUNCTION("GOOGLETRANSLATE(B966, ""es"", ""en"")"),"Casio forever! Watch in perfect condition, as shown in the description. Very comfortable i easy to use, a classic. The metal strap is easily adjusted with a screwdriver, but I had to look at me a tutorial on youtube, fits right away. Multimode alarm has n"&amp;"o use for anything, chronometer and dual time zone. Looks like it will last long, very happy with the purchase.")</f>
        <v>Casio forever! Watch in perfect condition, as shown in the description. Very comfortable i easy to use, a classic. The metal strap is easily adjusted with a screwdriver, but I had to look at me a tutorial on youtube, fits right away. Multimode alarm has no use for anything, chronometer and dual time zone. Looks like it will last long, very happy with the purchase.</v>
      </c>
    </row>
    <row r="967">
      <c r="A967" s="1">
        <v>5.0</v>
      </c>
      <c r="B967" s="1" t="s">
        <v>962</v>
      </c>
      <c r="C967" t="str">
        <f>IFERROR(__xludf.DUMMYFUNCTION("GOOGLETRANSLATE(B967, ""es"", ""en"")"),"Just what I was looking excellent pack of oils with scents that I like. The use in porcelain oil burner because I like to use a humidifier and is scented room for several hours.")</f>
        <v>Just what I was looking excellent pack of oils with scents that I like. The use in porcelain oil burner because I like to use a humidifier and is scented room for several hours.</v>
      </c>
    </row>
    <row r="968">
      <c r="A968" s="1">
        <v>5.0</v>
      </c>
      <c r="B968" s="1" t="s">
        <v>745</v>
      </c>
      <c r="C968" t="str">
        <f>IFERROR(__xludf.DUMMYFUNCTION("GOOGLETRANSLATE(B968, ""es"", ""en"")"),"perfect perfect")</f>
        <v>perfect perfect</v>
      </c>
    </row>
    <row r="969">
      <c r="A969" s="1">
        <v>5.0</v>
      </c>
      <c r="B969" s="1" t="s">
        <v>963</v>
      </c>
      <c r="C969" t="str">
        <f>IFERROR(__xludf.DUMMYFUNCTION("GOOGLETRANSLATE(B969, ""es"", ""en"")"),"Good tissue. Has good fabric, strong and soft cotton at the same time, it is very comfortable, I measure 1.70 and comes rather long but I like it just as well,")</f>
        <v>Good tissue. Has good fabric, strong and soft cotton at the same time, it is very comfortable, I measure 1.70 and comes rather long but I like it just as well,</v>
      </c>
    </row>
    <row r="970">
      <c r="A970" s="1">
        <v>5.0</v>
      </c>
      <c r="B970" s="1" t="s">
        <v>964</v>
      </c>
      <c r="C970" t="str">
        <f>IFERROR(__xludf.DUMMYFUNCTION("GOOGLETRANSLATE(B970, ""es"", ""en"")"),"Quality. Perfect.")</f>
        <v>Quality. Perfect.</v>
      </c>
    </row>
    <row r="971">
      <c r="A971" s="1">
        <v>5.0</v>
      </c>
      <c r="B971" s="1" t="s">
        <v>965</v>
      </c>
      <c r="C971" t="str">
        <f>IFERROR(__xludf.DUMMYFUNCTION("GOOGLETRANSLATE(B971, ""es"", ""en"")"),"Very good Good product")</f>
        <v>Very good Good product</v>
      </c>
    </row>
    <row r="972">
      <c r="A972" s="1">
        <v>5.0</v>
      </c>
      <c r="B972" s="1" t="s">
        <v>966</v>
      </c>
      <c r="C972" t="str">
        <f>IFERROR(__xludf.DUMMYFUNCTION("GOOGLETRANSLATE(B972, ""es"", ""en"")"),"For Super USB bottles in pack order and good price. He came very well packaged and sealed.")</f>
        <v>For Super USB bottles in pack order and good price. He came very well packaged and sealed.</v>
      </c>
    </row>
    <row r="973">
      <c r="A973" s="1">
        <v>5.0</v>
      </c>
      <c r="B973" s="1" t="s">
        <v>967</v>
      </c>
      <c r="C973" t="str">
        <f>IFERROR(__xludf.DUMMYFUNCTION("GOOGLETRANSLATE(B973, ""es"", ""en"")"),"Calgon 75 pills After 6 uses note that smell washer begun to disappear The photograph as described by the manufacturer")</f>
        <v>Calgon 75 pills After 6 uses note that smell washer begun to disappear The photograph as described by the manufacturer</v>
      </c>
    </row>
    <row r="974">
      <c r="A974" s="1">
        <v>5.0</v>
      </c>
      <c r="B974" s="1" t="s">
        <v>968</v>
      </c>
      <c r="C974" t="str">
        <f>IFERROR(__xludf.DUMMYFUNCTION("GOOGLETRANSLATE(B974, ""es"", ""en"")"),"It is well was a gift for my mother and has been very happy.")</f>
        <v>It is well was a gift for my mother and has been very happy.</v>
      </c>
    </row>
    <row r="975">
      <c r="A975" s="1">
        <v>5.0</v>
      </c>
      <c r="B975" s="1" t="s">
        <v>969</v>
      </c>
      <c r="C975" t="str">
        <f>IFERROR(__xludf.DUMMYFUNCTION("GOOGLETRANSLATE(B975, ""es"", ""en"")"),"Optimal for babies who likes this kind of good quality baby bottle nipple. It is not yellow over time and is manufactured with non-hazardous materials for children. Nipples likes to my daughter. It is easily cleaned with a brush.")</f>
        <v>Optimal for babies who likes this kind of good quality baby bottle nipple. It is not yellow over time and is manufactured with non-hazardous materials for children. Nipples likes to my daughter. It is easily cleaned with a brush.</v>
      </c>
    </row>
    <row r="976">
      <c r="A976" s="1">
        <v>5.0</v>
      </c>
      <c r="B976" s="1" t="s">
        <v>970</v>
      </c>
      <c r="C976" t="str">
        <f>IFERROR(__xludf.DUMMYFUNCTION("GOOGLETRANSLATE(B976, ""es"", ""en"")"),"Just what I needed I needed a new card for my new camera. Great moment. It is very fast copying the photos to the computer (RAW) and so I took (21,99) I have not seen one better.")</f>
        <v>Just what I needed I needed a new card for my new camera. Great moment. It is very fast copying the photos to the computer (RAW) and so I took (21,99) I have not seen one better.</v>
      </c>
    </row>
    <row r="977">
      <c r="A977" s="1">
        <v>5.0</v>
      </c>
      <c r="B977" s="1" t="s">
        <v>971</v>
      </c>
      <c r="C977" t="str">
        <f>IFERROR(__xludf.DUMMYFUNCTION("GOOGLETRANSLATE(B977, ""es"", ""en"")"),"Very good very good quality. Do not take off. Exact description")</f>
        <v>Very good very good quality. Do not take off. Exact description</v>
      </c>
    </row>
    <row r="978">
      <c r="A978" s="1">
        <v>5.0</v>
      </c>
      <c r="B978" s="1" t="s">
        <v>972</v>
      </c>
      <c r="C978" t="str">
        <f>IFERROR(__xludf.DUMMYFUNCTION("GOOGLETRANSLATE(B978, ""es"", ""en"")"),"Little to say quality unsurpassed quality timberland, gorgeous, comfortable and high quality in all aspectos.Repetiré purchase this brand.")</f>
        <v>Little to say quality unsurpassed quality timberland, gorgeous, comfortable and high quality in all aspectos.Repetiré purchase this brand.</v>
      </c>
    </row>
    <row r="979">
      <c r="A979" s="1">
        <v>5.0</v>
      </c>
      <c r="B979" s="1" t="s">
        <v>973</v>
      </c>
      <c r="C979" t="str">
        <f>IFERROR(__xludf.DUMMYFUNCTION("GOOGLETRANSLATE(B979, ""es"", ""en"")"),"Great, great audio on this great disne can move and place as you want and you can adjust the level of the voice from the same microphone I love, and with an incredible price.")</f>
        <v>Great, great audio on this great disne can move and place as you want and you can adjust the level of the voice from the same microphone I love, and with an incredible price.</v>
      </c>
    </row>
    <row r="980">
      <c r="A980" s="1">
        <v>5.0</v>
      </c>
      <c r="B980" s="1" t="s">
        <v>974</v>
      </c>
      <c r="C980" t="str">
        <f>IFERROR(__xludf.DUMMYFUNCTION("GOOGLETRANSLATE(B980, ""es"", ""en"")"),"Very useful I bought it, and has come on me today, very fast shipping! And perfecto.Además goes the bowl, turn revolve while rotating rods, and that is perfect since all phenomenal mix")</f>
        <v>Very useful I bought it, and has come on me today, very fast shipping! And perfecto.Además goes the bowl, turn revolve while rotating rods, and that is perfect since all phenomenal mix</v>
      </c>
    </row>
    <row r="981">
      <c r="A981" s="1">
        <v>5.0</v>
      </c>
      <c r="B981" s="1" t="s">
        <v>975</v>
      </c>
      <c r="C981" t="str">
        <f>IFERROR(__xludf.DUMMYFUNCTION("GOOGLETRANSLATE(B981, ""es"", ""en"")"),"Perfect storage and portability faultlessly")</f>
        <v>Perfect storage and portability faultlessly</v>
      </c>
    </row>
    <row r="982">
      <c r="A982" s="1">
        <v>5.0</v>
      </c>
      <c r="B982" s="1" t="s">
        <v>976</v>
      </c>
      <c r="C982" t="str">
        <f>IFERROR(__xludf.DUMMYFUNCTION("GOOGLETRANSLATE(B982, ""es"", ""en"")"),"Perfect!!!! It is identical with the description, well, how ..... downside to being bright housing all traces remain")</f>
        <v>Perfect!!!! It is identical with the description, well, how ..... downside to being bright housing all traces remain</v>
      </c>
    </row>
    <row r="983">
      <c r="A983" s="1">
        <v>5.0</v>
      </c>
      <c r="B983" s="1" t="s">
        <v>977</v>
      </c>
      <c r="C983" t="str">
        <f>IFERROR(__xludf.DUMMYFUNCTION("GOOGLETRANSLATE(B983, ""es"", ""en"")"),"I think the best time to soften ... Because they are very hard .. But yes keep the foot in place ... Very good truth")</f>
        <v>I think the best time to soften ... Because they are very hard .. But yes keep the foot in place ... Very good truth</v>
      </c>
    </row>
    <row r="984">
      <c r="A984" s="1">
        <v>5.0</v>
      </c>
      <c r="B984" s="1" t="s">
        <v>978</v>
      </c>
      <c r="C984" t="str">
        <f>IFERROR(__xludf.DUMMYFUNCTION("GOOGLETRANSLATE(B984, ""es"", ""en"")"),"Design and quality. Very happy with the bracelet ... it looks great ... plata..y is the second that I buy and very satisfied.")</f>
        <v>Design and quality. Very happy with the bracelet ... it looks great ... plata..y is the second that I buy and very satisfied.</v>
      </c>
    </row>
    <row r="985">
      <c r="A985" s="1">
        <v>2.0</v>
      </c>
      <c r="B985" s="1" t="s">
        <v>979</v>
      </c>
      <c r="C985" t="str">
        <f>IFERROR(__xludf.DUMMYFUNCTION("GOOGLETRANSLATE(B985, ""es"", ""en"")"),"It has no power or for a beet !! I bought it because I saw very recommended blogs and such, the brand that gave me confidence and ice pick because he said, indicating sufficient power to chop vegetables ... nope! Or a beet can sting. A shame, really. Espe"&amp;"cially considering the price, come on, a scam.")</f>
        <v>It has no power or for a beet !! I bought it because I saw very recommended blogs and such, the brand that gave me confidence and ice pick because he said, indicating sufficient power to chop vegetables ... nope! Or a beet can sting. A shame, really. Especially considering the price, come on, a scam.</v>
      </c>
    </row>
    <row r="986">
      <c r="A986" s="1">
        <v>3.0</v>
      </c>
      <c r="B986" s="1" t="s">
        <v>980</v>
      </c>
      <c r="C986" t="str">
        <f>IFERROR(__xludf.DUMMYFUNCTION("GOOGLETRANSLATE(B986, ""es"", ""en"")"),"Good finish of the product but falls short in some details bag generally is good, I like its aesthetics and finishes. The material is made which gives the impression (subjectively) and reading some reviews, not being tough enough. Another paste that is pu"&amp;"t the strap length. It is too short for people like me who have a normal height. Otherwise it's fine with enough sections and is comfortable to wear.")</f>
        <v>Good finish of the product but falls short in some details bag generally is good, I like its aesthetics and finishes. The material is made which gives the impression (subjectively) and reading some reviews, not being tough enough. Another paste that is put the strap length. It is too short for people like me who have a normal height. Otherwise it's fine with enough sections and is comfortable to wear.</v>
      </c>
    </row>
    <row r="987">
      <c r="A987" s="1">
        <v>3.0</v>
      </c>
      <c r="B987" s="1" t="s">
        <v>981</v>
      </c>
      <c r="C987" t="str">
        <f>IFERROR(__xludf.DUMMYFUNCTION("GOOGLETRANSLATE(B987, ""es"", ""en"")"),"Top for larger bodies whether the fabric and finish is fine all they are slightly wider and appear more mini shirts tops")</f>
        <v>Top for larger bodies whether the fabric and finish is fine all they are slightly wider and appear more mini shirts tops</v>
      </c>
    </row>
    <row r="988">
      <c r="A988" s="1">
        <v>1.0</v>
      </c>
      <c r="B988" s="1" t="s">
        <v>982</v>
      </c>
      <c r="C988" t="str">
        <f>IFERROR(__xludf.DUMMYFUNCTION("GOOGLETRANSLATE(B988, ""es"", ""en"")"),"Good way to waste time I bought for the office and already gave me some ""fear"". In the out of the box everything was going well, but the lid open and a strange smell out. I tried to warm up a coffee and some of it stuck in the metal base. He stood there"&amp;" since then nothing came out. The board said base is plastic giving it a unique flavor to your coffee. I returned it to the next day and behaved Amazon handing me back the full money for the product.")</f>
        <v>Good way to waste time I bought for the office and already gave me some "fear". In the out of the box everything was going well, but the lid open and a strange smell out. I tried to warm up a coffee and some of it stuck in the metal base. He stood there since then nothing came out. The board said base is plastic giving it a unique flavor to your coffee. I returned it to the next day and behaved Amazon handing me back the full money for the product.</v>
      </c>
    </row>
    <row r="989">
      <c r="A989" s="1">
        <v>1.0</v>
      </c>
      <c r="B989" s="1" t="s">
        <v>983</v>
      </c>
      <c r="C989" t="str">
        <f>IFERROR(__xludf.DUMMYFUNCTION("GOOGLETRANSLATE(B989, ""es"", ""en"")"),"Good watch. Bad link belt. The links of the belt are pressure and are so bad they do not go far enough to get them to shorten the belt")</f>
        <v>Good watch. Bad link belt. The links of the belt are pressure and are so bad they do not go far enough to get them to shorten the belt</v>
      </c>
    </row>
    <row r="990">
      <c r="A990" s="1">
        <v>4.0</v>
      </c>
      <c r="B990" s="1" t="s">
        <v>984</v>
      </c>
      <c r="C990" t="str">
        <f>IFERROR(__xludf.DUMMYFUNCTION("GOOGLETRANSLATE(B990, ""es"", ""en"")"),"I use works to emulsify creams, cosmetic oils, etc ... works great despite its quality (low), q more can you ask for the price q has.")</f>
        <v>I use works to emulsify creams, cosmetic oils, etc ... works great despite its quality (low), q more can you ask for the price q has.</v>
      </c>
    </row>
    <row r="991">
      <c r="A991" s="1">
        <v>4.0</v>
      </c>
      <c r="B991" s="1" t="s">
        <v>985</v>
      </c>
      <c r="C991" t="str">
        <f>IFERROR(__xludf.DUMMYFUNCTION("GOOGLETRANSLATE(B991, ""es"", ""en"")"),"Reading and Writing goes very well both writing as reading any file")</f>
        <v>Reading and Writing goes very well both writing as reading any file</v>
      </c>
    </row>
    <row r="992">
      <c r="A992" s="1">
        <v>4.0</v>
      </c>
      <c r="B992" s="1" t="s">
        <v>986</v>
      </c>
      <c r="C992" t="str">
        <f>IFERROR(__xludf.DUMMYFUNCTION("GOOGLETRANSLATE(B992, ""es"", ""en"")"),"M.2 SSD hard drive perfect for my new laptop and install on OS w10 and programs that use. It has arrived in good condition and the value for money is the best.")</f>
        <v>M.2 SSD hard drive perfect for my new laptop and install on OS w10 and programs that use. It has arrived in good condition and the value for money is the best.</v>
      </c>
    </row>
    <row r="993">
      <c r="A993" s="1">
        <v>4.0</v>
      </c>
      <c r="B993" s="1" t="s">
        <v>987</v>
      </c>
      <c r="C993" t="str">
        <f>IFERROR(__xludf.DUMMYFUNCTION("GOOGLETRANSLATE(B993, ""es"", ""en"")"),"Convenient and comfortable and long-lasting durability")</f>
        <v>Convenient and comfortable and long-lasting durability</v>
      </c>
    </row>
    <row r="994">
      <c r="A994" s="1">
        <v>5.0</v>
      </c>
      <c r="B994" s="1" t="s">
        <v>988</v>
      </c>
      <c r="C994" t="str">
        <f>IFERROR(__xludf.DUMMYFUNCTION("GOOGLETRANSLATE(B994, ""es"", ""en"")"),"Perfect watch arrived perfectly wrapped to not get spoiled. In addition, the watch is of very good quality, time has passed and still like new.")</f>
        <v>Perfect watch arrived perfectly wrapped to not get spoiled. In addition, the watch is of very good quality, time has passed and still like new.</v>
      </c>
    </row>
    <row r="995">
      <c r="A995" s="1">
        <v>5.0</v>
      </c>
      <c r="B995" s="1" t="s">
        <v>989</v>
      </c>
      <c r="C995" t="str">
        <f>IFERROR(__xludf.DUMMYFUNCTION("GOOGLETRANSLATE(B995, ""es"", ""en"")"),"Value for money. Very comfortable, breathable and air chamber. The quality is pretty good, price is not bad. 100% recommended.")</f>
        <v>Value for money. Very comfortable, breathable and air chamber. The quality is pretty good, price is not bad. 100% recommended.</v>
      </c>
    </row>
    <row r="996">
      <c r="A996" s="1">
        <v>5.0</v>
      </c>
      <c r="B996" s="1" t="s">
        <v>990</v>
      </c>
      <c r="C996" t="str">
        <f>IFERROR(__xludf.DUMMYFUNCTION("GOOGLETRANSLATE(B996, ""es"", ""en"")"),"Everything Perfect Perfect")</f>
        <v>Everything Perfect Perfect</v>
      </c>
    </row>
    <row r="997">
      <c r="A997" s="1">
        <v>5.0</v>
      </c>
      <c r="B997" s="1" t="s">
        <v>991</v>
      </c>
      <c r="C997" t="str">
        <f>IFERROR(__xludf.DUMMYFUNCTION("GOOGLETRANSLATE(B997, ""es"", ""en"")"),"Good Value Good Value.")</f>
        <v>Good Value Good Value.</v>
      </c>
    </row>
    <row r="998">
      <c r="A998" s="1">
        <v>5.0</v>
      </c>
      <c r="B998" s="1" t="s">
        <v>992</v>
      </c>
      <c r="C998" t="str">
        <f>IFERROR(__xludf.DUMMYFUNCTION("GOOGLETRANSLATE(B998, ""es"", ""en"")"),"Perfect for brand helmets in the gym, running ok")</f>
        <v>Perfect for brand helmets in the gym, running ok</v>
      </c>
    </row>
    <row r="999">
      <c r="A999" s="1">
        <v>5.0</v>
      </c>
      <c r="B999" s="1" t="s">
        <v>993</v>
      </c>
      <c r="C999" t="str">
        <f>IFERROR(__xludf.DUMMYFUNCTION("GOOGLETRANSLATE(B999, ""es"", ""en"")"),"Very well they priced long in coming but very good. There are of all colors and are quite nice. If you weave often these markers are perfect.")</f>
        <v>Very well they priced long in coming but very good. There are of all colors and are quite nice. If you weave often these markers are perfect.</v>
      </c>
    </row>
    <row r="1000">
      <c r="A1000" s="1">
        <v>5.0</v>
      </c>
      <c r="B1000" s="1" t="s">
        <v>994</v>
      </c>
      <c r="C1000" t="str">
        <f>IFERROR(__xludf.DUMMYFUNCTION("GOOGLETRANSLATE(B1000, ""es"", ""en"")"),"Comfortable comfortable and good price")</f>
        <v>Comfortable comfortable and good price</v>
      </c>
    </row>
    <row r="1001">
      <c r="A1001" s="1">
        <v>5.0</v>
      </c>
      <c r="B1001" s="1" t="s">
        <v>995</v>
      </c>
      <c r="C1001" t="str">
        <f>IFERROR(__xludf.DUMMYFUNCTION("GOOGLETRANSLATE(B1001, ""es"", ""en"")"),"Shipping was perfect as usual Amazon perfect and the product meets the expectations at a reasonable price. A now see if it lasts a few years because we know all appliances are made to last the justito for guarantee. Above the same brand took us about 4 ye"&amp;"ars.")</f>
        <v>Shipping was perfect as usual Amazon perfect and the product meets the expectations at a reasonable price. A now see if it lasts a few years because we know all appliances are made to last the justito for guarantee. Above the same brand took us about 4 years.</v>
      </c>
    </row>
    <row r="1002">
      <c r="A1002" s="1">
        <v>5.0</v>
      </c>
      <c r="B1002" s="1" t="s">
        <v>996</v>
      </c>
      <c r="C1002" t="str">
        <f>IFERROR(__xludf.DUMMYFUNCTION("GOOGLETRANSLATE(B1002, ""es"", ""en"")"),"A good watch must-have of watchmaking. And small was the first model and now I have the update. By putting a snag, maybe the buttons are somewhat hard. Otherwise, super duper")</f>
        <v>A good watch must-have of watchmaking. And small was the first model and now I have the update. By putting a snag, maybe the buttons are somewhat hard. Otherwise, super duper</v>
      </c>
    </row>
    <row r="1003">
      <c r="A1003" s="1">
        <v>5.0</v>
      </c>
      <c r="B1003" s="1" t="s">
        <v>997</v>
      </c>
      <c r="C1003" t="str">
        <f>IFERROR(__xludf.DUMMYFUNCTION("GOOGLETRANSLATE(B1003, ""es"", ""en"")"),"Expected I liked the sound it makes while you acercartelo enough to hear, as should be clear, is not a cowbell. Otherwise everything as in the description of the advert")</f>
        <v>Expected I liked the sound it makes while you acercartelo enough to hear, as should be clear, is not a cowbell. Otherwise everything as in the description of the advert</v>
      </c>
    </row>
    <row r="1004">
      <c r="A1004" s="1">
        <v>5.0</v>
      </c>
      <c r="B1004" s="1" t="s">
        <v>998</v>
      </c>
      <c r="C1004" t="str">
        <f>IFERROR(__xludf.DUMMYFUNCTION("GOOGLETRANSLATE(B1004, ""es"", ""en"")"),"well this mixer is very well ... It is very useful and easy to make dessert ... and only with money so cheap, I really like.")</f>
        <v>well this mixer is very well ... It is very useful and easy to make dessert ... and only with money so cheap, I really like.</v>
      </c>
    </row>
    <row r="1005">
      <c r="A1005" s="1">
        <v>5.0</v>
      </c>
      <c r="B1005" s="1" t="s">
        <v>999</v>
      </c>
      <c r="C1005" t="str">
        <f>IFERROR(__xludf.DUMMYFUNCTION("GOOGLETRANSLATE(B1005, ""es"", ""en"")"),"tállele superior quality and expected superior quality and sizing expected")</f>
        <v>tállele superior quality and expected superior quality and sizing expected</v>
      </c>
    </row>
    <row r="1006">
      <c r="A1006" s="1">
        <v>5.0</v>
      </c>
      <c r="B1006" s="1" t="s">
        <v>1000</v>
      </c>
      <c r="C1006" t="str">
        <f>IFERROR(__xludf.DUMMYFUNCTION("GOOGLETRANSLATE(B1006, ""es"", ""en"")"),"Perfect for large rooms. Good long-distance reception Kit 2 emitters to quales are adaptable microphone, viebe kit with 2 sets of microphones for each transmitter, one headset and one with forceps. Adjustable volume of each channel received.")</f>
        <v>Perfect for large rooms. Good long-distance reception Kit 2 emitters to quales are adaptable microphone, viebe kit with 2 sets of microphones for each transmitter, one headset and one with forceps. Adjustable volume of each channel received.</v>
      </c>
    </row>
    <row r="1007">
      <c r="A1007" s="1">
        <v>5.0</v>
      </c>
      <c r="B1007" s="1" t="s">
        <v>1001</v>
      </c>
      <c r="C1007" t="str">
        <f>IFERROR(__xludf.DUMMYFUNCTION("GOOGLETRANSLATE(B1007, ""es"", ""en"")"),"Exceptional value what I was looking Neither more nor less than cardboard tags. Very good quality!")</f>
        <v>Exceptional value what I was looking Neither more nor less than cardboard tags. Very good quality!</v>
      </c>
    </row>
    <row r="1008">
      <c r="A1008" s="1">
        <v>5.0</v>
      </c>
      <c r="B1008" s="1" t="s">
        <v>1002</v>
      </c>
      <c r="C1008" t="str">
        <f>IFERROR(__xludf.DUMMYFUNCTION("GOOGLETRANSLATE(B1008, ""es"", ""en"")"),"Perfect sound are perfect. Hear great. Would buy them. I recommend")</f>
        <v>Perfect sound are perfect. Hear great. Would buy them. I recommend</v>
      </c>
    </row>
    <row r="1009">
      <c r="A1009" s="1">
        <v>5.0</v>
      </c>
      <c r="B1009" s="1" t="s">
        <v>1003</v>
      </c>
      <c r="C1009" t="str">
        <f>IFERROR(__xludf.DUMMYFUNCTION("GOOGLETRANSLATE(B1009, ""es"", ""en"")"),"Works well without being an expert Anyway, I was looking for a flashgun series Elinchrom 500/600 90s because once I came shopping with one form of this and did not require other apparatus channels , I tried it without the device and did not work with him "&amp;"since the sync cable, yes. The apparatus uses shoe two AAA batteries, not I can talk using flashes charges for neither've tried it and do not think it will, but if you have a camera that does not have to connect a sync cable, such as the Canon EOS 600D or"&amp;" 6D, to cite an example, here you have this aparatejo ridiculous price that works well.")</f>
        <v>Works well without being an expert Anyway, I was looking for a flashgun series Elinchrom 500/600 90s because once I came shopping with one form of this and did not require other apparatus channels , I tried it without the device and did not work with him since the sync cable, yes. The apparatus uses shoe two AAA batteries, not I can talk using flashes charges for neither've tried it and do not think it will, but if you have a camera that does not have to connect a sync cable, such as the Canon EOS 600D or 6D, to cite an example, here you have this aparatejo ridiculous price that works well.</v>
      </c>
    </row>
    <row r="1010">
      <c r="A1010" s="1">
        <v>5.0</v>
      </c>
      <c r="B1010" s="1" t="s">
        <v>1004</v>
      </c>
      <c r="C1010" t="str">
        <f>IFERROR(__xludf.DUMMYFUNCTION("GOOGLETRANSLATE(B1010, ""es"", ""en"")"),"Windbreaker woman is very comfortable even clearer than it looks in the picture")</f>
        <v>Windbreaker woman is very comfortable even clearer than it looks in the picture</v>
      </c>
    </row>
    <row r="1011">
      <c r="A1011" s="1">
        <v>5.0</v>
      </c>
      <c r="B1011" s="1" t="s">
        <v>1005</v>
      </c>
      <c r="C1011" t="str">
        <f>IFERROR(__xludf.DUMMYFUNCTION("GOOGLETRANSLATE(B1011, ""es"", ""en"")"),"Delivery speed and comfort Everything perfect")</f>
        <v>Delivery speed and comfort Everything perfect</v>
      </c>
    </row>
    <row r="1012">
      <c r="A1012" s="1">
        <v>5.0</v>
      </c>
      <c r="B1012" s="1" t="s">
        <v>1006</v>
      </c>
      <c r="C1012" t="str">
        <f>IFERROR(__xludf.DUMMYFUNCTION("GOOGLETRANSLATE(B1012, ""es"", ""en"")"),"Very Happy Very good buy. I love how well you pick up this bottle my baby. And very fast delivery. I recommend it to everyone.")</f>
        <v>Very Happy Very good buy. I love how well you pick up this bottle my baby. And very fast delivery. I recommend it to everyone.</v>
      </c>
    </row>
    <row r="1013">
      <c r="A1013" s="1">
        <v>2.0</v>
      </c>
      <c r="B1013" s="1" t="s">
        <v>1007</v>
      </c>
      <c r="C1013" t="str">
        <f>IFERROR(__xludf.DUMMYFUNCTION("GOOGLETRANSLATE(B1013, ""es"", ""en"")"),"The interior is plastic inside plastic is better if stainless pictured inside is not well displayed, not the type of plastic used detailed if bpa free")</f>
        <v>The interior is plastic inside plastic is better if stainless pictured inside is not well displayed, not the type of plastic used detailed if bpa free</v>
      </c>
    </row>
    <row r="1014">
      <c r="A1014" s="1">
        <v>3.0</v>
      </c>
      <c r="B1014" s="1" t="s">
        <v>1008</v>
      </c>
      <c r="C1014" t="str">
        <f>IFERROR(__xludf.DUMMYFUNCTION("GOOGLETRANSLATE(B1014, ""es"", ""en"")"),"Acceptable results The mixer itself meets promised, not bad, it beats everything pretty well and smoothly. Several important issues must consider before purchasing this product: 1: the blades go up and are very exposed, advise against this type of product"&amp;" if you have any loose Peke at home. a court may take in the process. (Look at the pictures of some of the customers and understand) 2: makes enough noise, so do not make smoothies at night if you have neighbors. 3: a personal experience, the third use it"&amp;" blocked me the knife and I could not get him out, I had to change it and so far takes 6 uses without giving problems. If you engage you to try to not get it out and return it or I shall bear a few cuts on the way (experience)")</f>
        <v>Acceptable results The mixer itself meets promised, not bad, it beats everything pretty well and smoothly. Several important issues must consider before purchasing this product: 1: the blades go up and are very exposed, advise against this type of product if you have any loose Peke at home. a court may take in the process. (Look at the pictures of some of the customers and understand) 2: makes enough noise, so do not make smoothies at night if you have neighbors. 3: a personal experience, the third use it blocked me the knife and I could not get him out, I had to change it and so far takes 6 uses without giving problems. If you engage you to try to not get it out and return it or I shall bear a few cuts on the way (experience)</v>
      </c>
    </row>
    <row r="1015">
      <c r="A1015" s="1">
        <v>1.0</v>
      </c>
      <c r="B1015" s="1" t="s">
        <v>1009</v>
      </c>
      <c r="C1015" t="str">
        <f>IFERROR(__xludf.DUMMYFUNCTION("GOOGLETRANSLATE(B1015, ""es"", ""en"")"),"does not work or a bit late time and test the microphone does not work.")</f>
        <v>does not work or a bit late time and test the microphone does not work.</v>
      </c>
    </row>
    <row r="1016">
      <c r="A1016" s="1">
        <v>1.0</v>
      </c>
      <c r="B1016" s="1" t="s">
        <v>1010</v>
      </c>
      <c r="C1016" t="str">
        <f>IFERROR(__xludf.DUMMYFUNCTION("GOOGLETRANSLATE(B1016, ""es"", ""en"")"),"Izzycasta8 Very bad. a few days ago to buy it and it produces noise and fails. I do not recommend as they sell it as high quality item and anti tangles and my experience is not true. It entangles more than rubber and hard to keep. They sell it as professi"&amp;"onal cable but leaves much to be desired.")</f>
        <v>Izzycasta8 Very bad. a few days ago to buy it and it produces noise and fails. I do not recommend as they sell it as high quality item and anti tangles and my experience is not true. It entangles more than rubber and hard to keep. They sell it as professional cable but leaves much to be desired.</v>
      </c>
    </row>
    <row r="1017">
      <c r="A1017" s="1">
        <v>4.0</v>
      </c>
      <c r="B1017" s="1" t="s">
        <v>1011</v>
      </c>
      <c r="C1017" t="str">
        <f>IFERROR(__xludf.DUMMYFUNCTION("GOOGLETRANSLATE(B1017, ""es"", ""en"")"),"comfortable with buying Quality is important. without problems you can make cakes and cupckake. Excellent. rapudo you can enjoy making cakes and uncomplicated")</f>
        <v>comfortable with buying Quality is important. without problems you can make cakes and cupckake. Excellent. rapudo you can enjoy making cakes and uncomplicated</v>
      </c>
    </row>
    <row r="1018">
      <c r="A1018" s="1">
        <v>4.0</v>
      </c>
      <c r="B1018" s="1" t="s">
        <v>1012</v>
      </c>
      <c r="C1018" t="str">
        <f>IFERROR(__xludf.DUMMYFUNCTION("GOOGLETRANSLATE(B1018, ""es"", ""en"")"),"try to work lack hope not trouble me")</f>
        <v>try to work lack hope not trouble me</v>
      </c>
    </row>
    <row r="1019">
      <c r="A1019" s="1">
        <v>4.0</v>
      </c>
      <c r="B1019" s="1" t="s">
        <v>1013</v>
      </c>
      <c r="C1019" t="str">
        <f>IFERROR(__xludf.DUMMYFUNCTION("GOOGLETRANSLATE(B1019, ""es"", ""en"")"),"Good buy is a known brand, that gives security, use these cards for Raspberry, use other brands such as Samsung and SanDisk. In using this I realized that all is by far the least space has a 62GB as far as trying to move the image of SanDisk, which of the"&amp;" above two is the least has (a little less than Samsung Evo ) she did not let me. The problem is missing 2gb and plenty of room for gitarlo image, for I prefer you use the other. Now, if you go from scratch or want for mobile for example, is a great buy, "&amp;"I snagged 7 € and something very good.")</f>
        <v>Good buy is a known brand, that gives security, use these cards for Raspberry, use other brands such as Samsung and SanDisk. In using this I realized that all is by far the least space has a 62GB as far as trying to move the image of SanDisk, which of the above two is the least has (a little less than Samsung Evo ) she did not let me. The problem is missing 2gb and plenty of room for gitarlo image, for I prefer you use the other. Now, if you go from scratch or want for mobile for example, is a great buy, I snagged 7 € and something very good.</v>
      </c>
    </row>
    <row r="1020">
      <c r="A1020" s="1">
        <v>4.0</v>
      </c>
      <c r="B1020" s="1" t="s">
        <v>1014</v>
      </c>
      <c r="C1020" t="str">
        <f>IFERROR(__xludf.DUMMYFUNCTION("GOOGLETRANSLATE(B1020, ""es"", ""en"")"),"They are like the picture are very beautiful")</f>
        <v>They are like the picture are very beautiful</v>
      </c>
    </row>
    <row r="1021">
      <c r="A1021" s="1">
        <v>4.0</v>
      </c>
      <c r="B1021" s="1" t="s">
        <v>1015</v>
      </c>
      <c r="C1021" t="str">
        <f>IFERROR(__xludf.DUMMYFUNCTION("GOOGLETRANSLATE(B1021, ""es"", ""en"")"),"Nipples number 4 does not put the teats are 4. More than 6 months. Hello I had to buy teats 3. Otherwise, eat very well with them.")</f>
        <v>Nipples number 4 does not put the teats are 4. More than 6 months. Hello I had to buy teats 3. Otherwise, eat very well with them.</v>
      </c>
    </row>
    <row r="1022">
      <c r="A1022" s="1">
        <v>5.0</v>
      </c>
      <c r="B1022" s="1" t="s">
        <v>238</v>
      </c>
      <c r="C1022" t="str">
        <f>IFERROR(__xludf.DUMMYFUNCTION("GOOGLETRANSLATE(B1022, ""es"", ""en"")"),"perfect perfect")</f>
        <v>perfect perfect</v>
      </c>
    </row>
    <row r="1023">
      <c r="A1023" s="1">
        <v>5.0</v>
      </c>
      <c r="B1023" s="1" t="s">
        <v>1016</v>
      </c>
      <c r="C1023" t="str">
        <f>IFERROR(__xludf.DUMMYFUNCTION("GOOGLETRANSLATE(B1023, ""es"", ""en"")"),"Practical and compatible with breastfeeding started giving formula milk reinforcing my son using other bottles and suddenly he stopped to catch his chest. A changing this bottle he has returned to snag the chest smoothly. Furthermore, this pack allows us "&amp;"to store bottles. We have more than 1 month are using it and new as the first day. I think he just come a nipple could be a little cheaper.")</f>
        <v>Practical and compatible with breastfeeding started giving formula milk reinforcing my son using other bottles and suddenly he stopped to catch his chest. A changing this bottle he has returned to snag the chest smoothly. Furthermore, this pack allows us to store bottles. We have more than 1 month are using it and new as the first day. I think he just come a nipple could be a little cheaper.</v>
      </c>
    </row>
    <row r="1024">
      <c r="A1024" s="1">
        <v>5.0</v>
      </c>
      <c r="B1024" s="1" t="s">
        <v>1017</v>
      </c>
      <c r="C1024" t="str">
        <f>IFERROR(__xludf.DUMMYFUNCTION("GOOGLETRANSLATE(B1024, ""es"", ""en"")"),"They are very practical hello, to keep things small value you have at home, rings, watches, money, any document, etc. I recommend your purchase to be very practical")</f>
        <v>They are very practical hello, to keep things small value you have at home, rings, watches, money, any document, etc. I recommend your purchase to be very practical</v>
      </c>
    </row>
    <row r="1025">
      <c r="A1025" s="1">
        <v>5.0</v>
      </c>
      <c r="B1025" s="1" t="s">
        <v>1018</v>
      </c>
      <c r="C1025" t="str">
        <f>IFERROR(__xludf.DUMMYFUNCTION("GOOGLETRANSLATE(B1025, ""es"", ""en"")"),"The best Loctite For me it is the best Loctite within its adhesives and formats, apart from the product itself that sticks around with no problems, the packaging is fast, clean and dry inside as happens in the vast majority of formats. I recommend it.")</f>
        <v>The best Loctite For me it is the best Loctite within its adhesives and formats, apart from the product itself that sticks around with no problems, the packaging is fast, clean and dry inside as happens in the vast majority of formats. I recommend it.</v>
      </c>
    </row>
    <row r="1026">
      <c r="A1026" s="1">
        <v>5.0</v>
      </c>
      <c r="B1026" s="1" t="s">
        <v>1019</v>
      </c>
      <c r="C1026" t="str">
        <f>IFERROR(__xludf.DUMMYFUNCTION("GOOGLETRANSLATE(B1026, ""es"", ""en"")"),"easy cleaning and several bottles already knew these products, but I never decided to buy one until I saw this one that brought two bottles. Powerful moment hya no fruit or vegetable with which it has failed. Fits perfectly with a simple click and within "&amp;"30 seconds you have a shake well what you want creamy and rich. Strawberries with bananas, blueberries and raspberries with yogurt ... airtight seal, for me this is fundamental. You can pack bottles relax in the gym bag or backpack and take it wherever yo"&amp;"u want. The cans are BPA-free so it does not take odor or taste and are not toxic. Very easy to clean as well but they would bring some spare blades, but I understand that perhaps asking too much for the price you have the machine. As for the noise it is "&amp;"more or less like the coffee grinder, but being short is not annoying. It is also perfect for a creamy fruit salad for the kids in the house. I am very satisfied with the purchase. He came home one day and since then I have given all the fruts out of the "&amp;"fridge.")</f>
        <v>easy cleaning and several bottles already knew these products, but I never decided to buy one until I saw this one that brought two bottles. Powerful moment hya no fruit or vegetable with which it has failed. Fits perfectly with a simple click and within 30 seconds you have a shake well what you want creamy and rich. Strawberries with bananas, blueberries and raspberries with yogurt ... airtight seal, for me this is fundamental. You can pack bottles relax in the gym bag or backpack and take it wherever you want. The cans are BPA-free so it does not take odor or taste and are not toxic. Very easy to clean as well but they would bring some spare blades, but I understand that perhaps asking too much for the price you have the machine. As for the noise it is more or less like the coffee grinder, but being short is not annoying. It is also perfect for a creamy fruit salad for the kids in the house. I am very satisfied with the purchase. He came home one day and since then I have given all the fruts out of the fridge.</v>
      </c>
    </row>
    <row r="1027">
      <c r="A1027" s="1">
        <v>5.0</v>
      </c>
      <c r="B1027" s="1" t="s">
        <v>1020</v>
      </c>
      <c r="C1027" t="str">
        <f>IFERROR(__xludf.DUMMYFUNCTION("GOOGLETRANSLATE(B1027, ""es"", ""en"")"),"The perfect comfort all are super comfortable and ligueras I shot 8 hours doing picking and seems to take a highly recommended sport shoes")</f>
        <v>The perfect comfort all are super comfortable and ligueras I shot 8 hours doing picking and seems to take a highly recommended sport shoes</v>
      </c>
    </row>
    <row r="1028">
      <c r="A1028" s="1">
        <v>5.0</v>
      </c>
      <c r="B1028" s="1" t="s">
        <v>1021</v>
      </c>
      <c r="C1028" t="str">
        <f>IFERROR(__xludf.DUMMYFUNCTION("GOOGLETRANSLATE(B1028, ""es"", ""en"")"),"Best for colic, good price Bottles helped us a lot with colic. This version is much better than the newer ""options"", does not leak. I wish I'd bought the kit of 5 from the beginning, I had saved up in the night to wash a bottle.")</f>
        <v>Best for colic, good price Bottles helped us a lot with colic. This version is much better than the newer "options", does not leak. I wish I'd bought the kit of 5 from the beginning, I had saved up in the night to wash a bottle.</v>
      </c>
    </row>
    <row r="1029">
      <c r="A1029" s="1">
        <v>5.0</v>
      </c>
      <c r="B1029" s="1" t="s">
        <v>1022</v>
      </c>
      <c r="C1029" t="str">
        <f>IFERROR(__xludf.DUMMYFUNCTION("GOOGLETRANSLATE(B1029, ""es"", ""en"")"),"Carmen just great and very comfortable. Versatile. Walking very comfortable. Size always more than expected but not me off all summer")</f>
        <v>Carmen just great and very comfortable. Versatile. Walking very comfortable. Size always more than expected but not me off all summer</v>
      </c>
    </row>
    <row r="1030">
      <c r="A1030" s="1">
        <v>5.0</v>
      </c>
      <c r="B1030" s="1" t="s">
        <v>1023</v>
      </c>
      <c r="C1030" t="str">
        <f>IFERROR(__xludf.DUMMYFUNCTION("GOOGLETRANSLATE(B1030, ""es"", ""en"")"),"Julian are fantastic tights with excellent value for money. I use them for running and gym, they are very flexible and wide elastic prevents drain down.")</f>
        <v>Julian are fantastic tights with excellent value for money. I use them for running and gym, they are very flexible and wide elastic prevents drain down.</v>
      </c>
    </row>
    <row r="1031">
      <c r="A1031" s="1">
        <v>5.0</v>
      </c>
      <c r="B1031" s="1" t="s">
        <v>1024</v>
      </c>
      <c r="C1031" t="str">
        <f>IFERROR(__xludf.DUMMYFUNCTION("GOOGLETRANSLATE(B1031, ""es"", ""en"")"),"perfect boots. Carve large boots beautiful and at an unbeatable price. I recommend 100%. These boots are a size change before had bought a 39 which is my usual number and I were very large. so I can say that these boots carved large.")</f>
        <v>perfect boots. Carve large boots beautiful and at an unbeatable price. I recommend 100%. These boots are a size change before had bought a 39 which is my usual number and I were very large. so I can say that these boots carved large.</v>
      </c>
    </row>
    <row r="1032">
      <c r="A1032" s="1">
        <v>5.0</v>
      </c>
      <c r="B1032" s="1" t="s">
        <v>1025</v>
      </c>
      <c r="C1032" t="str">
        <f>IFERROR(__xludf.DUMMYFUNCTION("GOOGLETRANSLATE(B1032, ""es"", ""en"")"),"Perfect what we expected.")</f>
        <v>Perfect what we expected.</v>
      </c>
    </row>
    <row r="1033">
      <c r="A1033" s="1">
        <v>5.0</v>
      </c>
      <c r="B1033" s="1" t="s">
        <v>1026</v>
      </c>
      <c r="C1033" t="str">
        <f>IFERROR(__xludf.DUMMYFUNCTION("GOOGLETRANSLATE(B1033, ""es"", ""en"")"),"Pleased with this purchase Given my penchant for herbal tea while I'm working, I wanted to make me a kettle to the style that you usually find in hotel rooms when traveling to abroad. Given my confidence in the brand Aicok, I ordered this model in additio"&amp;"n to good reviews from buyers was with a very attractive price and good discount. Once tested a few days, can not say good things of this Kettle with temperature control. It has a bestial power 2.200W, significantly higher than other brands I've seen most"&amp;" popular shopping malls. The first thing that stands out is its solid appearance and quality, is that this is a good article, which is quality care. It is stainless steel and weighs in hand, is by no means a flimsy product. In fact, it is made &amp; nbsp; an "&amp;"inner and outer layer modern brushed stainless steel 304. Easy to serve with a plastic handle and comfortable lever mechanism anti-spill. Due to its double wall vacuum insulated with proof lid can also be used as a heater, because it keeps the hot water a"&amp;"bove 60 ℃ for 6 hours without wasting any electricity. It has a double wall construction, so that the outer layer and the plastic handles remain cool to the touch even when water boils within. The operation is very simple. Simply take water above the sign"&amp;"al minimum and below the maximum, the lid is closed, the ON button is pressed in 2 minutes and have up to 1.7 liters of boiling water. With the temperature selector can heat the water at a lower temperature and can be selected 40, 50, 60, 70, 80, 90 and 1"&amp;"00 degrees. For example, 70 ° C is recommended for delicate teas, 80 ° C for green tea and white tea, 90 ° C for tea or coffee current and 100 ° C for black tea and tea. &amp; Nbsp;")</f>
        <v>Pleased with this purchase Given my penchant for herbal tea while I'm working, I wanted to make me a kettle to the style that you usually find in hotel rooms when traveling to abroad. Given my confidence in the brand Aicok, I ordered this model in addition to good reviews from buyers was with a very attractive price and good discount. Once tested a few days, can not say good things of this Kettle with temperature control. It has a bestial power 2.200W, significantly higher than other brands I've seen most popular shopping malls. The first thing that stands out is its solid appearance and quality, is that this is a good article, which is quality care. It is stainless steel and weighs in hand, is by no means a flimsy product. In fact, it is made &amp; nbsp; an inner and outer layer modern brushed stainless steel 304. Easy to serve with a plastic handle and comfortable lever mechanism anti-spill. Due to its double wall vacuum insulated with proof lid can also be used as a heater, because it keeps the hot water above 60 ℃ for 6 hours without wasting any electricity. It has a double wall construction, so that the outer layer and the plastic handles remain cool to the touch even when water boils within. The operation is very simple. Simply take water above the signal minimum and below the maximum, the lid is closed, the ON button is pressed in 2 minutes and have up to 1.7 liters of boiling water. With the temperature selector can heat the water at a lower temperature and can be selected 40, 50, 60, 70, 80, 90 and 100 degrees. For example, 70 ° C is recommended for delicate teas, 80 ° C for green tea and white tea, 90 ° C for tea or coffee current and 100 ° C for black tea and tea. &amp; Nbsp;</v>
      </c>
    </row>
    <row r="1034">
      <c r="A1034" s="1">
        <v>5.0</v>
      </c>
      <c r="B1034" s="1" t="s">
        <v>1027</v>
      </c>
      <c r="C1034" t="str">
        <f>IFERROR(__xludf.DUMMYFUNCTION("GOOGLETRANSLATE(B1034, ""es"", ""en"")"),"As for the expected 8 perfect IPhone")</f>
        <v>As for the expected 8 perfect IPhone</v>
      </c>
    </row>
    <row r="1035">
      <c r="A1035" s="1">
        <v>5.0</v>
      </c>
      <c r="B1035" s="1" t="s">
        <v>1028</v>
      </c>
      <c r="C1035" t="str">
        <f>IFERROR(__xludf.DUMMYFUNCTION("GOOGLETRANSLATE(B1035, ""es"", ""en"")"),"It weighs little money and cherishes good enough.")</f>
        <v>It weighs little money and cherishes good enough.</v>
      </c>
    </row>
    <row r="1036">
      <c r="A1036" s="1">
        <v>5.0</v>
      </c>
      <c r="B1036" s="1" t="s">
        <v>1029</v>
      </c>
      <c r="C1036" t="str">
        <f>IFERROR(__xludf.DUMMYFUNCTION("GOOGLETRANSLATE(B1036, ""es"", ""en"")"),"Great This great, just what I was looking for cheap and good quality.")</f>
        <v>Great This great, just what I was looking for cheap and good quality.</v>
      </c>
    </row>
    <row r="1037">
      <c r="A1037" s="1">
        <v>5.0</v>
      </c>
      <c r="B1037" s="1" t="s">
        <v>1030</v>
      </c>
      <c r="C1037" t="str">
        <f>IFERROR(__xludf.DUMMYFUNCTION("GOOGLETRANSLATE(B1037, ""es"", ""en"")"),"For months I have not dried the same package and unlike other brands are not well dry and clean dirt from hands")</f>
        <v>For months I have not dried the same package and unlike other brands are not well dry and clean dirt from hands</v>
      </c>
    </row>
    <row r="1038">
      <c r="A1038" s="1">
        <v>5.0</v>
      </c>
      <c r="B1038" s="1" t="s">
        <v>1031</v>
      </c>
      <c r="C1038" t="str">
        <f>IFERROR(__xludf.DUMMYFUNCTION("GOOGLETRANSLATE(B1038, ""es"", ""en"")"),"Shoes very warm. They are treated in a type slippers booties to go home ideal for the cold months. They have an inner coating that make them very warm and prevent cold transferred. In my case, I perfectly fit your feet and are very comfortable to use. So "&amp;"far I am very satisfied with them and nothing happened cold.")</f>
        <v>Shoes very warm. They are treated in a type slippers booties to go home ideal for the cold months. They have an inner coating that make them very warm and prevent cold transferred. In my case, I perfectly fit your feet and are very comfortable to use. So far I am very satisfied with them and nothing happened cold.</v>
      </c>
    </row>
    <row r="1039">
      <c r="A1039" s="1">
        <v>5.0</v>
      </c>
      <c r="B1039" s="1" t="s">
        <v>1032</v>
      </c>
      <c r="C1039" t="str">
        <f>IFERROR(__xludf.DUMMYFUNCTION("GOOGLETRANSLATE(B1039, ""es"", ""en"")"),"its light weight. The product is what I expected, very satisfied.")</f>
        <v>its light weight. The product is what I expected, very satisfied.</v>
      </c>
    </row>
    <row r="1040">
      <c r="A1040" s="1">
        <v>2.0</v>
      </c>
      <c r="B1040" s="1" t="s">
        <v>1033</v>
      </c>
      <c r="C1040" t="str">
        <f>IFERROR(__xludf.DUMMYFUNCTION("GOOGLETRANSLATE(B1040, ""es"", ""en"")"),"I have been futile not know if I'm doing something wrong or what, but did not pull no avail. I consider myself a fairly advanced user of technology, and I have not gotten it sound good or a Galaxy S6 with different apps or top spec PC with various program"&amp;"s including Amplitube. The delay is intolerable. Although not much, I wasted my money. Make no mistake, buy an interface with digital output.")</f>
        <v>I have been futile not know if I'm doing something wrong or what, but did not pull no avail. I consider myself a fairly advanced user of technology, and I have not gotten it sound good or a Galaxy S6 with different apps or top spec PC with various programs including Amplitube. The delay is intolerable. Although not much, I wasted my money. Make no mistake, buy an interface with digital output.</v>
      </c>
    </row>
    <row r="1041">
      <c r="A1041" s="1">
        <v>3.0</v>
      </c>
      <c r="B1041" s="1" t="s">
        <v>1034</v>
      </c>
      <c r="C1041" t="str">
        <f>IFERROR(__xludf.DUMMYFUNCTION("GOOGLETRANSLATE(B1041, ""es"", ""en"")"),"Product quality is just average, are padded inside and heat up something a little wider size. Sending a disaster, it took two days longer than established")</f>
        <v>Product quality is just average, are padded inside and heat up something a little wider size. Sending a disaster, it took two days longer than established</v>
      </c>
    </row>
    <row r="1042">
      <c r="A1042" s="1">
        <v>3.0</v>
      </c>
      <c r="B1042" s="1" t="s">
        <v>1035</v>
      </c>
      <c r="C1042" t="str">
        <f>IFERROR(__xludf.DUMMYFUNCTION("GOOGLETRANSLATE(B1042, ""es"", ""en"")"),"noisy hard drive is a USB 3.0 drive, but the maximum reading speed at which it arrives is about 90 mb / sec and 70 in writing. when you unplug (even when they had safely removed) is heard as the disc turns off suddenly, the feeling that is somewhat abrupt"&amp;". So far it has not given me any problems. I would recommend it to anyone who wants to have a hard drive at a good price, but considering that they are not going to get great transfer speeds.")</f>
        <v>noisy hard drive is a USB 3.0 drive, but the maximum reading speed at which it arrives is about 90 mb / sec and 70 in writing. when you unplug (even when they had safely removed) is heard as the disc turns off suddenly, the feeling that is somewhat abrupt. So far it has not given me any problems. I would recommend it to anyone who wants to have a hard drive at a good price, but considering that they are not going to get great transfer speeds.</v>
      </c>
    </row>
    <row r="1043">
      <c r="A1043" s="1">
        <v>1.0</v>
      </c>
      <c r="B1043" s="1" t="s">
        <v>1036</v>
      </c>
      <c r="C1043" t="str">
        <f>IFERROR(__xludf.DUMMYFUNCTION("GOOGLETRANSLATE(B1043, ""es"", ""en"")"),"They are huge bad, bad came over me and I had to return because you do not top the descambiaban by others .... A very amateurish brand")</f>
        <v>They are huge bad, bad came over me and I had to return because you do not top the descambiaban by others .... A very amateurish brand</v>
      </c>
    </row>
    <row r="1044">
      <c r="A1044" s="1">
        <v>1.0</v>
      </c>
      <c r="B1044" s="1" t="s">
        <v>1037</v>
      </c>
      <c r="C1044" t="str">
        <f>IFERROR(__xludf.DUMMYFUNCTION("GOOGLETRANSLATE(B1044, ""es"", ""en"")"),"Disappointing I was expecting something else. They catch a lot of crap and filling, easily crushed and no longer recovered. I have lasted very little and to the end, I bought other than")</f>
        <v>Disappointing I was expecting something else. They catch a lot of crap and filling, easily crushed and no longer recovered. I have lasted very little and to the end, I bought other than</v>
      </c>
    </row>
    <row r="1045">
      <c r="A1045" s="1">
        <v>1.0</v>
      </c>
      <c r="B1045" s="1" t="s">
        <v>1038</v>
      </c>
      <c r="C1045" t="str">
        <f>IFERROR(__xludf.DUMMYFUNCTION("GOOGLETRANSLATE(B1045, ""es"", ""en"")"),"Incompleteness Very nice but I could not prove. Cordless came and I could not be loaded. I have returned even though I liked. Shame. Should check that the orders come complete.")</f>
        <v>Incompleteness Very nice but I could not prove. Cordless came and I could not be loaded. I have returned even though I liked. Shame. Should check that the orders come complete.</v>
      </c>
    </row>
    <row r="1046">
      <c r="A1046" s="1">
        <v>4.0</v>
      </c>
      <c r="B1046" s="1" t="s">
        <v>1039</v>
      </c>
      <c r="C1046" t="str">
        <f>IFERROR(__xludf.DUMMYFUNCTION("GOOGLETRANSLATE(B1046, ""es"", ""en"")"),"Good value for money is necessary to take a size more than the usual size. (Took my usual size and had to return it because I was small) Fair value for money")</f>
        <v>Good value for money is necessary to take a size more than the usual size. (Took my usual size and had to return it because I was small) Fair value for money</v>
      </c>
    </row>
    <row r="1047">
      <c r="A1047" s="1">
        <v>4.0</v>
      </c>
      <c r="B1047" s="1" t="s">
        <v>1040</v>
      </c>
      <c r="C1047" t="str">
        <f>IFERROR(__xludf.DUMMYFUNCTION("GOOGLETRANSLATE(B1047, ""es"", ""en"")"),"While taking a number more secure then they adapt to your foot, I think it is advisable to take a number more")</f>
        <v>While taking a number more secure then they adapt to your foot, I think it is advisable to take a number more</v>
      </c>
    </row>
    <row r="1048">
      <c r="A1048" s="1">
        <v>4.0</v>
      </c>
      <c r="B1048" s="1" t="s">
        <v>1041</v>
      </c>
      <c r="C1048" t="str">
        <f>IFERROR(__xludf.DUMMYFUNCTION("GOOGLETRANSLATE(B1048, ""es"", ""en"")"),"Good choice I chose after reading reviews and was not disappointed at all. It has everything I wanted, big size, nice, light, time looks good, has good alarms and schedule. To take one but I knew I had the other resemblance, no good light for anything and"&amp;" little alarm sounds. He arrived as planned, as always Amazon very well.")</f>
        <v>Good choice I chose after reading reviews and was not disappointed at all. It has everything I wanted, big size, nice, light, time looks good, has good alarms and schedule. To take one but I knew I had the other resemblance, no good light for anything and little alarm sounds. He arrived as planned, as always Amazon very well.</v>
      </c>
    </row>
    <row r="1049">
      <c r="A1049" s="1">
        <v>4.0</v>
      </c>
      <c r="B1049" s="1" t="s">
        <v>1042</v>
      </c>
      <c r="C1049" t="str">
        <f>IFERROR(__xludf.DUMMYFUNCTION("GOOGLETRANSLATE(B1049, ""es"", ""en"")"),"Pretty good and cheap The only bad thing would be that the outside of the shoe comes with some white wrinkles but obviously only when you approach noticeable.")</f>
        <v>Pretty good and cheap The only bad thing would be that the outside of the shoe comes with some white wrinkles but obviously only when you approach noticeable.</v>
      </c>
    </row>
    <row r="1050">
      <c r="A1050" s="1">
        <v>4.0</v>
      </c>
      <c r="B1050" s="1" t="s">
        <v>1043</v>
      </c>
      <c r="C1050" t="str">
        <f>IFERROR(__xludf.DUMMYFUNCTION("GOOGLETRANSLATE(B1050, ""es"", ""en"")"),"Beautiful, light and strong know there are many external hard drives with much more capacity but I wanted one so small and light that perfectly fulfills its function. Yes the cable is not universal, or is it only works with it brings.")</f>
        <v>Beautiful, light and strong know there are many external hard drives with much more capacity but I wanted one so small and light that perfectly fulfills its function. Yes the cable is not universal, or is it only works with it brings.</v>
      </c>
    </row>
    <row r="1051">
      <c r="A1051" s="1">
        <v>5.0</v>
      </c>
      <c r="B1051" s="1" t="s">
        <v>1044</v>
      </c>
      <c r="C1051" t="str">
        <f>IFERROR(__xludf.DUMMYFUNCTION("GOOGLETRANSLATE(B1051, ""es"", ""en"")"),"This well 👍🏼")</f>
        <v>This well 👍🏼</v>
      </c>
    </row>
    <row r="1052">
      <c r="A1052" s="1">
        <v>5.0</v>
      </c>
      <c r="B1052" s="1" t="s">
        <v>1045</v>
      </c>
      <c r="C1052" t="str">
        <f>IFERROR(__xludf.DUMMYFUNCTION("GOOGLETRANSLATE(B1052, ""es"", ""en"")"),"Perfect I loved")</f>
        <v>Perfect I loved</v>
      </c>
    </row>
    <row r="1053">
      <c r="A1053" s="1">
        <v>5.0</v>
      </c>
      <c r="B1053" s="1" t="s">
        <v>1046</v>
      </c>
      <c r="C1053" t="str">
        <f>IFERROR(__xludf.DUMMYFUNCTION("GOOGLETRANSLATE(B1053, ""es"", ""en"")"),"Genial I bought a little small yet is needed q")</f>
        <v>Genial I bought a little small yet is needed q</v>
      </c>
    </row>
    <row r="1054">
      <c r="A1054" s="1">
        <v>5.0</v>
      </c>
      <c r="B1054" s="1" t="s">
        <v>1047</v>
      </c>
      <c r="C1054" t="str">
        <f>IFERROR(__xludf.DUMMYFUNCTION("GOOGLETRANSLATE(B1054, ""es"", ""en"")"),"Wonderful it exceeded my expectations.")</f>
        <v>Wonderful it exceeded my expectations.</v>
      </c>
    </row>
    <row r="1055">
      <c r="A1055" s="1">
        <v>5.0</v>
      </c>
      <c r="B1055" s="1" t="s">
        <v>1048</v>
      </c>
      <c r="C1055" t="str">
        <f>IFERROR(__xludf.DUMMYFUNCTION("GOOGLETRANSLATE(B1055, ""es"", ""en"")"),"Good product fulfills its purpose and acceptable quality")</f>
        <v>Good product fulfills its purpose and acceptable quality</v>
      </c>
    </row>
    <row r="1056">
      <c r="A1056" s="1">
        <v>5.0</v>
      </c>
      <c r="B1056" s="1" t="s">
        <v>1049</v>
      </c>
      <c r="C1056" t="str">
        <f>IFERROR(__xludf.DUMMYFUNCTION("GOOGLETRANSLATE(B1056, ""es"", ""en"")"),"Solid, functional and excellent finishes Versatile, powerful and functional. You can with everything. You just have to respect the maximum you specified in the instructions. Large capacity, power and rotation rate. The final consistency is more homogeneou"&amp;"s conceivable and ground so fine, that in the case of milkshakes with seeds, or a fine sieve can collect the resulting sediment, a cheesecloth or a Chinese cloth being necessary. It is clean in a jiffy and could not be easier to use. Like all, noisy somet"&amp;"hing.")</f>
        <v>Solid, functional and excellent finishes Versatile, powerful and functional. You can with everything. You just have to respect the maximum you specified in the instructions. Large capacity, power and rotation rate. The final consistency is more homogeneous conceivable and ground so fine, that in the case of milkshakes with seeds, or a fine sieve can collect the resulting sediment, a cheesecloth or a Chinese cloth being necessary. It is clean in a jiffy and could not be easier to use. Like all, noisy something.</v>
      </c>
    </row>
    <row r="1057">
      <c r="A1057" s="1">
        <v>5.0</v>
      </c>
      <c r="B1057" s="1" t="s">
        <v>1050</v>
      </c>
      <c r="C1057" t="str">
        <f>IFERROR(__xludf.DUMMYFUNCTION("GOOGLETRANSLATE(B1057, ""es"", ""en"")"),"Super cool and comfortable light !!! !!!")</f>
        <v>Super cool and comfortable light !!! !!!</v>
      </c>
    </row>
    <row r="1058">
      <c r="A1058" s="1">
        <v>5.0</v>
      </c>
      <c r="B1058" s="1" t="s">
        <v>1051</v>
      </c>
      <c r="C1058" t="str">
        <f>IFERROR(__xludf.DUMMYFUNCTION("GOOGLETRANSLATE(B1058, ""es"", ""en"")"),"Magnifica compra¡¡¡ not disappoint. It cleans great, aspires to full power and the battery is more than enough for an apartment of more than 100 meters. Lightweight, versatile, manageable, silent. I recommend, buy a cheaper and was a disappointment. I hav"&amp;"e it since more than six months, I think my opinion has some merit.")</f>
        <v>Magnifica compra¡¡¡ not disappoint. It cleans great, aspires to full power and the battery is more than enough for an apartment of more than 100 meters. Lightweight, versatile, manageable, silent. I recommend, buy a cheaper and was a disappointment. I have it since more than six months, I think my opinion has some merit.</v>
      </c>
    </row>
    <row r="1059">
      <c r="A1059" s="1">
        <v>5.0</v>
      </c>
      <c r="B1059" s="1" t="s">
        <v>1052</v>
      </c>
      <c r="C1059" t="str">
        <f>IFERROR(__xludf.DUMMYFUNCTION("GOOGLETRANSLATE(B1059, ""es"", ""en"")"),"Excellent!! I have an old SLR and wanted a card as possible size ... Just this complies model with my preferences, it is fast in reading and writing, high capacity, comes each with its protective case and above, the price is unbeatable.")</f>
        <v>Excellent!! I have an old SLR and wanted a card as possible size ... Just this complies model with my preferences, it is fast in reading and writing, high capacity, comes each with its protective case and above, the price is unbeatable.</v>
      </c>
    </row>
    <row r="1060">
      <c r="A1060" s="1">
        <v>5.0</v>
      </c>
      <c r="B1060" s="1" t="s">
        <v>1053</v>
      </c>
      <c r="C1060" t="str">
        <f>IFERROR(__xludf.DUMMYFUNCTION("GOOGLETRANSLATE(B1060, ""es"", ""en"")"),"Practical, small and comfortable as a small bag Super comfortable and just right for all, ideal for travel and several compartments Super appropriate to put all sorts of things.")</f>
        <v>Practical, small and comfortable as a small bag Super comfortable and just right for all, ideal for travel and several compartments Super appropriate to put all sorts of things.</v>
      </c>
    </row>
    <row r="1061">
      <c r="A1061" s="1">
        <v>5.0</v>
      </c>
      <c r="B1061" s="1" t="s">
        <v>1054</v>
      </c>
      <c r="C1061" t="str">
        <f>IFERROR(__xludf.DUMMYFUNCTION("GOOGLETRANSLATE(B1061, ""es"", ""en"")"),"Perfect &lt;div id = ""video-block-RGGNL7RJ7BJCU"" class = ""a-section a-spacing-small a-spacing-top mini video-block""&gt; &lt;div tabindex = ""0"" class = ""airy airy-svg vmin -unsupported airy-skin-beacon ""style ="" background-color: rgb (0, 0, 0) position: re"&amp;"lative; width: 100%; height: 100%; font-size: 0px; overflow: hidden; outline: none; ""&gt; &lt;div class ="" airy-renderer-container ""style ="" position: relative; height: 100%; width: 100%; ""&gt; &lt;video id ="" 7 ""preload ="" auto ""src ="" https : //images-eu."&amp;"ssl-images-amazon.com/images/I/A1wgdSQaTxS.mp4 ""style ="" position: absolute; left: 0px; top: 0px; overflow: hidden; height: 1px; width: 1px; ""&gt; &lt;/ video&gt; &lt;/ div&gt; &lt;div id ="" airy-slate-preload ""style ="" background-color: rgb (0, 0, 0); background-ima"&amp;"ge: url (&amp; quot; https: // images -eu.ssl-images-amazon.com/images/I/91YqCFkn43S.png&amp;quot;); background-size: Contain; background-position: center center; background-repeat: no-repeat; position: absolute; top: 0px; left: 0px; visibility: visible; width: 1"&amp;"00%; height: 100%; ""&gt; &lt;/ div&gt; &lt;iframe scrolling ="" no ""fr ameborder = ""0"" src = ""about: blank"" style = ""display: none;""&gt; &lt;/ iframe&gt; &lt;div tabindex = ""- 1"" class = ""airy-controls-container"" style = ""opacity: 0; visibility: hidden; ""&gt; &lt;div tab"&amp;"index ="" - 1 ""class ="" airy-screen-size-toggle airy-fullscreen ""&gt; &lt;/ div&gt; &lt;div tabindex ="" - 1 ""class ="" airy-container-bottom "" &gt; &lt;div tabindex = ""- 1"" class = ""airy-track-bar-spacer-left"" style = ""width: 11px;""&gt; &lt;/ div&gt; &lt;div tabindex = ""-"&amp;" 1"" class = ""airy-play- airy toggle-play ""style ="" width: 12px; margin-right: 12px; ""&gt; &lt;/ div&gt; &lt;div tabindex ="" - 1 ""class ="" airy-audio-elements ""style ="" float: right; width: 34px; ""&gt; &lt;div tabindex ="" - 1 ""class ="" airy-audio-toggle airy-o"&amp;"n ""&gt; &lt;/ div&gt; &lt;div tabindex ="" - 1 ""class ="" airy-audio-container ""style = ""opacity: 0; visibility: hidden; ""&gt; &lt;div tabindex ="" - 1 ""class ="" airy-audio-track-bar ""style ="" height: 80%; ""&gt; &lt;div tabindex ="" - 1 ""class ="" airy-audio- Scrubber"&amp;"-bar ""style ="" height: 85%; ""&gt; &lt;/ div&gt; &lt;div tabindex ="" - 1 ""class ="" airy-audio-scrubber ""style ="" height: 12px; bottom 85% ""&gt; &lt;/ div&gt; &lt;/ div&gt; &lt;/ div&gt; &lt;/ div&gt; &lt;div tabindex ="" - 1 ""class ="" airy-duration-label ""style ="" float: right; width:"&amp;" 26px; margin-right: 4px; text-align: center; ""&gt; 0:00 &lt;/ div&gt; &lt;div tabindex ="" - 1 ""class ="" airy-track-bar-spacer-right ""style ="" float: right; width: 11px; ""&gt; &lt;/ div&gt; &lt;div tabindex ="" - 1 ""class ="" airy-track-bar-container ""style ="" margin-l"&amp;"eft: 35px; margin-right: 75px; ""&gt; &lt;div tabindex ="" - 1 ""class ="" airy-airy-track-bar vertically-centering-table ""&gt; &lt;div tabindex ="" - 1 ""class ="" airy-Vertical-centering- table-cell ""&gt; &lt;div tabindex ="" - 1 ""class ="" airy-track-bar-elements ""&gt;"&amp;" &lt;div tabindex ="" - 1 ""class ="" airy-progress-bar ""&gt; &lt;/ div&gt; &lt;div tabindex = ""- 1"" class = ""airy-scrubber-bar""&gt; &lt;/ div&gt; &lt;div tabindex = ""- 1"" class = ""airy-scrubber""&gt; &lt;div tabindex = ""- 1"" class = ""airy-scrubber- icon ""&gt; &lt;/ div&gt; &lt;div tabin"&amp;"dex ="" - 1 ""class ="" airy-adjusted-AUI-tooltip ""style ="" opacity: 0; visibility: hidden; ""&gt; &lt;div tabindex ="" - 1 ""class ="" airy-adjusted-aui-tooltip-inner ""&gt; &lt;div tabindex ="" - 1 ""class ="" airy-current-time-label ""&gt; 0: 00 &lt;/ div&gt; &lt;/ div&gt; &lt;di"&amp;"v tabindex = ""- 1"" class = ""airy-adjusted-AUI-arrow-border""&gt; &lt;div tabindex = ""- 1"" class = ""airy-adjusted-AUI-arrow"" &gt; &lt;/ div&gt; &lt;/ div&gt; &lt;/ div&gt; &lt;/ div&gt; &lt;/ div&gt; &lt;/ div&gt; &lt;/ div&gt; &lt;/ div&gt; &lt;/ div&gt; &lt;/ div&gt; &lt;div tabindex = ""- 1"" class = ""airy-age-gate "&amp;"airy-stage airy-Vertical-centering-table airy-dialog"" style = ""opacity: 0; visibility: hidden; ""&gt; &lt;div tabindex ="" - 1 ""class ="" airy-age-gate-Vertical-centering-table-cell airy-Vertical-centering-table-cell ""&gt; &lt;div tabindex ="" - 1 ""class = ""air"&amp;"y-Vertical-centering-wrapper airy-age-gate-elements-wrapper""&gt; &lt;div tabindex = ""- 1"" class = ""airy-age-gate-elements airy-dialog-elements""&gt; &lt;div tabindex = "" -1 ""class ="" airy-age-gate-prompt ""&gt; This video is not Intended for all audiences What da"&amp;"te were you born &lt;/ div&gt; &lt;div tabindex =.?"" - 1 ""class ="" airy-age-gate -inputs airy-dialog-inner-elements ""&gt; &lt;select tabindex ="" - 1 ""class ="" airy-age-gate-month ""&gt; &lt;option value ="" 1 ""&gt; January &lt;/ option&gt; &lt;option value ="" 2 ""&gt; February &lt;/ o"&amp;"ption&gt; &lt;option value ="" 3 ""&gt; March &lt;/ option&gt; &lt;option value ="" 4 ""&gt; April &lt;/ option&gt; &lt;option value ="" 5 ""&gt; May &lt;/ option&gt; &lt;option value = ""6""&gt; June &lt;/ option&gt; &lt;option value = ""7""&gt; July &lt;/ option&gt; &lt;option value = ""8""&gt; August &lt;/ option&gt; &lt;option "&amp;"value = ""9""&gt; September &lt;/ option&gt; &lt;option value = ""10""&gt; October &lt;/ option&gt; &lt;option value = ""11""&gt; November &lt;/ option&gt; &lt;option value = ""12""&gt; December &lt;/ option&gt; &lt;/ select&gt; &lt;select tabindex = ""- 1"" class = ""airy-age-gate-day""&gt; &lt;opti on value = """&amp;"1""&gt; 1 &lt;/ option&gt; &lt;option value = ""2""&gt; 2 &lt;/ option&gt; &lt;option value = ""3""&gt; 3 &lt;/ option&gt; &lt;option value = ""4""&gt; 4 &lt;/ option &gt; &lt;option value = ""5""&gt; 5 &lt;/ option&gt; &lt;option value = ""6""&gt; 6 &lt;/ option&gt; &lt;option value = ""7""&gt; 7 &lt;/ option&gt; &lt;option value = ""8"&amp;"""&gt; 8 &lt; / option&gt; &lt;option value = ""9""&gt; 9 &lt;/ option&gt; &lt;option value = ""10""&gt; 10 &lt;/ option&gt; &lt;option value = ""11""&gt; 11 &lt;/ option&gt; &lt;option value = ""12""&gt; 12 &lt;/ option&gt; &lt;option value = ""13""&gt; 13 &lt;/ option&gt; &lt;option value = ""14""&gt; 14 &lt;/ option&gt; &lt;option val"&amp;"ue = ""15""&gt; 15 &lt;/ option&gt; &lt;option value = ""16 ""&gt; 16 &lt;/ option&gt; &lt;option value ="" 17 ""&gt; 17 &lt;/ option&gt; &lt;option value ="" 18 ""&gt; 18 &lt;/ option&gt; &lt;option value ="" 19 ""&gt; 19 &lt;/ option&gt; &lt;option value = ""20""&gt; 20 &lt;/ option&gt; &lt;option value = ""21""&gt; 21 &lt;/ opti"&amp;"on&gt; &lt;option value = ""22""&gt; 22 &lt;/ option&gt; &lt;option value = ""23""&gt; 23 &lt;/ option&gt; &lt;option value = ""24""&gt; 24 &lt;/ option&gt; &lt;option value = ""25""&gt; 25 &lt;/ option&gt; &lt;option value = ""26""&gt; 26 &lt;/ option&gt; &lt;option value = ""27""&gt; 27 &lt;/ option&gt; &lt;option value = ""28""&gt;"&amp;" 28 &lt;/ option&gt; &lt;option value = ""29""&gt; 29 &lt;/ option&gt; &lt;option value = ""30""&gt; 30 &lt;/ option&gt; &lt;option value = ""31""&gt; 31 &lt;/ option&gt; &lt;/ select&gt; &lt;select tabindex = ""- 1"" class = ""airy-age-gate-year""&gt; &lt;option value = ""2019""&gt; 2019 &lt;/ option&gt; &lt; option value"&amp;" = ""2018""&gt; 2018 &lt;/ option&gt; &lt;option value = ""2017""&gt; 2017 &lt;/ option&gt; &lt;option value = ""2016""&gt; ​​2016 &lt;/ option&gt; &lt;option value = ""2015""&gt; 2015 &lt;/ option &gt; &lt;option value = ""2014""&gt; 2014 &lt;/ option&gt; &lt;option value = ""2013""&gt; 2013 &lt;/ option&gt; &lt;option value"&amp;" = ""2012""&gt; 2012 &lt;/ option&gt; &lt;option value = ""2011""&gt; 2011 &lt; / option&gt; &lt;option value = ""2010""&gt; 2010 &lt;/ option&gt; &lt;option value = ""2009""&gt; 2009 &lt;/ option&gt; &lt;option value = ""2008""&gt; 2008 &lt;/ option&gt; &lt;option value = ""2007""&gt; 2007 &lt;/ option&gt; &lt;option value ="&amp;" ""2006""&gt; 2006 &lt;/ option&gt; &lt;option value = ""2005""&gt; 2005 &lt;/ option&gt; &lt;option value = ""2004""&gt; 2004 &lt;/ option&gt; &lt;option value = ""2003 ""&gt; 2003 &lt;/ option&gt; &lt;option value ="" 2002 ""&gt; 2002 &lt;/ option&gt; &lt;option value ="" 2001 ""&gt; 2001 &lt;/ option&gt; &lt;option value ="&amp;""" 2000 ""&gt; 2000 &lt;/ option&gt; &lt;option value = ""1999""&gt; 1999 &lt;/ option&gt; &lt;option value = ""1998""&gt; 1998 &lt;/ option&gt; &lt;option value = ""1997""&gt; 1997 &lt;/ option&gt; &lt;option value = ""1996""&gt; 1996 &lt;/ option&gt; &lt;option value = ""1995""&gt; 1995 &lt;/ option&gt; &lt;option value = "&amp;"""1994""&gt; 1994 &lt;/ option&gt; &lt;option value = ""1993""&gt; 1993 &lt;/ option&gt; &lt;option value = ""1992""&gt; 1992 &lt;/ option&gt; &lt;option value = ""1991""&gt; 1991 &lt;/ option&gt; &lt;option value = ""1990""&gt; 1990 &lt;/ option&gt; &lt;option value = "" 1989 ""&gt; 1989 &lt;/ option&gt; &lt;option value ="""&amp;" 1988 ""&gt; 1988 &lt;/ option&gt; &lt;option value ="" 1987 ""&gt; 1987 &lt;/ option&gt; &lt;option value ="" 1986 ""&gt; 1986 &lt;/ option&gt; &lt;value option = ""1985""&gt; 1985 &lt;/ option&gt; &lt;option value = ""1984""&gt; 1984 &lt;/ option&gt; &lt;option value = ""1983""&gt; 1983 &lt;/ option&gt; &lt;option value = "&amp;"""1982""&gt; 1982 &lt;/ option&gt; &lt; option value = ""1981""&gt; 1981 &lt;/ option&gt; &lt;option value = ""1980""&gt; 1980 &lt;/ option&gt; &lt;option value = ""1979""&gt; 1979 &lt;/ option&gt; &lt;option value = ""1978""&gt; 1978 &lt;/ option &gt; &lt;option value = ""1977""&gt; 1977 &lt;/ option&gt; &lt;option value = "&amp;"""1976""&gt; 1976 &lt;/ option&gt; &lt;option value = ""1975""&gt; 1975 &lt;/ option&gt; &lt;option value = ""1974""&gt; 1974 &lt; / option&gt; &lt;option value = ""1973""&gt; 1973 &lt;/ option&gt; &lt;option value = ""1972""&gt; 1972 &lt;/ option&gt; &lt;option value = ""1971""&gt; 1971 &lt;/ option&gt; &lt;option value = """&amp;"1970""&gt; 1970 &lt;/ option&gt; &lt;option value = ""1969""&gt; 1969 &lt;/ option&gt; &lt;option value = ""1968""&gt; 1968 &lt;/ option&gt; &lt;option value = ""1967""&gt; 1967 &lt;/ option&gt; &lt;option value = ""1966 ""&gt; 1966 &lt;/ option&gt; &lt;option value ="" 1965 ""&gt; 1965 &lt;/ option&gt; &lt;option value ="" 1"&amp;"964 ""&gt; 1964 &lt;/ option&gt; &lt;option value ="" 1963 ""&gt; 1963 &lt;/ option&gt; &lt;option value = ""1962""&gt; 1962 &lt;/ option&gt; &lt;option value = ""1961""&gt; 1961 &lt;/ option&gt; &lt;option value = ""1960""&gt; 1960 &lt;/ op tion&gt; &lt;option value = ""1959""&gt; 1959 &lt;/ option&gt; &lt;option value = ""1"&amp;"958""&gt; 1958 &lt;/ option&gt; &lt;option value = ""1957""&gt; 1957 &lt;/ option&gt; &lt;option value = ""1956""&gt; 1956 &lt;/ option&gt; &lt;option value = ""1955""&gt; 1955 &lt;/ option&gt; &lt;option value = ""1954""&gt; 1954 &lt;/ option&gt; &lt;option value = ""1953""&gt; 1953 &lt;/ option&gt; &lt;option value = ""1952"&amp;""" &gt; 1952 &lt;/ option&gt; &lt;option value = ""1951""&gt; 1951 &lt;/ option&gt; &lt;option value = ""1950""&gt; 1950 &lt;/ option&gt; &lt;option value = ""1949""&gt; 1949 &lt;/ option&gt; &lt;option value = "" 1948 ""&gt; 1948 &lt;/ option&gt; &lt;option value ="" 1947 ""&gt; 1947 &lt;/ option&gt; &lt;option value ="" 194"&amp;"6 ""&gt; 1946 &lt;/ option&gt; &lt;option value ="" 1945 ""&gt; 1945 &lt;/ option&gt; &lt;value option = ""1944""&gt; 1944 &lt;/ option&gt; &lt;option value = ""1943""&gt; 1943 &lt;/ option&gt; &lt;option value = ""1942""&gt; 1942 &lt;/ option&gt; &lt;option value = ""1941""&gt; 1941 &lt;/ option&gt; &lt; option value = ""194"&amp;"0""&gt; 1940 &lt;/ option&gt; &lt;option value = ""1939""&gt; 1939 &lt;/ option&gt; &lt;option value = ""1938""&gt; 1938 &lt;/ option&gt; &lt;option value = ""1937""&gt; 1937 &lt;/ option &gt; &lt;option value = ""1936""&gt; 1936 &lt;/ option&gt; &lt;option value = ""1935""&gt; 1935 &lt;/ option&gt; &lt;option value = ""1934"&amp;"""&gt; 1934 &lt;/ option&gt; &lt;option value = ""1933""&gt; 1933 &lt; / option&gt; &lt;option value = ""1932""&gt; 1932 &lt;/ option&gt; &lt;option value = ""1931""&gt; 1931 &lt;/ option&gt; &lt;option v alue = ""1930""&gt; 1930 &lt;/ option&gt; &lt;option value = ""1929""&gt; 1929 &lt;/ option&gt; &lt;option value = ""1928"&amp;"""&gt; 1928 &lt;/ option&gt; &lt;option value = ""1927""&gt; 1927 &lt;/ option&gt; &lt;option value = ""1926""&gt; 1926 &lt;/ option&gt; &lt;option value = ""1925""&gt; 1925 &lt;/ option&gt; &lt;option value = ""1924""&gt; 1924 &lt;/ option&gt; &lt;option value = ""1923""&gt; 1923 &lt;/ option&gt; &lt;option value = ""1922""&gt;"&amp;" 1922 &lt;/ option&gt; &lt;option value = ""1921""&gt; 1921 &lt;/ option&gt; &lt;option value = ""1920""&gt; 1920 &lt;/ option&gt; &lt;option value = ""1919""&gt; 1919 &lt;/ option&gt; &lt;option value = ""1918""&gt; 1918 &lt;/ option&gt; &lt;option value = ""1917""&gt; 1917 &lt;/ option&gt; &lt;option value = ""1916""&gt; 19"&amp;"16 &lt;/ option&gt; &lt;option value = ""1915"" &gt; 1915 &lt;/ option&gt; &lt;option value = ""1914""&gt; 1914 &lt;/ option&gt; &lt;option value = ""1913""&gt; 1913 &lt;/ option&gt; &lt;option value = ""1912""&gt; 1912 &lt;/ option&gt; &lt;option value = "" 1911 ""&gt; 1911 &lt;/ option&gt; &lt;option value ="" 1910 ""&gt; 1"&amp;"910 &lt;/ option&gt; &lt;option value ="" 1909 ""&gt; 1909 &lt;/ option&gt; &lt;option value ="" 1908 ""&gt; 1908 &lt;/ option&gt; &lt;value option = ""1907""&gt; 1907 &lt;/ option&gt; &lt;option value = ""1906""&gt; 1906 &lt;/ option&gt; &lt;option value = ""1905""&gt; 1905 &lt;/ option&gt; &lt;option value = ""1904""&gt; 19"&amp;"04 &lt;/ option&gt; &lt; option value = ""1903""&gt; 1903 &lt;/ option&gt; &lt;option value = ""1902""&gt; 1902 &lt;/ option&gt; &lt;option value = ""1901""&gt; 19 01 &lt;/ option&gt; &lt;option value = ""1900""&gt; 1900 &lt;/ option&gt; &lt;/ select&gt; &lt;div tabindex = ""- 1"" class = ""airy-age-gate-submit airy-"&amp;"submit-button airy airy-submit- disabled ""&gt; Submit &lt;/ div&gt; &lt;/ div&gt; &lt;/ div&gt; &lt;/ div&gt; &lt;/ div&gt; &lt;/ div&gt; &lt;div tabindex ="" - 1 ""class ="" airy-install-flash-dialog airy-stage airy -vertical-centering-table-dialog airy airy-denied ""style ="" opacity: 0; visib"&amp;"ility: hidden; ""&gt; &lt;div tabindex ="" - 1 ""class ="" airy-install-flash-Vertical-centering-table-cell airy-Vertical-centering-table-cell ""&gt; &lt;div tabindex ="" - 1 ""class = ""airy-Vertical-centering-wrapper airy-install-flash-elements-wrapper""&gt; &lt;div tabi"&amp;"ndex = ""- 1"" class = ""airy-install-flash-elements airy-dialog-elements""&gt; &lt;div tabindex = "" -1 ""class ="" airy-install-flash-prompt ""&gt; Adobe Flash Player is required to watch this video &lt;/ div&gt; &lt;div tabindex =."" - 1 ""class ="" airy-install-flash-b"&amp;"utton-wrapper airy -dialog-inner-elements ""&gt; &lt;div tabindex ="" - 1 ""class ="" airy-install-flash-button airy-button ""&gt; install Flash Player &lt;/ div&gt; &lt;/ div&gt; &lt;/ div&gt; &lt;/ div&gt; &lt;/ div&gt; &lt;/ div&gt; &lt;div tabindex = ""- 1"" class = ""airy-video-unsupported-dialog "&amp;"airy-stage airy-Vertical-centering-table airy-dialog airy-denied"" style = ""opacity: 0; visibility: hidden; ""&gt; &lt;div tabindex ="" - 1 ""class ="" airy-video-unsupported-Vertical-centering-table-cell airy-Vertical-centering-table-cell ""&gt; &lt;div tabindex ="&amp;""" - 1 ""class = ""airy-Vertical-centering-wrapper airy-video-unsupported-elements-wrapper""&gt; &lt;div tabindex = ""- 1"" class = ""airy-video-unsupported-elements airy-dialog-elements""&gt; &lt;div tabindex = "" -1 ""class ="" airy-video-unsupported-prompt ""&gt; &lt;/ "&amp;"div&gt; &lt;/ div&gt; &lt;/ div&gt; &lt;/ div&gt; &lt;/ div&gt; &lt;div tabindex ="" - 1 ""class ="" airy-loading- spinner-stage airy-stage ""&gt; &lt;div tabindex ="" - 1 ""class ="" airy-loading-spinner-Vertical-centering-table-cell airy-Vertical-centering-table-cell ""&gt; &lt;div tabindex ="""&amp;" - 1 ""class ="" airy-loading-spinner-container airy-scalable-hint-container ""&gt; &lt;div tabindex ="" - 1 ""class ="" airy-loading-spinner-dummy airy-scalable-dummy ""&gt; &lt;/ div&gt; &lt; div tabindex = ""- 1"" class = ""airy-loading-spinner airy-hint"" style = ""vis"&amp;"ibility: hidden;""&gt; &lt;/ div&gt; &lt;/ div&gt; &lt;/ div&gt; &lt;/ div&gt; &lt;div tabindex = ""- 1 ""class ="" airy-ads-screen-size-toggle airy-screen-size-toggle-fullscreen airy ""style ="" visibility: hidden; ""&gt; &lt;/ div&gt; &lt;div tabindex = ""-1"" class = ""airy-ad-prompt-container"&amp;""" style = ""visibility: hidden;""&gt; &lt;div tabindex = ""- 1"" class = ""airy-ad-prompt-Vertical-centering-table-vertically airy centering-table ""&gt; &lt;div tabindex ="" - 1 ""class ="" airy-ad-prompt-Vertical-centering-table-cell airy-Vertical-centering-table-"&amp;"cell ""&gt; &lt;div tabindex ="" - 1 ""class = ""airy-ad-prompt-label""&gt; &lt;/ div&gt; &lt;/ div&gt; &lt;/ div&gt; &lt;/ div&gt; &lt;div tabindex = ""- 1"" class = ""airy-ads-controls-container"" style = ""visibility: hidden; ""&gt; &lt;div tabindex ="" - 1 ""class ="" airy-ads-audio-toggle ai"&amp;"ry-audio-toggle airy-on ""style ="" visibility: hidden; ""&gt; &lt;/ div&gt; &lt;div tabindex ="" - 1 ""class ="" airy-time-remaining-label-container ""&gt; &lt;div tabindex ="" - 1 ""class ="" airy-time-remaining-Vertical-centering-table airy-Vertical-centering-table ""&gt; "&amp;"&lt;div tabindex = ""- 1"" class = ""airy-time-remaining-Vertical-centering-table-cell airy-Vertical-centering-table-cell""&gt; &lt;div tabindex = ""- 1"" class = ""airy-Vertical-centering-wrapper airy-time-remaining-label-wrapper ""&gt; &lt;div tabindex ="" - 1 ""class"&amp;" ="" airy-time-remaining-label ""style ="" visibility: hidden; ""&gt; &lt;/ div&gt; &lt;div tabi ndex = ""- 1"" class = ""airy-ad-skip"" style = ""visibility: hidden;""&gt; &lt;/ div&gt; &lt;div tabindex = ""- 1"" class = ""airy-ad-end"" style = ""visibility: hidden ""&gt; &lt;/ div&gt; "&amp;"&lt;/ div&gt; &lt;/ div&gt; &lt;/ div&gt; &lt;/ div&gt; &lt;div tabindex ="" - 1 ""class ="" airy-learn-more ""style ="" visibility: hidden; ""&gt; &lt;/ div&gt; &lt;/ div&gt; &lt;div tabindex = ""- 1"" class = ""airy-play-toggle-hint-stage airy-stage airy-cursor""&gt; &lt;div tabindex = ""- 1"" class = "&amp;"""airy-play -toggle-hint-Vertical-centering-table-cell airy-Vertical-centering-table-cell airy-cursor ""&gt; &lt;div tabindex ="" - 1 ""class ="" airy-play-toggle-hint-container airy-scalable- Hint-container ""&gt; &lt;div tabindex ="" - 1 ""class ="" airy-play-toggl"&amp;"e-hint-dummy airy-scalable-dummy ""&gt; &lt;/ div&gt; &lt;div tabindex ="" - 1 ""class ="" airy-play -toggle-hint hint airy-airy-play-hint ""style ="" opacity: 1; visibility: visible; ""&gt; &lt;/ div&gt; &lt;/ div&gt; &lt;/ div&gt; &lt;/ div&gt; &lt;div tabindex ="" - 1 ""class ="" airy-replay-h"&amp;"int-stage airy-stage ""style ="" visibility: hidden ; ""&gt; &lt;div tabindex ="" - 1 ""class ="" airy-replay-hint-Vertical-centering-table-cell airy-Vertical-centering-table-cell airy-cursor ""&gt; &lt;div tabindex ="" - 1 ""class = ""airy-replay-hint-container airy"&amp;"-scalable-hint-container""&gt; &lt;div tabindex = ""- 1"" class = ""airy-replay-hint-dummy airy-scalable-dummy""&gt; &lt;/ div&gt; &lt;div tabindex = ""- 1"" class = ""airy-replay-hint airy-hint""&gt; &lt;/ div&gt; &lt;/ div&gt; &lt;/ div&gt; &lt;/ div&gt; &lt;div tabindex = ""- 1"" class = ""airy-auto"&amp;"play-hint -stage airy-stage ""style ="" visibility: hidden; ""&gt; &lt;div tabindex ="" - 1 ""class ="" airy-autoplay-hint-Vertical-centering-table-cell airy-Vertical-centering-table-cell airy- cursor ""&gt; &lt;div tabindex ="" - 1 ""class ="" autoplay airy-airy-hin"&amp;"t-container-scalable-hint-container ""&gt; &lt;div tabindex ="" - 1 ""class ="" airy-autoplay-hint-dummy airy- scalable-dummy ""&gt; &lt;/ div&gt; &lt;/ div&gt; &lt;/ div&gt; &lt;/ div&gt; &lt;/ div&gt; &lt;/ div&gt; &lt;input type ="" hidden ""name ="" ""value ="" https: // images-eu .ssl-images-amazo"&amp;"n.com / images / I / A1wgdSQaTxS.mp4 ""Class ="" video-url ""&gt; &lt;input type ="" hidden ""name ="" ""value ="" https://images-eu.ssl-images-amazon.com/images/I/91YqCFkn43S.png ""class ="" video-slate-img-url ""&gt; &amp; nbsp; Llego exactly the day planned and bra"&amp;"celet is amazing, I am delighted with it, superomis pleasantly expectations.")</f>
        <v>Perfect &lt;div id = "video-block-RGGNL7RJ7BJCU" class = "a-section a-spacing-small a-spacing-top mini video-block"&gt; &lt;div tabindex = "0" class = "airy airy-svg vmin -unsupported airy-skin-beacon "style =" background-color: rgb (0, 0, 0) position: relative; width: 100%; height: 100%; font-size: 0px; overflow: hidden; outline: none; "&gt; &lt;div class =" airy-renderer-container "style =" position: relative; height: 100%; width: 100%; "&gt; &lt;video id =" 7 "preload =" auto "src =" https : //images-eu.ssl-images-amazon.com/images/I/A1wgdSQaTxS.mp4 "style =" position: absolute; left: 0px; top: 0px; overflow: hidden; height: 1px; width: 1px; "&gt; &lt;/ video&gt; &lt;/ div&gt; &lt;div id =" airy-slate-preload "style =" background-color: rgb (0, 0, 0); background-image: url (&amp; quot; https: // images -eu.ssl-images-amazon.com/images/I/91YqCFkn43S.png&amp;quot;); background-size: Contain; background-position: center center; background-repeat: no-repeat; position: absolute; top: 0px; left: 0px; visibility: visible; width: 100%; height: 100%; "&gt; &lt;/ div&gt; &lt;iframe scrolling =" no "fr ameborder = "0" src = "about: blank" style = "display: none;"&gt; &lt;/ iframe&gt; &lt;div tabindex = "- 1" class = "airy-controls-container" style = "opacity: 0; visibility: hidden; "&gt; &lt;div tabindex =" - 1 "class =" airy-screen-size-toggle airy-fullscreen "&gt; &lt;/ div&gt; &lt;div tabindex =" - 1 "class =" airy-container-bottom " &gt; &lt;div tabindex = "- 1" class = "airy-track-bar-spacer-left" style = "width: 11px;"&gt; &lt;/ div&gt; &lt;div tabindex = "- 1" class = "airy-play- airy toggle-play "style =" width: 12px; margin-right: 12px; "&gt; &lt;/ div&gt; &lt;div tabindex =" - 1 "class =" airy-audio-elements "style =" float: right; width: 34px; "&gt; &lt;div tabindex =" - 1 "class =" airy-audio-toggle airy-on "&gt; &lt;/ div&gt; &lt;div tabindex =" - 1 "class =" airy-audio-container "style = "opacity: 0; visibility: hidden; "&gt; &lt;div tabindex =" - 1 "class =" airy-audio-track-bar "style =" height: 80%; "&gt; &lt;div tabindex =" - 1 "class =" airy-audio- Scrubber-bar "style =" height: 85%; "&gt; &lt;/ div&gt; &lt;div tabindex =" - 1 "class =" airy-audio-scrubber "style =" height: 12px; bottom 85% "&gt; &lt;/ div&gt; &lt;/ div&gt; &lt;/ div&gt; &lt;/ div&gt; &lt;div tabindex =" - 1 "class =" airy-duration-label "style =" float: right; width: 26px; margin-right: 4px; text-align: center; "&gt; 0:00 &lt;/ div&gt; &lt;div tabindex =" - 1 "class =" airy-track-bar-spacer-right "style =" float: right; width: 11px; "&gt; &lt;/ div&gt; &lt;div tabindex =" - 1 "class =" airy-track-bar-container "style =" margin-left: 35px; margin-right: 75px; "&gt; &lt;div tabindex =" - 1 "class =" airy-airy-track-bar vertically-centering-table "&gt; &lt;div tabindex =" - 1 "class =" airy-Vertical-centering- table-cell "&gt; &lt;div tabindex =" - 1 "class =" airy-track-bar-elements "&gt; &lt;div tabindex =" - 1 "class =" airy-progress-bar "&gt; &lt;/ div&gt; &lt;div tabindex = "- 1" class = "airy-scrubber-bar"&gt; &lt;/ div&gt; &lt;div tabindex = "- 1" class = "airy-scrubber"&gt; &lt;div tabindex = "- 1" class = "airy-scrubber- icon "&gt; &lt;/ div&gt; &lt;div tabindex =" - 1 "class =" airy-adjusted-AUI-tooltip "style =" opacity: 0; visibility: hidden; "&gt; &lt;div tabindex =" - 1 "class =" airy-adjusted-aui-tooltip-inner "&gt; &lt;div tabindex =" - 1 "class =" airy-current-time-label "&gt; 0: 00 &lt;/ div&gt; &lt;/ div&gt; &lt;div tabindex = "- 1" class = "airy-adjusted-AUI-arrow-border"&gt; &lt;div tabindex = "- 1" class = "airy-adjusted-AUI-arrow" &gt; &lt;/ div&gt; &lt;/ div&gt; &lt;/ div&gt; &lt;/ div&gt; &lt;/ div&gt; &lt;/ div&gt; &lt;/ div&gt; &lt;/ div&gt; &lt;/ div&gt; &lt;/ div&gt; &lt;div tabindex = "- 1" class = "airy-age-gate airy-stage airy-Vertical-centering-table airy-dialog" style = "opacity: 0; visibility: hidden; "&gt; &lt;div tabindex =" - 1 "class =" airy-age-gate-Vertical-centering-table-cell airy-Vertical-centering-table-cell "&gt; &lt;div tabindex =" - 1 "class = "airy-Vertical-centering-wrapper airy-age-gate-elements-wrapper"&gt; &lt;div tabindex = "- 1" class = "airy-age-gate-elements airy-dialog-elements"&gt; &lt;div tabindex = " -1 "class =" airy-age-gate-prompt "&gt; This video is not Intended for all audiences What date were you born &lt;/ div&gt; &lt;div tabindex =.?" - 1 "class =" airy-age-gate -inputs airy-dialog-inner-elements "&gt; &lt;select tabindex =" - 1 "class =" airy-age-gate-month "&gt; &lt;option value =" 1 "&gt; January &lt;/ option&gt; &lt;option value =" 2 "&gt; February &lt;/ option&gt; &lt;option value =" 3 "&gt; March &lt;/ option&gt; &lt;option value =" 4 "&gt; April &lt;/ option&gt; &lt;option value =" 5 "&gt; May &lt;/ option&gt; &lt;option value = "6"&gt; June &lt;/ option&gt; &lt;option value = "7"&gt; July &lt;/ option&gt; &lt;option value = "8"&gt; August &lt;/ option&gt; &lt;option value = "9"&gt; September &lt;/ option&gt; &lt;option value = "10"&gt; October &lt;/ option&gt; &lt;option value = "11"&gt; November &lt;/ option&gt; &lt;option value = "12"&gt; December &lt;/ option&gt; &lt;/ select&gt; &lt;select tabindex = "- 1" class = "airy-age-gate-day"&gt; &lt;opti on value = "1"&gt; 1 &lt;/ option&gt; &lt;option value = "2"&gt; 2 &lt;/ option&gt; &lt;option value = "3"&gt; 3 &lt;/ option&gt; &lt;option value = "4"&gt; 4 &lt;/ option &gt; &lt;option value = "5"&gt; 5 &lt;/ option&gt; &lt;option value = "6"&gt; 6 &lt;/ option&gt; &lt;option value = "7"&gt; 7 &lt;/ option&gt; &lt;option value = "8"&gt; 8 &lt; / option&gt; &lt;option value = "9"&gt; 9 &lt;/ option&gt; &lt;option value = "10"&gt; 10 &lt;/ option&gt; &lt;option value = "11"&gt; 11 &lt;/ option&gt; &lt;option value = "12"&gt; 12 &lt;/ option&gt; &lt;option value = "13"&gt; 13 &lt;/ option&gt; &lt;option value = "14"&gt; 14 &lt;/ option&gt; &lt;option value = "15"&gt; 15 &lt;/ option&gt; &lt;option value = "16 "&gt; 16 &lt;/ option&gt; &lt;option value =" 17 "&gt; 17 &lt;/ option&gt; &lt;option value =" 18 "&gt; 18 &lt;/ option&gt; &lt;option value =" 19 "&gt; 19 &lt;/ option&gt; &lt;option value = "20"&gt; 20 &lt;/ option&gt; &lt;option value = "21"&gt; 21 &lt;/ option&gt; &lt;option value = "22"&gt; 22 &lt;/ option&gt; &lt;option value = "23"&gt; 23 &lt;/ option&gt; &lt;option value = "24"&gt; 24 &lt;/ option&gt; &lt;option value = "25"&gt; 25 &lt;/ option&gt; &lt;option value = "26"&gt; 26 &lt;/ option&gt; &lt;option value = "27"&gt; 27 &lt;/ option&gt; &lt;option value = "28"&gt; 28 &lt;/ option&gt; &lt;option value = "29"&gt; 29 &lt;/ option&gt; &lt;option value = "30"&gt; 30 &lt;/ option&gt; &lt;option value = "31"&gt; 31 &lt;/ option&gt; &lt;/ select&gt; &lt;select tabindex = "- 1" class = "airy-age-gate-year"&gt; &lt;option value = "2019"&gt; 2019 &lt;/ option&gt; &lt; option value = "2018"&gt; 2018 &lt;/ option&gt; &lt;option value = "2017"&gt; 2017 &lt;/ option&gt; &lt;option value = "2016"&gt; ​​2016 &lt;/ option&gt; &lt;option value = "2015"&gt; 2015 &lt;/ option &gt; &lt;option value = "2014"&gt; 2014 &lt;/ option&gt; &lt;option value = "2013"&gt; 2013 &lt;/ option&gt; &lt;option value = "2012"&gt; 2012 &lt;/ option&gt; &lt;option value = "2011"&gt; 2011 &lt; / option&gt; &lt;option value = "2010"&gt; 2010 &lt;/ option&gt; &lt;option value = "2009"&gt; 2009 &lt;/ option&gt; &lt;option value = "2008"&gt; 2008 &lt;/ option&gt; &lt;option value = "2007"&gt; 2007 &lt;/ option&gt; &lt;option value = "2006"&gt; 2006 &lt;/ option&gt; &lt;option value = "2005"&gt; 2005 &lt;/ option&gt; &lt;option value = "2004"&gt; 2004 &lt;/ option&gt; &lt;option value = "2003 "&gt; 2003 &lt;/ option&gt; &lt;option value =" 2002 "&gt; 2002 &lt;/ option&gt; &lt;option value =" 2001 "&gt; 2001 &lt;/ option&gt; &lt;option value =" 2000 "&gt; 2000 &lt;/ option&gt; &lt;option value = "1999"&gt; 1999 &lt;/ option&gt; &lt;option value = "1998"&gt; 1998 &lt;/ option&gt; &lt;option value = "1997"&gt; 1997 &lt;/ option&gt; &lt;option value = "1996"&gt; 1996 &lt;/ option&gt; &lt;option value = "1995"&gt; 1995 &lt;/ option&gt; &lt;option value = "1994"&gt; 1994 &lt;/ option&gt; &lt;option value = "1993"&gt; 1993 &lt;/ option&gt; &lt;option value = "1992"&gt; 1992 &lt;/ option&gt; &lt;option value = "1991"&gt; 1991 &lt;/ option&gt; &lt;option value = "1990"&gt; 1990 &lt;/ option&gt; &lt;option value = " 1989 "&gt; 1989 &lt;/ option&gt; &lt;option value =" 1988 "&gt; 1988 &lt;/ option&gt; &lt;option value =" 1987 "&gt; 1987 &lt;/ option&gt; &lt;option value =" 1986 "&gt; 1986 &lt;/ option&gt; &lt;value option = "1985"&gt; 1985 &lt;/ option&gt; &lt;option value = "1984"&gt; 1984 &lt;/ option&gt; &lt;option value = "1983"&gt; 1983 &lt;/ option&gt; &lt;option value = "1982"&gt; 1982 &lt;/ option&gt; &lt; option value = "1981"&gt; 1981 &lt;/ option&gt; &lt;option value = "1980"&gt; 1980 &lt;/ option&gt; &lt;option value = "1979"&gt; 1979 &lt;/ option&gt; &lt;option value = "1978"&gt; 1978 &lt;/ option &gt; &lt;option value = "1977"&gt; 1977 &lt;/ option&gt; &lt;option value = "1976"&gt; 1976 &lt;/ option&gt; &lt;option value = "1975"&gt; 1975 &lt;/ option&gt; &lt;option value = "1974"&gt; 1974 &lt; / option&gt; &lt;option value = "1973"&gt; 1973 &lt;/ option&gt; &lt;option value = "1972"&gt; 1972 &lt;/ option&gt; &lt;option value = "1971"&gt; 1971 &lt;/ option&gt; &lt;option value = "1970"&gt; 1970 &lt;/ option&gt; &lt;option value = "1969"&gt; 1969 &lt;/ option&gt; &lt;option value = "1968"&gt; 1968 &lt;/ option&gt; &lt;option value = "1967"&gt; 1967 &lt;/ option&gt; &lt;option value = "1966 "&gt; 1966 &lt;/ option&gt; &lt;option value =" 1965 "&gt; 1965 &lt;/ option&gt; &lt;option value =" 1964 "&gt; 1964 &lt;/ option&gt; &lt;option value =" 1963 "&gt; 1963 &lt;/ option&gt; &lt;option value = "1962"&gt; 1962 &lt;/ option&gt; &lt;option value = "1961"&gt; 1961 &lt;/ option&gt; &lt;option value = "1960"&gt; 1960 &lt;/ op tion&gt; &lt;option value = "1959"&gt; 1959 &lt;/ option&gt; &lt;option value = "1958"&gt; 1958 &lt;/ option&gt; &lt;option value = "1957"&gt; 1957 &lt;/ option&gt; &lt;option value = "1956"&gt; 1956 &lt;/ option&gt; &lt;option value = "1955"&gt; 1955 &lt;/ option&gt; &lt;option value = "1954"&gt; 1954 &lt;/ option&gt; &lt;option value = "1953"&gt; 1953 &lt;/ option&gt; &lt;option value = "1952" &gt; 1952 &lt;/ option&gt; &lt;option value = "1951"&gt; 1951 &lt;/ option&gt; &lt;option value = "1950"&gt; 1950 &lt;/ option&gt; &lt;option value = "1949"&gt; 1949 &lt;/ option&gt; &lt;option value = " 1948 "&gt; 1948 &lt;/ option&gt; &lt;option value =" 1947 "&gt; 1947 &lt;/ option&gt; &lt;option value =" 1946 "&gt; 1946 &lt;/ option&gt; &lt;option value =" 1945 "&gt; 1945 &lt;/ option&gt; &lt;value option = "1944"&gt; 1944 &lt;/ option&gt; &lt;option value = "1943"&gt; 1943 &lt;/ option&gt; &lt;option value = "1942"&gt; 1942 &lt;/ option&gt; &lt;option value = "1941"&gt; 1941 &lt;/ option&gt; &lt; option value = "1940"&gt; 1940 &lt;/ option&gt; &lt;option value = "1939"&gt; 1939 &lt;/ option&gt; &lt;option value = "1938"&gt; 1938 &lt;/ option&gt; &lt;option value = "1937"&gt; 1937 &lt;/ option &gt; &lt;option value = "1936"&gt; 1936 &lt;/ option&gt; &lt;option value = "1935"&gt; 1935 &lt;/ option&gt; &lt;option value = "1934"&gt; 1934 &lt;/ option&gt; &lt;option value = "1933"&gt; 1933 &lt; / option&gt; &lt;option value = "1932"&gt; 1932 &lt;/ option&gt; &lt;option value = "1931"&gt; 1931 &lt;/ option&gt; &lt;option v alue = "1930"&gt; 1930 &lt;/ option&gt; &lt;option value = "1929"&gt; 1929 &lt;/ option&gt; &lt;option value = "1928"&gt; 1928 &lt;/ option&gt; &lt;option value = "1927"&gt; 1927 &lt;/ option&gt; &lt;option value = "1926"&gt; 1926 &lt;/ option&gt; &lt;option value = "1925"&gt; 1925 &lt;/ option&gt; &lt;option value = "1924"&gt; 1924 &lt;/ option&gt; &lt;option value = "1923"&gt; 1923 &lt;/ option&gt; &lt;option value = "1922"&gt; 1922 &lt;/ option&gt; &lt;option value = "1921"&gt; 1921 &lt;/ option&gt; &lt;option value = "1920"&gt; 1920 &lt;/ option&gt; &lt;option value = "1919"&gt; 1919 &lt;/ option&gt; &lt;option value = "1918"&gt; 1918 &lt;/ option&gt; &lt;option value = "1917"&gt; 1917 &lt;/ option&gt; &lt;option value = "1916"&gt; 1916 &lt;/ option&gt; &lt;option value = "1915" &gt; 1915 &lt;/ option&gt; &lt;option value = "1914"&gt; 1914 &lt;/ option&gt; &lt;option value = "1913"&gt; 1913 &lt;/ option&gt; &lt;option value = "1912"&gt; 1912 &lt;/ option&gt; &lt;option value = " 1911 "&gt; 1911 &lt;/ option&gt; &lt;option value =" 1910 "&gt; 1910 &lt;/ option&gt; &lt;option value =" 1909 "&gt; 1909 &lt;/ option&gt; &lt;option value =" 1908 "&gt; 1908 &lt;/ option&gt; &lt;value option = "1907"&gt; 1907 &lt;/ option&gt; &lt;option value = "1906"&gt; 1906 &lt;/ option&gt; &lt;option value = "1905"&gt; 1905 &lt;/ option&gt; &lt;option value = "1904"&gt; 1904 &lt;/ option&gt; &lt; option value = "1903"&gt; 1903 &lt;/ option&gt; &lt;option value = "1902"&gt; 1902 &lt;/ option&gt; &lt;option value = "1901"&gt; 19 01 &lt;/ option&gt; &lt;option value = "1900"&gt; 1900 &lt;/ option&gt; &lt;/ select&gt; &lt;div tabindex = "- 1" class = "airy-age-gate-submit airy-submit-button airy airy-submit- disabled "&gt; Submit &lt;/ div&gt; &lt;/ div&gt; &lt;/ div&gt; &lt;/ div&gt; &lt;/ div&gt; &lt;/ div&gt; &lt;div tabindex =" - 1 "class =" airy-install-flash-dialog airy-stage airy -vertical-centering-table-dialog airy airy-denied "style =" opacity: 0; visibility: hidden; "&gt; &lt;div tabindex =" - 1 "class =" airy-install-flash-Vertical-centering-table-cell airy-Vertical-centering-table-cell "&gt; &lt;div tabindex =" - 1 "class = "airy-Vertical-centering-wrapper airy-install-flash-elements-wrapper"&gt; &lt;div tabindex = "- 1" class = "airy-install-flash-elements airy-dialog-elements"&gt; &lt;div tabindex = " -1 "class =" airy-install-flash-prompt "&gt; Adobe Flash Player is required to watch this video &lt;/ div&gt; &lt;div tabindex =." - 1 "class =" airy-install-flash-button-wrapper airy -dialog-inner-elements "&gt; &lt;div tabindex =" - 1 "class =" airy-install-flash-button airy-button "&gt; install Flash Player &lt;/ div&gt; &lt;/ div&gt; &lt;/ div&gt; &lt;/ div&gt; &lt;/ div&gt; &lt;/ div&gt; &lt;div tabindex = "- 1" class = "airy-video-unsupported-dialog airy-stage airy-Vertical-centering-table airy-dialog airy-denied" style = "opacity: 0; visibility: hidden; "&gt; &lt;div tabindex =" - 1 "class =" airy-video-unsupported-Vertical-centering-table-cell airy-Vertical-centering-table-cell "&gt; &lt;div tabindex =" - 1 "class = "airy-Vertical-centering-wrapper airy-video-unsupported-elements-wrapper"&gt; &lt;div tabindex = "- 1" class = "airy-video-unsupported-elements airy-dialog-elements"&gt; &lt;div tabindex = " -1 "class =" airy-video-unsupported-prompt "&gt; &lt;/ div&gt; &lt;/ div&gt; &lt;/ div&gt; &lt;/ div&gt; &lt;/ div&gt; &lt;div tabindex =" - 1 "class =" airy-loading- spinner-stage airy-stage "&gt; &lt;div tabindex =" - 1 "class =" airy-loading-spinner-Vertical-centering-table-cell airy-Vertical-centering-table-cell "&gt; &lt;div tabindex =" - 1 "class =" airy-loading-spinner-container airy-scalable-hint-container "&gt; &lt;div tabindex =" - 1 "class =" airy-loading-spinner-dummy airy-scalable-dummy "&gt; &lt;/ div&gt; &lt; div tabindex = "- 1" class = "airy-loading-spinner airy-hint" style = "visibility: hidden;"&gt; &lt;/ div&gt; &lt;/ div&gt; &lt;/ div&gt; &lt;/ div&gt; &lt;div tabindex = "- 1 "class =" airy-ads-screen-size-toggle airy-screen-size-toggle-fullscreen airy "style =" visibility: hidden; "&gt; &lt;/ div&gt; &lt;div tabindex = "-1" class = "airy-ad-prompt-container" style = "visibility: hidden;"&gt; &lt;div tabindex = "- 1" class = "airy-ad-prompt-Vertical-centering-table-vertically airy centering-table "&gt; &lt;div tabindex =" - 1 "class =" airy-ad-prompt-Vertical-centering-table-cell airy-Vertical-centering-table-cell "&gt; &lt;div tabindex =" - 1 "class = "airy-ad-prompt-label"&gt; &lt;/ div&gt; &lt;/ div&gt; &lt;/ div&gt; &lt;/ div&gt; &lt;div tabindex = "- 1" class = "airy-ads-controls-container" style = "visibility: hidden; "&gt; &lt;div tabindex =" - 1 "class =" airy-ads-audio-toggle airy-audio-toggle airy-on "style =" visibility: hidden; "&gt; &lt;/ div&gt; &lt;div tabindex =" - 1 "class =" airy-time-remaining-label-container "&gt; &lt;div tabindex =" - 1 "class =" airy-time-remaining-Vertical-centering-table airy-Vertical-centering-table "&gt; &lt;div tabindex = "- 1" class = "airy-time-remaining-Vertical-centering-table-cell airy-Vertical-centering-table-cell"&gt; &lt;div tabindex = "- 1" class = "airy-Vertical-centering-wrapper airy-time-remaining-label-wrapper "&gt; &lt;div tabindex =" - 1 "class =" airy-time-remaining-label "style =" visibility: hidden; "&gt; &lt;/ div&gt; &lt;div tabi ndex = "- 1" class = "airy-ad-skip" style = "visibility: hidden;"&gt; &lt;/ div&gt; &lt;div tabindex = "- 1" class = "airy-ad-end" style = "visibility: hidden "&gt; &lt;/ div&gt; &lt;/ div&gt; &lt;/ div&gt; &lt;/ div&gt; &lt;/ div&gt; &lt;div tabindex =" - 1 "class =" airy-learn-more "style =" visibility: hidden; "&gt; &lt;/ div&gt; &lt;/ div&gt; &lt;div tabindex = "- 1" class = "airy-play-toggle-hint-stage airy-stage airy-cursor"&gt; &lt;div tabindex = "- 1" class = "airy-play -toggle-hint-Vertical-centering-table-cell airy-Vertical-centering-table-cell airy-cursor "&gt; &lt;div tabindex =" - 1 "class =" airy-play-toggle-hint-container airy-scalable- Hint-container "&gt; &lt;div tabindex =" - 1 "class =" airy-play-toggle-hint-dummy airy-scalable-dummy "&gt; &lt;/ div&gt; &lt;div tabindex =" - 1 "class =" airy-play -toggle-hint hint airy-airy-play-hint "style =" opacity: 1; visibility: visible; "&gt; &lt;/ div&gt; &lt;/ div&gt; &lt;/ div&gt; &lt;/ div&gt; &lt;div tabindex =" - 1 "class =" airy-replay-hint-stage airy-stage "style =" visibility: hidden ; "&gt; &lt;div tabindex =" - 1 "class =" airy-replay-hint-Vertical-centering-table-cell airy-Vertical-centering-table-cell airy-cursor "&gt; &lt;div tabindex =" - 1 "class = "airy-replay-hint-container airy-scalable-hint-container"&gt; &lt;div tabindex = "- 1" class = "airy-replay-hint-dummy airy-scalable-dummy"&gt; &lt;/ div&gt; &lt;div tabindex = "- 1" class = "airy-replay-hint airy-hint"&gt; &lt;/ div&gt; &lt;/ div&gt; &lt;/ div&gt; &lt;/ div&gt; &lt;div tabindex = "- 1" class = "airy-autoplay-hint -stage airy-stage "style =" visibility: hidden; "&gt; &lt;div tabindex =" - 1 "class =" airy-autoplay-hint-Vertical-centering-table-cell airy-Vertical-centering-table-cell airy- cursor "&gt; &lt;div tabindex =" - 1 "class =" autoplay airy-airy-hint-container-scalable-hint-container "&gt; &lt;div tabindex =" - 1 "class =" airy-autoplay-hint-dummy airy- scalable-dummy "&gt; &lt;/ div&gt; &lt;/ div&gt; &lt;/ div&gt; &lt;/ div&gt; &lt;/ div&gt; &lt;/ div&gt; &lt;input type =" hidden "name =" "value =" https: // images-eu .ssl-images-amazon.com / images / I / A1wgdSQaTxS.mp4 "Class =" video-url "&gt; &lt;input type =" hidden "name =" "value =" https://images-eu.ssl-images-amazon.com/images/I/91YqCFkn43S.png "class =" video-slate-img-url "&gt; &amp; nbsp; Llego exactly the day planned and bracelet is amazing, I am delighted with it, superomis pleasantly expectations.</v>
      </c>
    </row>
    <row r="1062">
      <c r="A1062" s="1">
        <v>5.0</v>
      </c>
      <c r="B1062" s="1" t="s">
        <v>1055</v>
      </c>
      <c r="C1062" t="str">
        <f>IFERROR(__xludf.DUMMYFUNCTION("GOOGLETRANSLATE(B1062, ""es"", ""en"")"),"Comfortable I have been very comfortable these headsets, not expecting much for the price but I liked the design and ordered. I've used them for about 4 hours and have not bothered me having them put this with other pads have been impossible but with thes"&amp;"e I have noticed very comfortable. Connectivity is good and the sound is decent, nothing of the other world, but acceptable. The battery lasts long enough to hear a whole day intermittently.")</f>
        <v>Comfortable I have been very comfortable these headsets, not expecting much for the price but I liked the design and ordered. I've used them for about 4 hours and have not bothered me having them put this with other pads have been impossible but with these I have noticed very comfortable. Connectivity is good and the sound is decent, nothing of the other world, but acceptable. The battery lasts long enough to hear a whole day intermittently.</v>
      </c>
    </row>
    <row r="1063">
      <c r="A1063" s="1">
        <v>5.0</v>
      </c>
      <c r="B1063" s="1" t="s">
        <v>1056</v>
      </c>
      <c r="C1063" t="str">
        <f>IFERROR(__xludf.DUMMYFUNCTION("GOOGLETRANSLATE(B1063, ""es"", ""en"")"),"They smell pretty phenomenal Duran, have to take several drops if you like a little more intense smell. I have used with a humidifier and the smell lasts several hours, even if you turn it off and turn it on to the next day still smells.")</f>
        <v>They smell pretty phenomenal Duran, have to take several drops if you like a little more intense smell. I have used with a humidifier and the smell lasts several hours, even if you turn it off and turn it on to the next day still smells.</v>
      </c>
    </row>
    <row r="1064">
      <c r="A1064" s="1">
        <v>5.0</v>
      </c>
      <c r="B1064" s="1" t="s">
        <v>1057</v>
      </c>
      <c r="C1064" t="str">
        <f>IFERROR(__xludf.DUMMYFUNCTION("GOOGLETRANSLATE(B1064, ""es"", ""en"")"),"Recbot portable voice amplifier Diadema is just what I expected and perfectly fulfills the function helps you hear people who use it. The seller fulfilled delivery time and in perfect condition.")</f>
        <v>Recbot portable voice amplifier Diadema is just what I expected and perfectly fulfills the function helps you hear people who use it. The seller fulfilled delivery time and in perfect condition.</v>
      </c>
    </row>
    <row r="1065">
      <c r="A1065" s="1">
        <v>5.0</v>
      </c>
      <c r="B1065" s="1" t="s">
        <v>1058</v>
      </c>
      <c r="C1065" t="str">
        <f>IFERROR(__xludf.DUMMYFUNCTION("GOOGLETRANSLATE(B1065, ""es"", ""en"")"),"OK ALL GOOD PRODUCT")</f>
        <v>OK ALL GOOD PRODUCT</v>
      </c>
    </row>
    <row r="1066">
      <c r="A1066" s="1">
        <v>5.0</v>
      </c>
      <c r="B1066" s="1" t="s">
        <v>1059</v>
      </c>
      <c r="C1066" t="str">
        <f>IFERROR(__xludf.DUMMYFUNCTION("GOOGLETRANSLATE(B1066, ""es"", ""en"")"),"Pleased with headphones good product, shipping was successful and headphones are comfortable and have a sound quite acceptable")</f>
        <v>Pleased with headphones good product, shipping was successful and headphones are comfortable and have a sound quite acceptable</v>
      </c>
    </row>
    <row r="1067">
      <c r="A1067" s="1">
        <v>5.0</v>
      </c>
      <c r="B1067" s="1" t="s">
        <v>1060</v>
      </c>
      <c r="C1067" t="str">
        <f>IFERROR(__xludf.DUMMYFUNCTION("GOOGLETRANSLATE(B1067, ""es"", ""en"")"),"perfect for ipad can watch movies or documents directly from memory, there is only need to download a free program. The instructions come in the same pen in several languages. Fully recommended.")</f>
        <v>perfect for ipad can watch movies or documents directly from memory, there is only need to download a free program. The instructions come in the same pen in several languages. Fully recommended.</v>
      </c>
    </row>
    <row r="1068">
      <c r="A1068" s="1">
        <v>5.0</v>
      </c>
      <c r="B1068" s="1" t="s">
        <v>1061</v>
      </c>
      <c r="C1068" t="str">
        <f>IFERROR(__xludf.DUMMYFUNCTION("GOOGLETRANSLATE(B1068, ""es"", ""en"")"),"Very good pendrive is a very good pendrive at an affordable price, the brand is well known. In addition I like that you can leave the cap on the back of the stick while you're using.")</f>
        <v>Very good pendrive is a very good pendrive at an affordable price, the brand is well known. In addition I like that you can leave the cap on the back of the stick while you're using.</v>
      </c>
    </row>
    <row r="1069">
      <c r="A1069" s="1">
        <v>5.0</v>
      </c>
      <c r="B1069" s="1" t="s">
        <v>1062</v>
      </c>
      <c r="C1069" t="str">
        <f>IFERROR(__xludf.DUMMYFUNCTION("GOOGLETRANSLATE(B1069, ""es"", ""en"")"),"Very good Good Quality")</f>
        <v>Very good Good Quality</v>
      </c>
    </row>
    <row r="1070">
      <c r="A1070" s="1">
        <v>2.0</v>
      </c>
      <c r="B1070" s="1" t="s">
        <v>1063</v>
      </c>
      <c r="C1070" t="str">
        <f>IFERROR(__xludf.DUMMYFUNCTION("GOOGLETRANSLATE(B1070, ""es"", ""en"")"),"narrow shoe itself is fine. The problem for me is that, having the wide instep, the mold is very narrow and I had to return.")</f>
        <v>narrow shoe itself is fine. The problem for me is that, having the wide instep, the mold is very narrow and I had to return.</v>
      </c>
    </row>
    <row r="1071">
      <c r="A1071" s="1">
        <v>3.0</v>
      </c>
      <c r="B1071" s="1" t="s">
        <v>1064</v>
      </c>
      <c r="C1071" t="str">
        <f>IFERROR(__xludf.DUMMYFUNCTION("GOOGLETRANSLATE(B1071, ""es"", ""en"")"),"Do not leave the Canary Islands the product is good in itself, money, but does not adhere well to the table, rather a cubremesa a pc mouse, also works for 9 euros is not bad.")</f>
        <v>Do not leave the Canary Islands the product is good in itself, money, but does not adhere well to the table, rather a cubremesa a pc mouse, also works for 9 euros is not bad.</v>
      </c>
    </row>
    <row r="1072">
      <c r="A1072" s="1">
        <v>3.0</v>
      </c>
      <c r="B1072" s="1" t="s">
        <v>1065</v>
      </c>
      <c r="C1072" t="str">
        <f>IFERROR(__xludf.DUMMYFUNCTION("GOOGLETRANSLATE(B1072, ""es"", ""en"")"),"Too small Nice but very small")</f>
        <v>Too small Nice but very small</v>
      </c>
    </row>
    <row r="1073">
      <c r="A1073" s="1">
        <v>1.0</v>
      </c>
      <c r="B1073" s="1" t="s">
        <v>1066</v>
      </c>
      <c r="C1073" t="str">
        <f>IFERROR(__xludf.DUMMYFUNCTION("GOOGLETRANSLATE(B1073, ""es"", ""en"")"),"Or paste or subject or anything I bought it to glue a strip led behind the PC monitor. I think with a couple of snot would hold better. exactly does the same as a paper strip, no need to be extra strong, that it had been I would have shaped adhesive.")</f>
        <v>Or paste or subject or anything I bought it to glue a strip led behind the PC monitor. I think with a couple of snot would hold better. exactly does the same as a paper strip, no need to be extra strong, that it had been I would have shaped adhesive.</v>
      </c>
    </row>
    <row r="1074">
      <c r="A1074" s="1">
        <v>1.0</v>
      </c>
      <c r="B1074" s="1" t="s">
        <v>1067</v>
      </c>
      <c r="C1074" t="str">
        <f>IFERROR(__xludf.DUMMYFUNCTION("GOOGLETRANSLATE(B1074, ""es"", ""en"")"),"A shame ... to the back end by failures too ... 😓 Correction: at the end, I thought back ... with updates had arranged everything, but it keeps going like crazy sometimes ... you too .. . and suddenly for no apparent reason (and not for lack of battery) "&amp;"a shame .... but the end I returned and mirare other similarly priced options that there are very good, but it was for giving opportunity to a product Spanish ..... shame .... the truth, surprised by its performance .... the wifi connection without proble"&amp;"ms (it has to be a network q 2.4 GHz) and total control from the phone (though brings a command for nostalgic hehe) the first time, remove everything that does not have to be through (a bag, box, chair, ...) regularly and let the robot do a complete mappi"&amp;"ng the house ( I recommend it in eco mode, hold more battery and most times in a single pass you mapped the entire house) in my case, a house of about 74 m2, has ta As time passes 50 minutes map of 39 m2 (removing furniture, cabinets, appliances, ...) onc"&amp;"e made the map, stores it in memory and from it there, using different modes ..... each pass will save a registration and tells what happened and not on the base map (if there was then a closed door, an object in the middle, ...) does everything in an ord"&amp;"erly manner without passing twice for the same site (except you put one of the options you have x2), without bumping into furniture (the Roomba we had gave blows yet) ...... and then we go looking at the different options you have a few, truth ..... ....."&amp;" happy moment for me, one of the most comprehensive in the market ... if it is true that we have not tested it from scrubbing, more than anything because you have to walk collecting carpets (because if It does not go above and wet leaves) .... but otherwi"&amp;"se will and what will not stay running around in a place like the Roomba to ......")</f>
        <v>A shame ... to the back end by failures too ... 😓 Correction: at the end, I thought back ... with updates had arranged everything, but it keeps going like crazy sometimes ... you too .. . and suddenly for no apparent reason (and not for lack of battery) a shame .... but the end I returned and mirare other similarly priced options that there are very good, but it was for giving opportunity to a product Spanish ..... shame .... the truth, surprised by its performance .... the wifi connection without problems (it has to be a network q 2.4 GHz) and total control from the phone (though brings a command for nostalgic hehe) the first time, remove everything that does not have to be through (a bag, box, chair, ...) regularly and let the robot do a complete mapping the house ( I recommend it in eco mode, hold more battery and most times in a single pass you mapped the entire house) in my case, a house of about 74 m2, has ta As time passes 50 minutes map of 39 m2 (removing furniture, cabinets, appliances, ...) once made the map, stores it in memory and from it there, using different modes ..... each pass will save a registration and tells what happened and not on the base map (if there was then a closed door, an object in the middle, ...) does everything in an orderly manner without passing twice for the same site (except you put one of the options you have x2), without bumping into furniture (the Roomba we had gave blows yet) ...... and then we go looking at the different options you have a few, truth ..... ..... happy moment for me, one of the most comprehensive in the market ... if it is true that we have not tested it from scrubbing, more than anything because you have to walk collecting carpets (because if It does not go above and wet leaves) .... but otherwise will and what will not stay running around in a place like the Roomba to ......</v>
      </c>
    </row>
    <row r="1075">
      <c r="A1075" s="1">
        <v>4.0</v>
      </c>
      <c r="B1075" s="1" t="s">
        <v>1068</v>
      </c>
      <c r="C1075" t="str">
        <f>IFERROR(__xludf.DUMMYFUNCTION("GOOGLETRANSLATE(B1075, ""es"", ""en"")"),"Very useful is convenient, it comes with its case and mounts in seconds! Certainly a good table for someone who is starting.")</f>
        <v>Very useful is convenient, it comes with its case and mounts in seconds! Certainly a good table for someone who is starting.</v>
      </c>
    </row>
    <row r="1076">
      <c r="A1076" s="1">
        <v>4.0</v>
      </c>
      <c r="B1076" s="1" t="s">
        <v>1069</v>
      </c>
      <c r="C1076" t="str">
        <f>IFERROR(__xludf.DUMMYFUNCTION("GOOGLETRANSLATE(B1076, ""es"", ""en"")"),"Van good product great. By poberle slguna pars oega should have some respite when SNDO the baby suckles the nipple does not retract. K with my baby had to be sacandole the bibe mouth every bit the nipple q to stay the bibe the airless emcogia. For the res"&amp;"t great.")</f>
        <v>Van good product great. By poberle slguna pars oega should have some respite when SNDO the baby suckles the nipple does not retract. K with my baby had to be sacandole the bibe mouth every bit the nipple q to stay the bibe the airless emcogia. For the rest great.</v>
      </c>
    </row>
    <row r="1077">
      <c r="A1077" s="1">
        <v>4.0</v>
      </c>
      <c r="B1077" s="1" t="s">
        <v>1070</v>
      </c>
      <c r="C1077" t="str">
        <f>IFERROR(__xludf.DUMMYFUNCTION("GOOGLETRANSLATE(B1077, ""es"", ""en"")"),"They sound good and do not move anything. Very good sound, rapid response to interaction with the buttons. They do not move anything or jumping, be sideways or anything. Yes, the holding aritos are a little hard and a little bother the beginning. Otherwis"&amp;"e very satisfied with the product.")</f>
        <v>They sound good and do not move anything. Very good sound, rapid response to interaction with the buttons. They do not move anything or jumping, be sideways or anything. Yes, the holding aritos are a little hard and a little bother the beginning. Otherwise very satisfied with the product.</v>
      </c>
    </row>
    <row r="1078">
      <c r="A1078" s="1">
        <v>4.0</v>
      </c>
      <c r="B1078" s="1" t="s">
        <v>1071</v>
      </c>
      <c r="C1078" t="str">
        <f>IFERROR(__xludf.DUMMYFUNCTION("GOOGLETRANSLATE(B1078, ""es"", ""en"")"),"Very handy as expected, he has plenty of pockets to store everything. Its size allows to keep the basic things that men often wear today (wallet, mobile, house keys and car, scarves, ...) comfortably.")</f>
        <v>Very handy as expected, he has plenty of pockets to store everything. Its size allows to keep the basic things that men often wear today (wallet, mobile, house keys and car, scarves, ...) comfortably.</v>
      </c>
    </row>
    <row r="1079">
      <c r="A1079" s="1">
        <v>5.0</v>
      </c>
      <c r="B1079" s="1" t="s">
        <v>1072</v>
      </c>
      <c r="C1079" t="str">
        <f>IFERROR(__xludf.DUMMYFUNCTION("GOOGLETRANSLATE(B1079, ""es"", ""en"")"),"Perfect gift for any ARMY The quality and price of the product are very good quality fabric and the pattern sizes are correct and fit very well. I received the shipment sooner than expected.")</f>
        <v>Perfect gift for any ARMY The quality and price of the product are very good quality fabric and the pattern sizes are correct and fit very well. I received the shipment sooner than expected.</v>
      </c>
    </row>
    <row r="1080">
      <c r="A1080" s="1">
        <v>5.0</v>
      </c>
      <c r="B1080" s="1" t="s">
        <v>1073</v>
      </c>
      <c r="C1080" t="str">
        <f>IFERROR(__xludf.DUMMYFUNCTION("GOOGLETRANSLATE(B1080, ""es"", ""en"")"),"Beautiful love")</f>
        <v>Beautiful love</v>
      </c>
    </row>
    <row r="1081">
      <c r="A1081" s="1">
        <v>5.0</v>
      </c>
      <c r="B1081" s="1" t="s">
        <v>1074</v>
      </c>
      <c r="C1081" t="str">
        <f>IFERROR(__xludf.DUMMYFUNCTION("GOOGLETRANSLATE(B1081, ""es"", ""en"")"),"Several mode and test good feeling I used with my wife and we are very happy with this machine lets you feet very comfortable has several massage mode does not weigh much you can take anywhere.")</f>
        <v>Several mode and test good feeling I used with my wife and we are very happy with this machine lets you feet very comfortable has several massage mode does not weigh much you can take anywhere.</v>
      </c>
    </row>
    <row r="1082">
      <c r="A1082" s="1">
        <v>5.0</v>
      </c>
      <c r="B1082" s="1" t="s">
        <v>1075</v>
      </c>
      <c r="C1082" t="str">
        <f>IFERROR(__xludf.DUMMYFUNCTION("GOOGLETRANSLATE(B1082, ""es"", ""en"")"),"Adidas falcon great fit")</f>
        <v>Adidas falcon great fit</v>
      </c>
    </row>
    <row r="1083">
      <c r="A1083" s="1">
        <v>5.0</v>
      </c>
      <c r="B1083" s="1" t="s">
        <v>1076</v>
      </c>
      <c r="C1083" t="str">
        <f>IFERROR(__xludf.DUMMYFUNCTION("GOOGLETRANSLATE(B1083, ""es"", ""en"")"),"good buy needed a blender and this was express offer. Good price, power has many speeds and seems more than enough power ... A few taps on the turbo speed 12 leave you almost liquid onion. Says important not wash dishwasher parts that make fitting utensil"&amp;"s with the mixer.")</f>
        <v>good buy needed a blender and this was express offer. Good price, power has many speeds and seems more than enough power ... A few taps on the turbo speed 12 leave you almost liquid onion. Says important not wash dishwasher parts that make fitting utensils with the mixer.</v>
      </c>
    </row>
    <row r="1084">
      <c r="A1084" s="1">
        <v>5.0</v>
      </c>
      <c r="B1084" s="1" t="s">
        <v>461</v>
      </c>
      <c r="C1084" t="str">
        <f>IFERROR(__xludf.DUMMYFUNCTION("GOOGLETRANSLATE(B1084, ""es"", ""en"")"),"excellent excellent")</f>
        <v>excellent excellent</v>
      </c>
    </row>
    <row r="1085">
      <c r="A1085" s="1">
        <v>5.0</v>
      </c>
      <c r="B1085" s="1" t="s">
        <v>1077</v>
      </c>
      <c r="C1085" t="str">
        <f>IFERROR(__xludf.DUMMYFUNCTION("GOOGLETRANSLATE(B1085, ""es"", ""en"")"),"Very comfortable Like all Merrell, very comfortable. They weigh little and the sole is quite elastic. As for the number, as expected.")</f>
        <v>Very comfortable Like all Merrell, very comfortable. They weigh little and the sole is quite elastic. As for the number, as expected.</v>
      </c>
    </row>
    <row r="1086">
      <c r="A1086" s="1">
        <v>5.0</v>
      </c>
      <c r="B1086" s="1" t="s">
        <v>1078</v>
      </c>
      <c r="C1086" t="str">
        <f>IFERROR(__xludf.DUMMYFUNCTION("GOOGLETRANSLATE(B1086, ""es"", ""en"")"),"Buy good quality one size smaller for the comments and in my case it needed normal size.")</f>
        <v>Buy good quality one size smaller for the comments and in my case it needed normal size.</v>
      </c>
    </row>
    <row r="1087">
      <c r="A1087" s="1">
        <v>5.0</v>
      </c>
      <c r="B1087" s="1" t="s">
        <v>1079</v>
      </c>
      <c r="C1087" t="str">
        <f>IFERROR(__xludf.DUMMYFUNCTION("GOOGLETRANSLATE(B1087, ""es"", ""en"")"),"Perfect The size is just right, they are very comfortable all day walk with them and great the product was good.")</f>
        <v>Perfect The size is just right, they are very comfortable all day walk with them and great the product was good.</v>
      </c>
    </row>
    <row r="1088">
      <c r="A1088" s="1">
        <v>5.0</v>
      </c>
      <c r="B1088" s="1" t="s">
        <v>1080</v>
      </c>
      <c r="C1088" t="str">
        <f>IFERROR(__xludf.DUMMYFUNCTION("GOOGLETRANSLATE(B1088, ""es"", ""en"")"),"Good sound, crisp and clear. Sound pretty good, comfortable once you acostumbrad q, of the best value for money.")</f>
        <v>Good sound, crisp and clear. Sound pretty good, comfortable once you acostumbrad q, of the best value for money.</v>
      </c>
    </row>
    <row r="1089">
      <c r="A1089" s="1">
        <v>5.0</v>
      </c>
      <c r="B1089" s="1" t="s">
        <v>1081</v>
      </c>
      <c r="C1089" t="str">
        <f>IFERROR(__xludf.DUMMYFUNCTION("GOOGLETRANSLATE(B1089, ""es"", ""en"")"),"Good quality good product. Paste perfectly.")</f>
        <v>Good quality good product. Paste perfectly.</v>
      </c>
    </row>
    <row r="1090">
      <c r="A1090" s="1">
        <v>5.0</v>
      </c>
      <c r="B1090" s="1" t="s">
        <v>1082</v>
      </c>
      <c r="C1090" t="str">
        <f>IFERROR(__xludf.DUMMYFUNCTION("GOOGLETRANSLATE(B1090, ""es"", ""en"")"),"I love nice comfortable and look great even to go to the office with an American. In my work I have already bought two.")</f>
        <v>I love nice comfortable and look great even to go to the office with an American. In my work I have already bought two.</v>
      </c>
    </row>
    <row r="1091">
      <c r="A1091" s="1">
        <v>5.0</v>
      </c>
      <c r="B1091" s="1" t="s">
        <v>1083</v>
      </c>
      <c r="C1091" t="str">
        <f>IFERROR(__xludf.DUMMYFUNCTION("GOOGLETRANSLATE(B1091, ""es"", ""en"")"),"Excellent article! My girls have loved them, had a good time doing karaoke! It's simple and worthwhile for the kids, I took the offer and that helps!")</f>
        <v>Excellent article! My girls have loved them, had a good time doing karaoke! It's simple and worthwhile for the kids, I took the offer and that helps!</v>
      </c>
    </row>
    <row r="1092">
      <c r="A1092" s="1">
        <v>5.0</v>
      </c>
      <c r="B1092" s="1" t="s">
        <v>1084</v>
      </c>
      <c r="C1092" t="str">
        <f>IFERROR(__xludf.DUMMYFUNCTION("GOOGLETRANSLATE(B1092, ""es"", ""en"")"),"The size, light weight and design ... I like it. I had time enough to try and answer certain questions, such as accuracy or water resistance. Overall I was pleasantly surprised, perfect value for money. I would buy.")</f>
        <v>The size, light weight and design ... I like it. I had time enough to try and answer certain questions, such as accuracy or water resistance. Overall I was pleasantly surprised, perfect value for money. I would buy.</v>
      </c>
    </row>
    <row r="1093">
      <c r="A1093" s="1">
        <v>5.0</v>
      </c>
      <c r="B1093" s="1" t="s">
        <v>1085</v>
      </c>
      <c r="C1093" t="str">
        <f>IFERROR(__xludf.DUMMYFUNCTION("GOOGLETRANSLATE(B1093, ""es"", ""en"")"),"Better than I expected I was looking for a small USB, very fast and at the least 32GB. Finally I bought this 64GB. After comparing with other similar, I bought this to see in the comments on the actual speed of writing and reading. After a first test, I c"&amp;"an only confirm how fast it is. The best in value. For get a but, ask you out all metal, including the ring to carry portable ... but for the money you have, you may not ask for more. Thoroughly recommended. I'll update only if you fail me in time.")</f>
        <v>Better than I expected I was looking for a small USB, very fast and at the least 32GB. Finally I bought this 64GB. After comparing with other similar, I bought this to see in the comments on the actual speed of writing and reading. After a first test, I can only confirm how fast it is. The best in value. For get a but, ask you out all metal, including the ring to carry portable ... but for the money you have, you may not ask for more. Thoroughly recommended. I'll update only if you fail me in time.</v>
      </c>
    </row>
    <row r="1094">
      <c r="A1094" s="1">
        <v>5.0</v>
      </c>
      <c r="B1094" s="1" t="s">
        <v>1086</v>
      </c>
      <c r="C1094" t="str">
        <f>IFERROR(__xludf.DUMMYFUNCTION("GOOGLETRANSLATE(B1094, ""es"", ""en"")"),"Thanks nice product ... lady very contenta..calidad very good")</f>
        <v>Thanks nice product ... lady very contenta..calidad very good</v>
      </c>
    </row>
    <row r="1095">
      <c r="A1095" s="1">
        <v>5.0</v>
      </c>
      <c r="B1095" s="1" t="s">
        <v>1087</v>
      </c>
      <c r="C1095" t="str">
        <f>IFERROR(__xludf.DUMMYFUNCTION("GOOGLETRANSLATE(B1095, ""es"", ""en"")"),"I love Perfect! And very nice")</f>
        <v>I love Perfect! And very nice</v>
      </c>
    </row>
    <row r="1096">
      <c r="A1096" s="1">
        <v>5.0</v>
      </c>
      <c r="B1096" s="1" t="s">
        <v>1088</v>
      </c>
      <c r="C1096" t="str">
        <f>IFERROR(__xludf.DUMMYFUNCTION("GOOGLETRANSLATE(B1096, ""es"", ""en"")"),"unbeatable recommend")</f>
        <v>unbeatable recommend</v>
      </c>
    </row>
    <row r="1097">
      <c r="A1097" s="1">
        <v>5.0</v>
      </c>
      <c r="B1097" s="1" t="s">
        <v>1089</v>
      </c>
      <c r="C1097" t="str">
        <f>IFERROR(__xludf.DUMMYFUNCTION("GOOGLETRANSLATE(B1097, ""es"", ""en"")"),"Terrific satisfied")</f>
        <v>Terrific satisfied</v>
      </c>
    </row>
    <row r="1098">
      <c r="A1098" s="1">
        <v>2.0</v>
      </c>
      <c r="B1098" s="1" t="s">
        <v>1090</v>
      </c>
      <c r="C1098" t="str">
        <f>IFERROR(__xludf.DUMMYFUNCTION("GOOGLETRANSLATE(B1098, ""es"", ""en"")"),"the quality of the fabric regularly for the price it can not ask for more the quality of the fabric regularly for the price it can not ask for more")</f>
        <v>the quality of the fabric regularly for the price it can not ask for more the quality of the fabric regularly for the price it can not ask for more</v>
      </c>
    </row>
    <row r="1099">
      <c r="A1099" s="1">
        <v>3.0</v>
      </c>
      <c r="B1099" s="1" t="s">
        <v>1091</v>
      </c>
      <c r="C1099" t="str">
        <f>IFERROR(__xludf.DUMMYFUNCTION("GOOGLETRANSLATE(B1099, ""es"", ""en"")"),"Expected more ... The material in this pant is correct, although I must say it's fine. Is like tights although it does not have elasticity so how are you. Sizes are large so as advice, buy a lower size to which you heap up.")</f>
        <v>Expected more ... The material in this pant is correct, although I must say it's fine. Is like tights although it does not have elasticity so how are you. Sizes are large so as advice, buy a lower size to which you heap up.</v>
      </c>
    </row>
    <row r="1100">
      <c r="A1100" s="1">
        <v>3.0</v>
      </c>
      <c r="B1100" s="1" t="s">
        <v>1092</v>
      </c>
      <c r="C1100" t="str">
        <f>IFERROR(__xludf.DUMMYFUNCTION("GOOGLETRANSLATE(B1100, ""es"", ""en"")"),"Small disappointment. It's nicer in the photos, in reality it does not look much, but it works well and the price is not bad. He expected more.")</f>
        <v>Small disappointment. It's nicer in the photos, in reality it does not look much, but it works well and the price is not bad. He expected more.</v>
      </c>
    </row>
    <row r="1101">
      <c r="A1101" s="1">
        <v>1.0</v>
      </c>
      <c r="B1101" s="1" t="s">
        <v>1093</v>
      </c>
      <c r="C1101" t="str">
        <f>IFERROR(__xludf.DUMMYFUNCTION("GOOGLETRANSLATE(B1101, ""es"", ""en"")"),"You do not buy some poor quality is poor quality. Does not stick well to the desired surface, there is no way to clean it, neither alcohol ... it is a real fraud, a waste of money.")</f>
        <v>You do not buy some poor quality is poor quality. Does not stick well to the desired surface, there is no way to clean it, neither alcohol ... it is a real fraud, a waste of money.</v>
      </c>
    </row>
    <row r="1102">
      <c r="A1102" s="1">
        <v>1.0</v>
      </c>
      <c r="B1102" s="1" t="s">
        <v>1094</v>
      </c>
      <c r="C1102" t="str">
        <f>IFERROR(__xludf.DUMMYFUNCTION("GOOGLETRANSLATE(B1102, ""es"", ""en"")"),"Poor quality Very poor quality. In a unique setting it was full of pellets. Not to buy it. Amazon, as always I accept returns without problems.")</f>
        <v>Poor quality Very poor quality. In a unique setting it was full of pellets. Not to buy it. Amazon, as always I accept returns without problems.</v>
      </c>
    </row>
    <row r="1103">
      <c r="A1103" s="1">
        <v>4.0</v>
      </c>
      <c r="B1103" s="1" t="s">
        <v>1095</v>
      </c>
      <c r="C1103" t="str">
        <f>IFERROR(__xludf.DUMMYFUNCTION("GOOGLETRANSLATE(B1103, ""es"", ""en"")"),"proper functioning properly work time, have not used it much, but the paper guide does not provide much security. I also miss centering mark.")</f>
        <v>proper functioning properly work time, have not used it much, but the paper guide does not provide much security. I also miss centering mark.</v>
      </c>
    </row>
    <row r="1104">
      <c r="A1104" s="1">
        <v>4.0</v>
      </c>
      <c r="B1104" s="1" t="s">
        <v>1096</v>
      </c>
      <c r="C1104" t="str">
        <f>IFERROR(__xludf.DUMMYFUNCTION("GOOGLETRANSLATE(B1104, ""es"", ""en"")"),"Virgi beautiful and elegant as pictured")</f>
        <v>Virgi beautiful and elegant as pictured</v>
      </c>
    </row>
    <row r="1105">
      <c r="A1105" s="1">
        <v>4.0</v>
      </c>
      <c r="B1105" s="1" t="s">
        <v>1097</v>
      </c>
      <c r="C1105" t="str">
        <f>IFERROR(__xludf.DUMMYFUNCTION("GOOGLETRANSLATE(B1105, ""es"", ""en"")"),"Nice looking, the only downside is that I like it to be fixed in the chain, the heart and then turns back to center it costs.")</f>
        <v>Nice looking, the only downside is that I like it to be fixed in the chain, the heart and then turns back to center it costs.</v>
      </c>
    </row>
    <row r="1106">
      <c r="A1106" s="1">
        <v>4.0</v>
      </c>
      <c r="B1106" s="1" t="s">
        <v>1098</v>
      </c>
      <c r="C1106" t="str">
        <f>IFERROR(__xludf.DUMMYFUNCTION("GOOGLETRANSLATE(B1106, ""es"", ""en"")"),"An excuse to stop a little use for back and neck when he arrived from work. Are few minutes to relax, it holds quite well.")</f>
        <v>An excuse to stop a little use for back and neck when he arrived from work. Are few minutes to relax, it holds quite well.</v>
      </c>
    </row>
    <row r="1107">
      <c r="A1107" s="1">
        <v>4.0</v>
      </c>
      <c r="B1107" s="1" t="s">
        <v>1099</v>
      </c>
      <c r="C1107" t="str">
        <f>IFERROR(__xludf.DUMMYFUNCTION("GOOGLETRANSLATE(B1107, ""es"", ""en"")"),"Value for moderate use in my case I have two binders of this style (albeit in different colors) and in my case I'm happy. In my case I do not give a very frequent use so far the lever mechanism has worked for me great, the same as the restraint system to "&amp;"prevent the leaves from moving. On the other hand the materials are good, it looks solid and the use that I give in my case hope it durable. Compared to other files, I find it great so would not use it to carry in a backpack. It also has a couple of thing"&amp;"s that I liked and did not expect: the song below is partially covered with a metal strip, I guess to prevent wear to the place it vertically. On the other hand, the label on its back and you can customize to know what's in it. From my point of view and s"&amp;"o far, I recommend it.")</f>
        <v>Value for moderate use in my case I have two binders of this style (albeit in different colors) and in my case I'm happy. In my case I do not give a very frequent use so far the lever mechanism has worked for me great, the same as the restraint system to prevent the leaves from moving. On the other hand the materials are good, it looks solid and the use that I give in my case hope it durable. Compared to other files, I find it great so would not use it to carry in a backpack. It also has a couple of things that I liked and did not expect: the song below is partially covered with a metal strip, I guess to prevent wear to the place it vertically. On the other hand, the label on its back and you can customize to know what's in it. From my point of view and so far, I recommend it.</v>
      </c>
    </row>
    <row r="1108">
      <c r="A1108" s="1">
        <v>5.0</v>
      </c>
      <c r="B1108" s="1" t="s">
        <v>1100</v>
      </c>
      <c r="C1108" t="str">
        <f>IFERROR(__xludf.DUMMYFUNCTION("GOOGLETRANSLATE(B1108, ""es"", ""en"")"),"A clock terra felix basic benefits but fully meets my needs. I've tried in pool and sea a dozen times and it works perfectly. Very visible and easy to implement. Good quality-price relation.")</f>
        <v>A clock terra felix basic benefits but fully meets my needs. I've tried in pool and sea a dozen times and it works perfectly. Very visible and easy to implement. Good quality-price relation.</v>
      </c>
    </row>
    <row r="1109">
      <c r="A1109" s="1">
        <v>5.0</v>
      </c>
      <c r="B1109" s="1" t="s">
        <v>1101</v>
      </c>
      <c r="C1109" t="str">
        <f>IFERROR(__xludf.DUMMYFUNCTION("GOOGLETRANSLATE(B1109, ""es"", ""en"")"),"Original Color &lt;div id = ""video-block-R1AWFYVYHBU9W2"" class = ""a-section a-spacing-small a-spacing-top mini video-block""&gt; &lt;div tabindex = ""0"" class = ""airy airy-svg vmin-unsupported airy-skin-beacon ""style ="" background-color: rgb (0, 0, 0) posit"&amp;"ion: relative; width: 100%; height: 100%; font-size: 0px; overflow: hidden; outline : none; ""&gt; &lt;div class ="" airy-renderer-container ""style ="" position: relative; height: 100%; width: 100%; ""&gt; &lt;video id ="" 7 ""preload ="" auto ""src ="" https://imag"&amp;"es-eu.ssl-images-amazon.com/images/I/91KG93MV2JS.mp4 ""style ="" position: absolute; left: 0px; top: 0px; overflow: hidden; height: 1px; width: 1px ; ""&gt; &lt;/ video&gt; &lt;/ div&gt; &lt;div id ="" airy-slate-preload ""style ="" background-color: rgb (0, 0, 0); backgro"&amp;"und-image: url (&amp; quot; https: // images-eu.ssl-images-amazon.com/images/I/910XaLS4SAS.png&amp;quot;); background-size: Contain; background-position: center center; background-repeat: no-repeat; position: absolute; top: 0px ; left: 0px; visibility: visible; w"&amp;"idth: 100%; height: 100%; ""&gt; &lt;/ div&gt; &lt;iframe scrolling = ""No"" frameborder = ""0"" src = ""about: blank"" style = ""display: none;""&gt; &lt;/ iframe&gt; &lt;div tabindex = ""- 1"" class = ""airy-controls-container"" style = ""opacity: 0; visibility: hidden; ""&gt; &lt;d"&amp;"iv tabindex ="" - 1 ""class ="" airy-screen-size-toggle airy-fullscreen ""&gt; &lt;/ div&gt; &lt;div tabindex ="" - 1 ""class ="" airy-container-bottom "" &gt; &lt;div tabindex = ""- 1"" class = ""airy-track-bar-spacer-left"" style = ""width: 11px;""&gt; &lt;/ div&gt; &lt;div tabindex"&amp;" = ""- 1"" class = ""airy-play- airy toggle-play ""style ="" width: 12px; margin-right: 12px; ""&gt; &lt;/ div&gt; &lt;div tabindex ="" - 1 ""class ="" airy-audio-elements ""style ="" float: right; width: 34px; ""&gt; &lt;div tabindex ="" - 1 ""class ="" airy-audio-toggle "&amp;"airy-on ""&gt; &lt;/ div&gt; &lt;div tabindex ="" - 1 ""class ="" airy-audio-container ""style = ""opacity: 0; visibility: hidden; ""&gt; &lt;div tabindex ="" - 1 ""class ="" airy-audio-track-bar ""style ="" height: 80%; ""&gt; &lt;div tabindex ="" - 1 ""class ="" airy-audio- Sc"&amp;"rubber-bar ""style ="" height: 85%; ""&gt; &lt;/ div&gt; &lt;div tabindex ="" - 1 ""class ="" airy-audio-scrubber ""style ="" height: 12px; bottom 85% ""&gt; &lt;/ div&gt; &lt;/ div&gt; &lt;/ div&gt; &lt;/ div&gt; &lt;div tabindex ="" - 1 ""class ="" airy-duration-label ""style ="" float: right; "&amp;"width: 26px; margin-right: 4px; text-align: center; ""&gt; 0:00 &lt;/ div&gt; &lt;div tabindex ="" - 1 ""class ="" airy-track-bar-spacer-right ""style ="" float: right; width: 11px; ""&gt; &lt;/ div&gt; &lt;div tabindex ="" - 1 ""class ="" airy-track-bar-container ""style ="" ma"&amp;"rgin-left: 35px; margin-right: 75px; ""&gt; &lt;div tabindex ="" - 1 ""class ="" airy-airy-track-bar vertically-centering-table ""&gt; &lt;div tabindex ="" - 1 ""class ="" airy-Vertical-centering- table-cell ""&gt; &lt;div tabindex ="" - 1 ""class ="" airy-track-bar-elemen"&amp;"ts ""&gt; &lt;div tabindex ="" - 1 ""class ="" airy-progress-bar ""&gt; &lt;/ div&gt; &lt;div tabindex = ""- 1"" class = ""airy-scrubber-bar""&gt; &lt;/ div&gt; &lt;div tabindex = ""- 1"" class = ""airy-scrubber""&gt; &lt;div tabindex = ""- 1"" class = ""airy-scrubber- icon ""&gt; &lt;/ div&gt; &lt;div"&amp;" tabindex ="" - 1 ""class ="" airy-adjusted-AUI-tooltip ""style ="" opacity: 0; visibility: hidden; ""&gt; &lt;div tabindex ="" - 1 ""class ="" airy-adjusted-aui-tooltip-inner ""&gt; &lt;div tabindex ="" - 1 ""class ="" airy-current-time-label ""&gt; 0: 00 &lt;/ div&gt; &lt;/ di"&amp;"v&gt; &lt;div tabindex = ""- 1"" class = ""airy-adjusted-AUI-arrow-border""&gt; &lt;div tabindex = ""- 1"" class = ""airy-adjusted-AUI-arrow"" &gt; &lt;/ div&gt; &lt;/ div&gt; &lt;/ div&gt; &lt;/ div&gt; &lt;/ div&gt; &lt;/ div&gt; &lt;/ div&gt; &lt;/ div&gt; &lt;/ div&gt; &lt;/ div&gt; &lt;div tabindex = ""- 1"" class = ""airy-age"&amp;"-gate airy-stage airy-Vertical-centering-table airy-dialog"" style = ""opacity: 0; visibility: hidden; ""&gt; &lt;div tabindex ="" - 1 ""class ="" airy-age-gate-Vertical-centering-table-cell airy-Vertical-centering-table-cell ""&gt; &lt;div tabindex ="" - 1 ""class ="&amp;" ""airy-Vertical-centering-wrapper airy-age-gate-elements-wrapper""&gt; &lt;div tabindex = ""- 1"" class = ""airy-age-gate-elements airy-dialog-elements""&gt; &lt;div tabindex = "" -1 ""class ="" airy-age-gate-prompt ""&gt; This video is not Intended for all audiences W"&amp;"hat date were you born &lt;/ div&gt; &lt;div tabindex =.?"" - 1 ""class ="" airy-age-gate -inputs airy-dialog-inner-elements ""&gt; &lt;select tabindex ="" - 1 ""class ="" airy-age-gate-month ""&gt; &lt;option value ="" 1 ""&gt; January &lt;/ option&gt; &lt;option value ="" 2 ""&gt; Februar"&amp;"y &lt;/ option&gt; &lt;option value ="" 3 ""&gt; March &lt;/ option&gt; &lt;option value ="" 4 ""&gt; April &lt;/ option&gt; &lt;option value ="" 5 ""&gt; May &lt;/ option&gt; &lt;option value = ""6""&gt; June &lt;/ option&gt; &lt;option value = ""7""&gt; July &lt;/ option&gt; &lt;option value = ""8""&gt; August &lt;/ option&gt; &lt;o"&amp;"ption value = ""9""&gt; September &lt;/ option&gt; &lt;option value = ""10""&gt; October &lt;/ option&gt; &lt;option value = ""11""&gt; November &lt;/ option&gt; &lt;option value = ""12""&gt; December &lt;/ option&gt; &lt;/ select&gt; &lt;select tabindex = ""- 1"" class = ""airy-age-gate-day""&gt; &lt;opti on valu"&amp;"e = ""1""&gt; 1 &lt;/ option&gt; &lt;option value = ""2""&gt; 2 &lt;/ option&gt; &lt;option value = ""3""&gt; 3 &lt;/ option&gt; &lt;option value = ""4""&gt; 4 &lt;/ option &gt; &lt;option value = ""5""&gt; 5 &lt;/ option&gt; &lt;option value = ""6""&gt; 6 &lt;/ option&gt; &lt;option value = ""7""&gt; 7 &lt;/ option&gt; &lt;option value "&amp;"= ""8""&gt; 8 &lt; / option&gt; &lt;option value = ""9""&gt; 9 &lt;/ option&gt; &lt;option value = ""10""&gt; 10 &lt;/ option&gt; &lt;option value = ""11""&gt; 11 &lt;/ option&gt; &lt;option value = ""12""&gt; 12 &lt;/ option&gt; &lt;option value = ""13""&gt; 13 &lt;/ option&gt; &lt;option value = ""14""&gt; 14 &lt;/ option&gt; &lt;optio"&amp;"n value = ""15""&gt; 15 &lt;/ option&gt; &lt;option value = ""16 ""&gt; 16 &lt;/ option&gt; &lt;option value ="" 17 ""&gt; 17 &lt;/ option&gt; &lt;option value ="" 18 ""&gt; 18 &lt;/ option&gt; &lt;option value ="" 19 ""&gt; 19 &lt;/ option&gt; &lt;option value = ""20""&gt; 20 &lt;/ option&gt; &lt;option value = ""21""&gt; 21 &lt;/"&amp;" option&gt; &lt;option value = ""22""&gt; 22 &lt;/ option&gt; &lt;option value = ""23""&gt; 23 &lt;/ option&gt; &lt;option value = ""24""&gt; 24 &lt;/ option&gt; &lt;option value = ""25""&gt; 25 &lt;/ option&gt; &lt;option value = ""26""&gt; 26 &lt;/ option&gt; &lt;option value = ""27""&gt; 27 &lt;/ option&gt; &lt;option value = """&amp;"28""&gt; 28 &lt;/ option&gt; &lt;option value = ""29""&gt; 29 &lt;/ option&gt; &lt;option value = ""30""&gt; 30 &lt;/ option&gt; &lt;option value = ""31""&gt; 31 &lt;/ option&gt; &lt;/ select&gt; &lt;select tabindex = ""- 1"" class = ""airy-age-gate-year""&gt; &lt;option value = ""2019""&gt; 2019 &lt;/ option&gt; &lt; option "&amp;"value = ""2018""&gt; 2018 &lt;/ option&gt; &lt;option value = ""2017""&gt; 2017 &lt;/ option&gt; &lt;option value = ""2016""&gt; ​​2016 &lt;/ option&gt; &lt;option value = ""2015""&gt; 2015 &lt;/ option &gt; &lt;option value = ""2014""&gt; 2014 &lt;/ option&gt; &lt;option value = ""2013""&gt; 2013 &lt;/ option&gt; &lt;option "&amp;"value = ""2012""&gt; 2012 &lt;/ option&gt; &lt;option value = ""2011""&gt; 2011 &lt; / option&gt; &lt;option value = ""2010""&gt; 2010 &lt;/ option&gt; &lt;option value = ""2009""&gt; 2009 &lt;/ option&gt; &lt;option value = ""2008""&gt; 2008 &lt;/ option&gt; &lt;option value = ""2007""&gt; 2007 &lt;/ option&gt; &lt;option va"&amp;"lue = ""2006""&gt; 2006 &lt;/ option&gt; &lt;option value = ""2005""&gt; 2005 &lt;/ option&gt; &lt;option value = ""2004""&gt; 2004 &lt;/ option&gt; &lt;option value = ""2003 ""&gt; 2003 &lt;/ option&gt; &lt;option value ="" 2002 ""&gt; 2002 &lt;/ option&gt; &lt;option value ="" 2001 ""&gt; 2001 &lt;/ option&gt; &lt;option va"&amp;"lue ="" 2000 ""&gt; 2000 &lt;/ option&gt; &lt;option value = ""1999""&gt; 1999 &lt;/ option&gt; &lt;option value = ""1998""&gt; 1998 &lt;/ option&gt; &lt;option value = ""1997""&gt; 1997 &lt;/ option&gt; &lt;option value = ""1996""&gt; 1996 &lt;/ option&gt; &lt;option value = ""1995""&gt; 1995 &lt;/ option&gt; &lt;option valu"&amp;"e = ""1994""&gt; 1994 &lt;/ option&gt; &lt;option value = ""1993""&gt; 1993 &lt;/ option&gt; &lt;option value = ""1992""&gt; 1992 &lt;/ option&gt; &lt;option value = ""1991""&gt; 1991 &lt;/ option&gt; &lt;option value = ""1990""&gt; 1990 &lt;/ option&gt; &lt;option value = "" 1989 ""&gt; 1989 &lt;/ option&gt; &lt;option value"&amp;" ="" 1988 ""&gt; 1988 &lt;/ option&gt; &lt;option value ="" 1987 ""&gt; 1987 &lt;/ option&gt; &lt;option value ="" 1986 ""&gt; 1986 &lt;/ option&gt; &lt;value option = ""1985""&gt; 1985 &lt;/ option&gt; &lt;option value = ""1984""&gt; 1984 &lt;/ option&gt; &lt;option value = ""1983""&gt; 1983 &lt;/ option&gt; &lt;option value"&amp;" = ""1982""&gt; 1982 &lt;/ option&gt; &lt; option value = ""1981""&gt; 1981 &lt;/ option&gt; &lt;option value = ""1980""&gt; 1980 &lt;/ option&gt; &lt;option value = ""1979""&gt; 1979 &lt;/ option&gt; &lt;option value = ""1978""&gt; 1978 &lt;/ option &gt; &lt;option value = ""1977""&gt; 1977 &lt;/ option&gt; &lt;option value "&amp;"= ""1976""&gt; 1976 &lt;/ option&gt; &lt;option value = ""1975""&gt; 1975 &lt;/ option&gt; &lt;option value = ""1974""&gt; 1974 &lt; / option&gt; &lt;option value = ""1973""&gt; 1973 &lt;/ option&gt; &lt;option value = ""1972""&gt; 1972 &lt;/ option&gt; &lt;option value = ""1971""&gt; 1971 &lt;/ option&gt; &lt;option value = "&amp;"""1970""&gt; 1970 &lt;/ option&gt; &lt;option value = ""1969""&gt; 1969 &lt;/ option&gt; &lt;option value = ""1968""&gt; 1968 &lt;/ option&gt; &lt;option value = ""1967""&gt; 1967 &lt;/ option&gt; &lt;option value = ""1966 ""&gt; 1966 &lt;/ option&gt; &lt;option value ="" 1965 ""&gt; 1965 &lt;/ option&gt; &lt;option value ="""&amp;" 1964 ""&gt; 1964 &lt;/ option&gt; &lt;option value ="" 1963 ""&gt; 1963 &lt;/ option&gt; &lt;option value = ""1962""&gt; 1962 &lt;/ option&gt; &lt;option value = ""1961""&gt; 1961 &lt;/ option&gt; &lt;option value = ""1960""&gt; 1960 &lt;/ op tion&gt; &lt;option value = ""1959""&gt; 1959 &lt;/ option&gt; &lt;option value = "&amp;"""1958""&gt; 1958 &lt;/ option&gt; &lt;option value = ""1957""&gt; 1957 &lt;/ option&gt; &lt;option value = ""1956""&gt; 1956 &lt;/ option&gt; &lt;option value = ""1955""&gt; 1955 &lt;/ option&gt; &lt;option value = ""1954""&gt; 1954 &lt;/ option&gt; &lt;option value = ""1953""&gt; 1953 &lt;/ option&gt; &lt;option value = ""1"&amp;"952"" &gt; 1952 &lt;/ option&gt; &lt;option value = ""1951""&gt; 1951 &lt;/ option&gt; &lt;option value = ""1950""&gt; 1950 &lt;/ option&gt; &lt;option value = ""1949""&gt; 1949 &lt;/ option&gt; &lt;option value = "" 1948 ""&gt; 1948 &lt;/ option&gt; &lt;option value ="" 1947 ""&gt; 1947 &lt;/ option&gt; &lt;option value ="" "&amp;"1946 ""&gt; 1946 &lt;/ option&gt; &lt;option value ="" 1945 ""&gt; 1945 &lt;/ option&gt; &lt;value option = ""1944""&gt; 1944 &lt;/ option&gt; &lt;option value = ""1943""&gt; 1943 &lt;/ option&gt; &lt;option value = ""1942""&gt; 1942 &lt;/ option&gt; &lt;option value = ""1941""&gt; 1941 &lt;/ option&gt; &lt; option value = """&amp;"1940""&gt; 1940 &lt;/ option&gt; &lt;option value = ""1939""&gt; 1939 &lt;/ option&gt; &lt;option value = ""1938""&gt; 1938 &lt;/ option&gt; &lt;option value = ""1937""&gt; 1937 &lt;/ option &gt; &lt;option value = ""1936""&gt; 1936 &lt;/ option&gt; &lt;option value = ""1935""&gt; 1935 &lt;/ option&gt; &lt;option value = ""19"&amp;"34""&gt; 1934 &lt;/ option&gt; &lt;option value = ""1933""&gt; 1933 &lt; / option&gt; &lt;option value = ""1932""&gt; 1932 &lt;/ option&gt; &lt;option value = ""1931""&gt; 1931 &lt;/ option&gt; &lt;option v alue = ""1930""&gt; 1930 &lt;/ option&gt; &lt;option value = ""1929""&gt; 1929 &lt;/ option&gt; &lt;option value = ""192"&amp;"8""&gt; 1928 &lt;/ option&gt; &lt;option value = ""1927""&gt; 1927 &lt;/ option&gt; &lt;option value = ""1926""&gt; 1926 &lt;/ option&gt; &lt;option value = ""1925""&gt; 1925 &lt;/ option&gt; &lt;option value = ""1924""&gt; 1924 &lt;/ option&gt; &lt;option value = ""1923""&gt; 1923 &lt;/ option&gt; &lt;option value = ""1922"""&amp;"&gt; 1922 &lt;/ option&gt; &lt;option value = ""1921""&gt; 1921 &lt;/ option&gt; &lt;option value = ""1920""&gt; 1920 &lt;/ option&gt; &lt;option value = ""1919""&gt; 1919 &lt;/ option&gt; &lt;option value = ""1918""&gt; 1918 &lt;/ option&gt; &lt;option value = ""1917""&gt; 1917 &lt;/ option&gt; &lt;option value = ""1916""&gt; 1"&amp;"916 &lt;/ option&gt; &lt;option value = ""1915"" &gt; 1915 &lt;/ option&gt; &lt;option value = ""1914""&gt; 1914 &lt;/ option&gt; &lt;option value = ""1913""&gt; 1913 &lt;/ option&gt; &lt;option value = ""1912""&gt; 1912 &lt;/ option&gt; &lt;option value = "" 1911 ""&gt; 1911 &lt;/ option&gt; &lt;option value ="" 1910 ""&gt; "&amp;"1910 &lt;/ option&gt; &lt;option value ="" 1909 ""&gt; 1909 &lt;/ option&gt; &lt;option value ="" 1908 ""&gt; 1908 &lt;/ option&gt; &lt;value option = ""1907""&gt; 1907 &lt;/ option&gt; &lt;option value = ""1906""&gt; 1906 &lt;/ option&gt; &lt;option value = ""1905""&gt; 1905 &lt;/ option&gt; &lt;option value = ""1904""&gt; 1"&amp;"904 &lt;/ option&gt; &lt; option value = ""1903""&gt; 1903 &lt;/ option&gt; &lt;option value = ""1902""&gt; 1902 &lt;/ option&gt; &lt;option value = ""1901""&gt; 19 01 &lt;/ option&gt; &lt;option value = ""1900""&gt; 1900 &lt;/ option&gt; &lt;/ select&gt; &lt;div tabindex = ""- 1"" class = ""airy-age-gate-submit airy"&amp;"-submit-button airy airy-submit- disabled ""&gt; Submit &lt;/ div&gt; &lt;/ div&gt; &lt;/ div&gt; &lt;/ div&gt; &lt;/ div&gt; &lt;/ div&gt; &lt;div tabindex ="" - 1 ""class ="" airy-install-flash-dialog airy-stage airy -vertical-centering-table-dialog airy airy-denied ""style ="" opacity: 0; visi"&amp;"bility: hidden; ""&gt; &lt;div tabindex ="" - 1 ""class ="" airy-install-flash-Vertical-centering-table-cell airy-Vertical-centering-table-cell ""&gt; &lt;div tabindex ="" - 1 ""class = ""airy-Vertical-centering-wrapper airy-install-flash-elements-wrapper""&gt; &lt;div tab"&amp;"index = ""- 1"" class = ""airy-install-flash-elements airy-dialog-elements""&gt; &lt;div tabindex = "" -1 ""class ="" airy-install-flash-prompt ""&gt; Adobe Flash Player is required to watch this video &lt;/ div&gt; &lt;div tabindex =."" - 1 ""class ="" airy-install-flash-"&amp;"button-wrapper airy -dialog-inner-elements ""&gt; &lt;div tabindex ="" - 1 ""class ="" airy-install-flash-button airy-button ""&gt; install Flash Player &lt;/ div&gt; &lt;/ div&gt; &lt;/ div&gt; &lt;/ div&gt; &lt;/ div&gt; &lt;/ div&gt; &lt;div tabindex = ""- 1"" class = ""airy-video-unsupported-dialog"&amp;" airy-stage airy-Vertical-centering-table airy-dialog airy-denied"" style = ""opacity: 0; visibility: hidden; ""&gt; &lt;div tabindex ="" - 1 ""class ="" airy-video-unsupported-Vertical-centering-table-cell airy-Vertical-centering-table-cell ""&gt; &lt;div tabindex ="&amp;""" - 1 ""class = ""airy-Vertical-centering-wrapper airy-video-unsupported-elements-wrapper""&gt; &lt;div tabindex = ""- 1"" class = ""airy-video-unsupported-elements airy-dialog-elements""&gt; &lt;div tabindex = "" -1 ""class ="" airy-video-unsupported-prompt ""&gt; &lt;/ "&amp;"div&gt; &lt;/ div&gt; &lt;/ div&gt; &lt;/ div&gt; &lt;/ div&gt; &lt;div tabindex ="" - 1 ""class ="" airy-loading- spinner-stage airy-stage ""&gt; &lt;div tabindex ="" - 1 ""class ="" airy-loading-spinner-Vertical-centering-table-cell airy-Vertical-centering-table-cell ""&gt; &lt;div tabindex ="""&amp;" - 1 ""class ="" airy-loading-spinner-container airy-scalable-hint-container ""&gt; &lt;div tabindex ="" - 1 ""class ="" airy-loading-spinner-dummy airy-scalable-dummy ""&gt; &lt;/ div&gt; &lt; div tabindex = ""- 1"" class = ""airy-loading-spinner airy-hint"" style = ""vis"&amp;"ibility: hidden;""&gt; &lt;/ div&gt; &lt;/ div&gt; &lt;/ div&gt; &lt;/ div&gt; &lt;div tabindex = ""- 1 ""class ="" airy-ads-screen-size-toggle airy-screen-size-toggle-fullscreen airy ""style ="" visibility: hidden; ""&gt; &lt;/ div&gt; &lt;div tabindex = ""-1"" class = ""airy-ad-prompt-container"&amp;""" style = ""visibility: hidden;""&gt; &lt;div tabindex = ""- 1"" class = ""airy-ad-prompt-Vertical-centering-table-vertically airy centering-table ""&gt; &lt;div tabindex ="" - 1 ""class ="" airy-ad-prompt-Vertical-centering-table-cell airy-Vertical-centering-table-"&amp;"cell ""&gt; &lt;div tabindex ="" - 1 ""class = ""airy-ad-prompt-label""&gt; &lt;/ div&gt; &lt;/ div&gt; &lt;/ div&gt; &lt;/ div&gt; &lt;div tabindex = ""- 1"" class = ""airy-ads-controls-container"" style = ""visibility: hidden; ""&gt; &lt;div tabindex ="" - 1 ""class ="" airy-ads-audio-toggle ai"&amp;"ry-audio-toggle airy-on ""style ="" visibility: hidden; ""&gt; &lt;/ div&gt; &lt;div tabindex ="" - 1 ""class ="" airy-time-remaining-label-container ""&gt; &lt;div tabindex ="" - 1 ""class ="" airy-time-remaining-Vertical-centering-table airy-Vertical-centering-table ""&gt; "&amp;"&lt;div tabindex = ""- 1"" class = ""airy-time-remaining-Vertical-centering-table-cell airy-Vertical-centering-table-cell""&gt; &lt;div tabindex = ""- 1"" class = ""airy-Vertical-centering-wrapper airy-time-remaining-label-wrapper ""&gt; &lt;div tabindex ="" - 1 ""class"&amp;" ="" airy-time-remaining-label ""style ="" visibility: hidden; ""&gt; &lt;/ div&gt; &lt;div tabi ndex = ""- 1"" class = ""airy-ad-skip"" style = ""visibility: hidden;""&gt; &lt;/ div&gt; &lt;div tabindex = ""- 1"" class = ""airy-ad-end"" style = ""visibility: hidden ""&gt; &lt;/ div&gt; "&amp;"&lt;/ div&gt; &lt;/ div&gt; &lt;/ div&gt; &lt;/ div&gt; &lt;div tabindex ="" - 1 ""class ="" airy-learn-more ""style ="" visibility: hidden; ""&gt; &lt;/ div&gt; &lt;/ div&gt; &lt;div tabindex = ""- 1"" class = ""airy-play-toggle-hint-stage airy-stage airy-cursor""&gt; &lt;div tabindex = ""- 1"" class = "&amp;"""airy-play -toggle-hint-Vertical-centering-table-cell airy-Vertical-centering-table-cell airy-cursor ""&gt; &lt;div tabindex ="" - 1 ""class ="" airy-play-toggle-hint-container airy-scalable- Hint-container ""&gt; &lt;div tabindex ="" - 1 ""class ="" airy-play-toggl"&amp;"e-hint-dummy airy-scalable-dummy ""&gt; &lt;/ div&gt; &lt;div tabindex ="" - 1 ""class ="" airy-play -toggle-hint hint airy-airy-play-hint ""style ="" opacity: 1; visibility: visible; ""&gt; &lt;/ div&gt; &lt;/ div&gt; &lt;/ div&gt; &lt;/ div&gt; &lt;div tabindex ="" - 1 ""class ="" airy-replay-h"&amp;"int-stage airy-stage ""style ="" visibility: hidden ; ""&gt; &lt;div tabindex ="" - 1 ""class ="" airy-replay-hint-Vertical-centering-table-cell airy-Vertical-centering-table-cell airy-cursor ""&gt; &lt;div tabindex ="" - 1 ""class = ""airy-replay-hint-container airy"&amp;"-scalable-hint-container""&gt; &lt;div tabindex = ""- 1"" class = ""airy-replay-hint-dummy airy-scalable-dummy""&gt; &lt;/ div&gt; &lt;div tabindex = ""- 1"" class = ""airy-replay-hint airy-hint""&gt; &lt;/ div&gt; &lt;/ div&gt; &lt;/ div&gt; &lt;/ div&gt; &lt;div tabindex = ""- 1"" class = ""airy-auto"&amp;"play-hint -stage airy-stage ""style ="" visibility: hidden; ""&gt; &lt;div tabindex ="" - 1 ""class ="" airy-autoplay-hint-Vertical-centering-table-cell airy-Vertical-centering-table-cell airy- cursor ""&gt; &lt;div tabindex ="" - 1 ""class ="" autoplay airy-airy-hin"&amp;"t-container-scalable-hint-container ""&gt; &lt;div tabindex ="" - 1 ""class ="" airy-autoplay-hint-dummy airy- scalable-dummy ""&gt; &lt;/ div&gt; &lt;/ div&gt; &lt;/ div&gt; &lt;/ div&gt; &lt;/ div&gt; &lt;/ div&gt; &lt;input type ="" hidden ""name ="" ""value ="" https: // images-eu .ssl-images-amazo"&amp;"n.com / images / I / 91KG93MV2JS.mp4 ""Class ="" video-url ""&gt; &lt;input type ="" hidden ""name ="" ""value ="" https://images-eu.ssl-images-amazon.com/images/I/910XaLS4SAS.png ""class ="" video-slate-img-url ""&gt; &amp; nbsp; I love the color of this bracelet, th"&amp;"eir functions are very similar to others but it seems more accurate in touching the touch button, through the App mobile can set all the functions of the clock and keep not weigh detailed tracking of your activities so do not bother anything take.")</f>
        <v>Original Color &lt;div id = "video-block-R1AWFYVYHBU9W2" class = "a-section a-spacing-small a-spacing-top mini video-block"&gt; &lt;div tabindex = "0" class = "airy airy-svg vmin-unsupported airy-skin-beacon "style =" background-color: rgb (0, 0, 0) position: relative; width: 100%; height: 100%; font-size: 0px; overflow: hidden; outline : none; "&gt; &lt;div class =" airy-renderer-container "style =" position: relative; height: 100%; width: 100%; "&gt; &lt;video id =" 7 "preload =" auto "src =" https://images-eu.ssl-images-amazon.com/images/I/91KG93MV2JS.mp4 "style =" position: absolute; left: 0px; top: 0px; overflow: hidden; height: 1px; width: 1px ; "&gt; &lt;/ video&gt; &lt;/ div&gt; &lt;div id =" airy-slate-preload "style =" background-color: rgb (0, 0, 0); background-image: url (&amp; quot; https: // images-eu.ssl-images-amazon.com/images/I/910XaLS4SAS.png&amp;quot;); background-size: Contain; background-position: center center; background-repeat: no-repeat; position: absolute; top: 0px ; left: 0px; visibility: visible; width: 100%; height: 100%; "&gt; &lt;/ div&gt; &lt;iframe scrolling = "No" frameborder = "0" src = "about: blank" style = "display: none;"&gt; &lt;/ iframe&gt; &lt;div tabindex = "- 1" class = "airy-controls-container" style = "opacity: 0; visibility: hidden; "&gt; &lt;div tabindex =" - 1 "class =" airy-screen-size-toggle airy-fullscreen "&gt; &lt;/ div&gt; &lt;div tabindex =" - 1 "class =" airy-container-bottom " &gt; &lt;div tabindex = "- 1" class = "airy-track-bar-spacer-left" style = "width: 11px;"&gt; &lt;/ div&gt; &lt;div tabindex = "- 1" class = "airy-play- airy toggle-play "style =" width: 12px; margin-right: 12px; "&gt; &lt;/ div&gt; &lt;div tabindex =" - 1 "class =" airy-audio-elements "style =" float: right; width: 34px; "&gt; &lt;div tabindex =" - 1 "class =" airy-audio-toggle airy-on "&gt; &lt;/ div&gt; &lt;div tabindex =" - 1 "class =" airy-audio-container "style = "opacity: 0; visibility: hidden; "&gt; &lt;div tabindex =" - 1 "class =" airy-audio-track-bar "style =" height: 80%; "&gt; &lt;div tabindex =" - 1 "class =" airy-audio- Scrubber-bar "style =" height: 85%; "&gt; &lt;/ div&gt; &lt;div tabindex =" - 1 "class =" airy-audio-scrubber "style =" height: 12px; bottom 85% "&gt; &lt;/ div&gt; &lt;/ div&gt; &lt;/ div&gt; &lt;/ div&gt; &lt;div tabindex =" - 1 "class =" airy-duration-label "style =" float: right; width: 26px; margin-right: 4px; text-align: center; "&gt; 0:00 &lt;/ div&gt; &lt;div tabindex =" - 1 "class =" airy-track-bar-spacer-right "style =" float: right; width: 11px; "&gt; &lt;/ div&gt; &lt;div tabindex =" - 1 "class =" airy-track-bar-container "style =" margin-left: 35px; margin-right: 75px; "&gt; &lt;div tabindex =" - 1 "class =" airy-airy-track-bar vertically-centering-table "&gt; &lt;div tabindex =" - 1 "class =" airy-Vertical-centering- table-cell "&gt; &lt;div tabindex =" - 1 "class =" airy-track-bar-elements "&gt; &lt;div tabindex =" - 1 "class =" airy-progress-bar "&gt; &lt;/ div&gt; &lt;div tabindex = "- 1" class = "airy-scrubber-bar"&gt; &lt;/ div&gt; &lt;div tabindex = "- 1" class = "airy-scrubber"&gt; &lt;div tabindex = "- 1" class = "airy-scrubber- icon "&gt; &lt;/ div&gt; &lt;div tabindex =" - 1 "class =" airy-adjusted-AUI-tooltip "style =" opacity: 0; visibility: hidden; "&gt; &lt;div tabindex =" - 1 "class =" airy-adjusted-aui-tooltip-inner "&gt; &lt;div tabindex =" - 1 "class =" airy-current-time-label "&gt; 0: 00 &lt;/ div&gt; &lt;/ div&gt; &lt;div tabindex = "- 1" class = "airy-adjusted-AUI-arrow-border"&gt; &lt;div tabindex = "- 1" class = "airy-adjusted-AUI-arrow" &gt; &lt;/ div&gt; &lt;/ div&gt; &lt;/ div&gt; &lt;/ div&gt; &lt;/ div&gt; &lt;/ div&gt; &lt;/ div&gt; &lt;/ div&gt; &lt;/ div&gt; &lt;/ div&gt; &lt;div tabindex = "- 1" class = "airy-age-gate airy-stage airy-Vertical-centering-table airy-dialog" style = "opacity: 0; visibility: hidden; "&gt; &lt;div tabindex =" - 1 "class =" airy-age-gate-Vertical-centering-table-cell airy-Vertical-centering-table-cell "&gt; &lt;div tabindex =" - 1 "class = "airy-Vertical-centering-wrapper airy-age-gate-elements-wrapper"&gt; &lt;div tabindex = "- 1" class = "airy-age-gate-elements airy-dialog-elements"&gt; &lt;div tabindex = " -1 "class =" airy-age-gate-prompt "&gt; This video is not Intended for all audiences What date were you born &lt;/ div&gt; &lt;div tabindex =.?" - 1 "class =" airy-age-gate -inputs airy-dialog-inner-elements "&gt; &lt;select tabindex =" - 1 "class =" airy-age-gate-month "&gt; &lt;option value =" 1 "&gt; January &lt;/ option&gt; &lt;option value =" 2 "&gt; February &lt;/ option&gt; &lt;option value =" 3 "&gt; March &lt;/ option&gt; &lt;option value =" 4 "&gt; April &lt;/ option&gt; &lt;option value =" 5 "&gt; May &lt;/ option&gt; &lt;option value = "6"&gt; June &lt;/ option&gt; &lt;option value = "7"&gt; July &lt;/ option&gt; &lt;option value = "8"&gt; August &lt;/ option&gt; &lt;option value = "9"&gt; September &lt;/ option&gt; &lt;option value = "10"&gt; October &lt;/ option&gt; &lt;option value = "11"&gt; November &lt;/ option&gt; &lt;option value = "12"&gt; December &lt;/ option&gt; &lt;/ select&gt; &lt;select tabindex = "- 1" class = "airy-age-gate-day"&gt; &lt;opti on value = "1"&gt; 1 &lt;/ option&gt; &lt;option value = "2"&gt; 2 &lt;/ option&gt; &lt;option value = "3"&gt; 3 &lt;/ option&gt; &lt;option value = "4"&gt; 4 &lt;/ option &gt; &lt;option value = "5"&gt; 5 &lt;/ option&gt; &lt;option value = "6"&gt; 6 &lt;/ option&gt; &lt;option value = "7"&gt; 7 &lt;/ option&gt; &lt;option value = "8"&gt; 8 &lt; / option&gt; &lt;option value = "9"&gt; 9 &lt;/ option&gt; &lt;option value = "10"&gt; 10 &lt;/ option&gt; &lt;option value = "11"&gt; 11 &lt;/ option&gt; &lt;option value = "12"&gt; 12 &lt;/ option&gt; &lt;option value = "13"&gt; 13 &lt;/ option&gt; &lt;option value = "14"&gt; 14 &lt;/ option&gt; &lt;option value = "15"&gt; 15 &lt;/ option&gt; &lt;option value = "16 "&gt; 16 &lt;/ option&gt; &lt;option value =" 17 "&gt; 17 &lt;/ option&gt; &lt;option value =" 18 "&gt; 18 &lt;/ option&gt; &lt;option value =" 19 "&gt; 19 &lt;/ option&gt; &lt;option value = "20"&gt; 20 &lt;/ option&gt; &lt;option value = "21"&gt; 21 &lt;/ option&gt; &lt;option value = "22"&gt; 22 &lt;/ option&gt; &lt;option value = "23"&gt; 23 &lt;/ option&gt; &lt;option value = "24"&gt; 24 &lt;/ option&gt; &lt;option value = "25"&gt; 25 &lt;/ option&gt; &lt;option value = "26"&gt; 26 &lt;/ option&gt; &lt;option value = "27"&gt; 27 &lt;/ option&gt; &lt;option value = "28"&gt; 28 &lt;/ option&gt; &lt;option value = "29"&gt; 29 &lt;/ option&gt; &lt;option value = "30"&gt; 30 &lt;/ option&gt; &lt;option value = "31"&gt; 31 &lt;/ option&gt; &lt;/ select&gt; &lt;select tabindex = "- 1" class = "airy-age-gate-year"&gt; &lt;option value = "2019"&gt; 2019 &lt;/ option&gt; &lt; option value = "2018"&gt; 2018 &lt;/ option&gt; &lt;option value = "2017"&gt; 2017 &lt;/ option&gt; &lt;option value = "2016"&gt; ​​2016 &lt;/ option&gt; &lt;option value = "2015"&gt; 2015 &lt;/ option &gt; &lt;option value = "2014"&gt; 2014 &lt;/ option&gt; &lt;option value = "2013"&gt; 2013 &lt;/ option&gt; &lt;option value = "2012"&gt; 2012 &lt;/ option&gt; &lt;option value = "2011"&gt; 2011 &lt; / option&gt; &lt;option value = "2010"&gt; 2010 &lt;/ option&gt; &lt;option value = "2009"&gt; 2009 &lt;/ option&gt; &lt;option value = "2008"&gt; 2008 &lt;/ option&gt; &lt;option value = "2007"&gt; 2007 &lt;/ option&gt; &lt;option value = "2006"&gt; 2006 &lt;/ option&gt; &lt;option value = "2005"&gt; 2005 &lt;/ option&gt; &lt;option value = "2004"&gt; 2004 &lt;/ option&gt; &lt;option value = "2003 "&gt; 2003 &lt;/ option&gt; &lt;option value =" 2002 "&gt; 2002 &lt;/ option&gt; &lt;option value =" 2001 "&gt; 2001 &lt;/ option&gt; &lt;option value =" 2000 "&gt; 2000 &lt;/ option&gt; &lt;option value = "1999"&gt; 1999 &lt;/ option&gt; &lt;option value = "1998"&gt; 1998 &lt;/ option&gt; &lt;option value = "1997"&gt; 1997 &lt;/ option&gt; &lt;option value = "1996"&gt; 1996 &lt;/ option&gt; &lt;option value = "1995"&gt; 1995 &lt;/ option&gt; &lt;option value = "1994"&gt; 1994 &lt;/ option&gt; &lt;option value = "1993"&gt; 1993 &lt;/ option&gt; &lt;option value = "1992"&gt; 1992 &lt;/ option&gt; &lt;option value = "1991"&gt; 1991 &lt;/ option&gt; &lt;option value = "1990"&gt; 1990 &lt;/ option&gt; &lt;option value = " 1989 "&gt; 1989 &lt;/ option&gt; &lt;option value =" 1988 "&gt; 1988 &lt;/ option&gt; &lt;option value =" 1987 "&gt; 1987 &lt;/ option&gt; &lt;option value =" 1986 "&gt; 1986 &lt;/ option&gt; &lt;value option = "1985"&gt; 1985 &lt;/ option&gt; &lt;option value = "1984"&gt; 1984 &lt;/ option&gt; &lt;option value = "1983"&gt; 1983 &lt;/ option&gt; &lt;option value = "1982"&gt; 1982 &lt;/ option&gt; &lt; option value = "1981"&gt; 1981 &lt;/ option&gt; &lt;option value = "1980"&gt; 1980 &lt;/ option&gt; &lt;option value = "1979"&gt; 1979 &lt;/ option&gt; &lt;option value = "1978"&gt; 1978 &lt;/ option &gt; &lt;option value = "1977"&gt; 1977 &lt;/ option&gt; &lt;option value = "1976"&gt; 1976 &lt;/ option&gt; &lt;option value = "1975"&gt; 1975 &lt;/ option&gt; &lt;option value = "1974"&gt; 1974 &lt; / option&gt; &lt;option value = "1973"&gt; 1973 &lt;/ option&gt; &lt;option value = "1972"&gt; 1972 &lt;/ option&gt; &lt;option value = "1971"&gt; 1971 &lt;/ option&gt; &lt;option value = "1970"&gt; 1970 &lt;/ option&gt; &lt;option value = "1969"&gt; 1969 &lt;/ option&gt; &lt;option value = "1968"&gt; 1968 &lt;/ option&gt; &lt;option value = "1967"&gt; 1967 &lt;/ option&gt; &lt;option value = "1966 "&gt; 1966 &lt;/ option&gt; &lt;option value =" 1965 "&gt; 1965 &lt;/ option&gt; &lt;option value =" 1964 "&gt; 1964 &lt;/ option&gt; &lt;option value =" 1963 "&gt; 1963 &lt;/ option&gt; &lt;option value = "1962"&gt; 1962 &lt;/ option&gt; &lt;option value = "1961"&gt; 1961 &lt;/ option&gt; &lt;option value = "1960"&gt; 1960 &lt;/ op tion&gt; &lt;option value = "1959"&gt; 1959 &lt;/ option&gt; &lt;option value = "1958"&gt; 1958 &lt;/ option&gt; &lt;option value = "1957"&gt; 1957 &lt;/ option&gt; &lt;option value = "1956"&gt; 1956 &lt;/ option&gt; &lt;option value = "1955"&gt; 1955 &lt;/ option&gt; &lt;option value = "1954"&gt; 1954 &lt;/ option&gt; &lt;option value = "1953"&gt; 1953 &lt;/ option&gt; &lt;option value = "1952" &gt; 1952 &lt;/ option&gt; &lt;option value = "1951"&gt; 1951 &lt;/ option&gt; &lt;option value = "1950"&gt; 1950 &lt;/ option&gt; &lt;option value = "1949"&gt; 1949 &lt;/ option&gt; &lt;option value = " 1948 "&gt; 1948 &lt;/ option&gt; &lt;option value =" 1947 "&gt; 1947 &lt;/ option&gt; &lt;option value =" 1946 "&gt; 1946 &lt;/ option&gt; &lt;option value =" 1945 "&gt; 1945 &lt;/ option&gt; &lt;value option = "1944"&gt; 1944 &lt;/ option&gt; &lt;option value = "1943"&gt; 1943 &lt;/ option&gt; &lt;option value = "1942"&gt; 1942 &lt;/ option&gt; &lt;option value = "1941"&gt; 1941 &lt;/ option&gt; &lt; option value = "1940"&gt; 1940 &lt;/ option&gt; &lt;option value = "1939"&gt; 1939 &lt;/ option&gt; &lt;option value = "1938"&gt; 1938 &lt;/ option&gt; &lt;option value = "1937"&gt; 1937 &lt;/ option &gt; &lt;option value = "1936"&gt; 1936 &lt;/ option&gt; &lt;option value = "1935"&gt; 1935 &lt;/ option&gt; &lt;option value = "1934"&gt; 1934 &lt;/ option&gt; &lt;option value = "1933"&gt; 1933 &lt; / option&gt; &lt;option value = "1932"&gt; 1932 &lt;/ option&gt; &lt;option value = "1931"&gt; 1931 &lt;/ option&gt; &lt;option v alue = "1930"&gt; 1930 &lt;/ option&gt; &lt;option value = "1929"&gt; 1929 &lt;/ option&gt; &lt;option value = "1928"&gt; 1928 &lt;/ option&gt; &lt;option value = "1927"&gt; 1927 &lt;/ option&gt; &lt;option value = "1926"&gt; 1926 &lt;/ option&gt; &lt;option value = "1925"&gt; 1925 &lt;/ option&gt; &lt;option value = "1924"&gt; 1924 &lt;/ option&gt; &lt;option value = "1923"&gt; 1923 &lt;/ option&gt; &lt;option value = "1922"&gt; 1922 &lt;/ option&gt; &lt;option value = "1921"&gt; 1921 &lt;/ option&gt; &lt;option value = "1920"&gt; 1920 &lt;/ option&gt; &lt;option value = "1919"&gt; 1919 &lt;/ option&gt; &lt;option value = "1918"&gt; 1918 &lt;/ option&gt; &lt;option value = "1917"&gt; 1917 &lt;/ option&gt; &lt;option value = "1916"&gt; 1916 &lt;/ option&gt; &lt;option value = "1915" &gt; 1915 &lt;/ option&gt; &lt;option value = "1914"&gt; 1914 &lt;/ option&gt; &lt;option value = "1913"&gt; 1913 &lt;/ option&gt; &lt;option value = "1912"&gt; 1912 &lt;/ option&gt; &lt;option value = " 1911 "&gt; 1911 &lt;/ option&gt; &lt;option value =" 1910 "&gt; 1910 &lt;/ option&gt; &lt;option value =" 1909 "&gt; 1909 &lt;/ option&gt; &lt;option value =" 1908 "&gt; 1908 &lt;/ option&gt; &lt;value option = "1907"&gt; 1907 &lt;/ option&gt; &lt;option value = "1906"&gt; 1906 &lt;/ option&gt; &lt;option value = "1905"&gt; 1905 &lt;/ option&gt; &lt;option value = "1904"&gt; 1904 &lt;/ option&gt; &lt; option value = "1903"&gt; 1903 &lt;/ option&gt; &lt;option value = "1902"&gt; 1902 &lt;/ option&gt; &lt;option value = "1901"&gt; 19 01 &lt;/ option&gt; &lt;option value = "1900"&gt; 1900 &lt;/ option&gt; &lt;/ select&gt; &lt;div tabindex = "- 1" class = "airy-age-gate-submit airy-submit-button airy airy-submit- disabled "&gt; Submit &lt;/ div&gt; &lt;/ div&gt; &lt;/ div&gt; &lt;/ div&gt; &lt;/ div&gt; &lt;/ div&gt; &lt;div tabindex =" - 1 "class =" airy-install-flash-dialog airy-stage airy -vertical-centering-table-dialog airy airy-denied "style =" opacity: 0; visibility: hidden; "&gt; &lt;div tabindex =" - 1 "class =" airy-install-flash-Vertical-centering-table-cell airy-Vertical-centering-table-cell "&gt; &lt;div tabindex =" - 1 "class = "airy-Vertical-centering-wrapper airy-install-flash-elements-wrapper"&gt; &lt;div tabindex = "- 1" class = "airy-install-flash-elements airy-dialog-elements"&gt; &lt;div tabindex = " -1 "class =" airy-install-flash-prompt "&gt; Adobe Flash Player is required to watch this video &lt;/ div&gt; &lt;div tabindex =." - 1 "class =" airy-install-flash-button-wrapper airy -dialog-inner-elements "&gt; &lt;div tabindex =" - 1 "class =" airy-install-flash-button airy-button "&gt; install Flash Player &lt;/ div&gt; &lt;/ div&gt; &lt;/ div&gt; &lt;/ div&gt; &lt;/ div&gt; &lt;/ div&gt; &lt;div tabindex = "- 1" class = "airy-video-unsupported-dialog airy-stage airy-Vertical-centering-table airy-dialog airy-denied" style = "opacity: 0; visibility: hidden; "&gt; &lt;div tabindex =" - 1 "class =" airy-video-unsupported-Vertical-centering-table-cell airy-Vertical-centering-table-cell "&gt; &lt;div tabindex =" - 1 "class = "airy-Vertical-centering-wrapper airy-video-unsupported-elements-wrapper"&gt; &lt;div tabindex = "- 1" class = "airy-video-unsupported-elements airy-dialog-elements"&gt; &lt;div tabindex = " -1 "class =" airy-video-unsupported-prompt "&gt; &lt;/ div&gt; &lt;/ div&gt; &lt;/ div&gt; &lt;/ div&gt; &lt;/ div&gt; &lt;div tabindex =" - 1 "class =" airy-loading- spinner-stage airy-stage "&gt; &lt;div tabindex =" - 1 "class =" airy-loading-spinner-Vertical-centering-table-cell airy-Vertical-centering-table-cell "&gt; &lt;div tabindex =" - 1 "class =" airy-loading-spinner-container airy-scalable-hint-container "&gt; &lt;div tabindex =" - 1 "class =" airy-loading-spinner-dummy airy-scalable-dummy "&gt; &lt;/ div&gt; &lt; div tabindex = "- 1" class = "airy-loading-spinner airy-hint" style = "visibility: hidden;"&gt; &lt;/ div&gt; &lt;/ div&gt; &lt;/ div&gt; &lt;/ div&gt; &lt;div tabindex = "- 1 "class =" airy-ads-screen-size-toggle airy-screen-size-toggle-fullscreen airy "style =" visibility: hidden; "&gt; &lt;/ div&gt; &lt;div tabindex = "-1" class = "airy-ad-prompt-container" style = "visibility: hidden;"&gt; &lt;div tabindex = "- 1" class = "airy-ad-prompt-Vertical-centering-table-vertically airy centering-table "&gt; &lt;div tabindex =" - 1 "class =" airy-ad-prompt-Vertical-centering-table-cell airy-Vertical-centering-table-cell "&gt; &lt;div tabindex =" - 1 "class = "airy-ad-prompt-label"&gt; &lt;/ div&gt; &lt;/ div&gt; &lt;/ div&gt; &lt;/ div&gt; &lt;div tabindex = "- 1" class = "airy-ads-controls-container" style = "visibility: hidden; "&gt; &lt;div tabindex =" - 1 "class =" airy-ads-audio-toggle airy-audio-toggle airy-on "style =" visibility: hidden; "&gt; &lt;/ div&gt; &lt;div tabindex =" - 1 "class =" airy-time-remaining-label-container "&gt; &lt;div tabindex =" - 1 "class =" airy-time-remaining-Vertical-centering-table airy-Vertical-centering-table "&gt; &lt;div tabindex = "- 1" class = "airy-time-remaining-Vertical-centering-table-cell airy-Vertical-centering-table-cell"&gt; &lt;div tabindex = "- 1" class = "airy-Vertical-centering-wrapper airy-time-remaining-label-wrapper "&gt; &lt;div tabindex =" - 1 "class =" airy-time-remaining-label "style =" visibility: hidden; "&gt; &lt;/ div&gt; &lt;div tabi ndex = "- 1" class = "airy-ad-skip" style = "visibility: hidden;"&gt; &lt;/ div&gt; &lt;div tabindex = "- 1" class = "airy-ad-end" style = "visibility: hidden "&gt; &lt;/ div&gt; &lt;/ div&gt; &lt;/ div&gt; &lt;/ div&gt; &lt;/ div&gt; &lt;div tabindex =" - 1 "class =" airy-learn-more "style =" visibility: hidden; "&gt; &lt;/ div&gt; &lt;/ div&gt; &lt;div tabindex = "- 1" class = "airy-play-toggle-hint-stage airy-stage airy-cursor"&gt; &lt;div tabindex = "- 1" class = "airy-play -toggle-hint-Vertical-centering-table-cell airy-Vertical-centering-table-cell airy-cursor "&gt; &lt;div tabindex =" - 1 "class =" airy-play-toggle-hint-container airy-scalable- Hint-container "&gt; &lt;div tabindex =" - 1 "class =" airy-play-toggle-hint-dummy airy-scalable-dummy "&gt; &lt;/ div&gt; &lt;div tabindex =" - 1 "class =" airy-play -toggle-hint hint airy-airy-play-hint "style =" opacity: 1; visibility: visible; "&gt; &lt;/ div&gt; &lt;/ div&gt; &lt;/ div&gt; &lt;/ div&gt; &lt;div tabindex =" - 1 "class =" airy-replay-hint-stage airy-stage "style =" visibility: hidden ; "&gt; &lt;div tabindex =" - 1 "class =" airy-replay-hint-Vertical-centering-table-cell airy-Vertical-centering-table-cell airy-cursor "&gt; &lt;div tabindex =" - 1 "class = "airy-replay-hint-container airy-scalable-hint-container"&gt; &lt;div tabindex = "- 1" class = "airy-replay-hint-dummy airy-scalable-dummy"&gt; &lt;/ div&gt; &lt;div tabindex = "- 1" class = "airy-replay-hint airy-hint"&gt; &lt;/ div&gt; &lt;/ div&gt; &lt;/ div&gt; &lt;/ div&gt; &lt;div tabindex = "- 1" class = "airy-autoplay-hint -stage airy-stage "style =" visibility: hidden; "&gt; &lt;div tabindex =" - 1 "class =" airy-autoplay-hint-Vertical-centering-table-cell airy-Vertical-centering-table-cell airy- cursor "&gt; &lt;div tabindex =" - 1 "class =" autoplay airy-airy-hint-container-scalable-hint-container "&gt; &lt;div tabindex =" - 1 "class =" airy-autoplay-hint-dummy airy- scalable-dummy "&gt; &lt;/ div&gt; &lt;/ div&gt; &lt;/ div&gt; &lt;/ div&gt; &lt;/ div&gt; &lt;/ div&gt; &lt;input type =" hidden "name =" "value =" https: // images-eu .ssl-images-amazon.com / images / I / 91KG93MV2JS.mp4 "Class =" video-url "&gt; &lt;input type =" hidden "name =" "value =" https://images-eu.ssl-images-amazon.com/images/I/910XaLS4SAS.png "class =" video-slate-img-url "&gt; &amp; nbsp; I love the color of this bracelet, their functions are very similar to others but it seems more accurate in touching the touch button, through the App mobile can set all the functions of the clock and keep not weigh detailed tracking of your activities so do not bother anything take.</v>
      </c>
    </row>
    <row r="1110">
      <c r="A1110" s="1">
        <v>5.0</v>
      </c>
      <c r="B1110" s="1" t="s">
        <v>1102</v>
      </c>
      <c r="C1110" t="str">
        <f>IFERROR(__xludf.DUMMYFUNCTION("GOOGLETRANSLATE(B1110, ""es"", ""en"")"),"Comodisimos I liked everything, I use it to work, I'm almost standing all day, taking care of an elderly person and I have to make much effort.")</f>
        <v>Comodisimos I liked everything, I use it to work, I'm almost standing all day, taking care of an elderly person and I have to make much effort.</v>
      </c>
    </row>
    <row r="1111">
      <c r="A1111" s="1">
        <v>5.0</v>
      </c>
      <c r="B1111" s="1" t="s">
        <v>1103</v>
      </c>
      <c r="C1111" t="str">
        <f>IFERROR(__xludf.DUMMYFUNCTION("GOOGLETRANSLATE(B1111, ""es"", ""en"")"),"Set of 6 essential oils aromatherapy diffuser good price as heat or ultrasound This is a good set of 6 essential oils aromatherapy 10ml each at a good price. I use them for all diffusers house, including heat sinks and ultrasound, and both types of works "&amp;"equally well. 6 flavors are well suited for these winter dates and truth have a very good intensity, enough to fill my apartment smell 80m2. But what convinced me about this set is that oils are 100% natural, without chemicals, ""I right [s] for vegetaria"&amp;"ns and vegans"". Now, I'm not vegetarian or vegan does not but I have a nutritionist friend told me that oils that I bought in the bazaar of Chinese products neighborhood are full of estrogenic substances which in the opinion, to the blur in the environme"&amp;"nt, one incorporates and in women, it helps to have more appetite and keep liquids and swelling and, in humans, causes fatigue and loss of physical strength. Since he told me that in addition to certain food- almost everything we use at home have this: so"&amp;"aps, shampoos, scented candles and, especially, aromatic oils that are not natural, try to limit the use of these things as much as possible. However, sometimes it's all a budget buy aromatic oils with good smells and, what is worse, there is an orange oi"&amp;"l in the bazaars of Chinese products is very rich! Well, with joy I see that it complies with these requirements in September. First, I was struck by the scent of Sweet Orange. And the truth is that I liked. In general, I noticed that all the aromas inclu"&amp;"ded are kind of Christmas, which I always look around these dates. The Mint and Eucalyptus is very good! The're mixing and the truth that the house is smelling very party this time! The only scent I never really like is to Limoncillo which I am a fan of t"&amp;"he citrus fruit, especially lemon and lemongrass has always seemed to me a lemon bungler! (Just imagine the bitterness when I eat Thai food, where they put in the soup lemongrass ... literally!) But I must say that, despite this, the smell of lemongrass t"&amp;"his does not bother me. I have surprised the smell of tea tree, because I've never given much ball and yet is quite nice; and lavender, which is usually a liquid to clean smell me and yet, this does not smell like that. So he was satisfied with the smells"&amp;" you have this set. Very Christmas, as I say: 6 mixing together a very interesting odor is achieved. Then the fact that costs 15 € is excellent. There are some climbing up and derisory prices, and often even an oil one can afford that! (There is one orang"&amp;"e a foreign brand apparently is no longer does so, that I did bring when someone was traveling, and left me about 30 € for 15ml; that I lasted 6 months using it very sparingly but like the price is very high.) well, in this set almost every bottle of 10ml"&amp;" costs 2.5 €, which is more or less what I pay for a bottle of 50ml in the bazaars of Chinese products, only that must to put more drops to smell strong odor and usually leave soon, while with this set one or two drops in the diffuser filled the whole roo"&amp;"m smell and hard what you expected to last good oils. So it has been a very good investment of 15 €. One tends to think that you are spending more for less quantity but in the end, as these oils super-concentrated one need only use one or two drops, if yo"&amp;"u calculate, you end up coming to mind, because often last even longer than most Cheap. And what's best, one is not breathing any chemical that can estarle harming your system.")</f>
        <v>Set of 6 essential oils aromatherapy diffuser good price as heat or ultrasound This is a good set of 6 essential oils aromatherapy 10ml each at a good price. I use them for all diffusers house, including heat sinks and ultrasound, and both types of works equally well. 6 flavors are well suited for these winter dates and truth have a very good intensity, enough to fill my apartment smell 80m2. But what convinced me about this set is that oils are 100% natural, without chemicals, "I right [s] for vegetarians and vegans". Now, I'm not vegetarian or vegan does not but I have a nutritionist friend told me that oils that I bought in the bazaar of Chinese products neighborhood are full of estrogenic substances which in the opinion, to the blur in the environment, one incorporates and in women, it helps to have more appetite and keep liquids and swelling and, in humans, causes fatigue and loss of physical strength. Since he told me that in addition to certain food- almost everything we use at home have this: soaps, shampoos, scented candles and, especially, aromatic oils that are not natural, try to limit the use of these things as much as possible. However, sometimes it's all a budget buy aromatic oils with good smells and, what is worse, there is an orange oil in the bazaars of Chinese products is very rich! Well, with joy I see that it complies with these requirements in September. First, I was struck by the scent of Sweet Orange. And the truth is that I liked. In general, I noticed that all the aromas included are kind of Christmas, which I always look around these dates. The Mint and Eucalyptus is very good! The're mixing and the truth that the house is smelling very party this time! The only scent I never really like is to Limoncillo which I am a fan of the citrus fruit, especially lemon and lemongrass has always seemed to me a lemon bungler! (Just imagine the bitterness when I eat Thai food, where they put in the soup lemongrass ... literally!) But I must say that, despite this, the smell of lemongrass this does not bother me. I have surprised the smell of tea tree, because I've never given much ball and yet is quite nice; and lavender, which is usually a liquid to clean smell me and yet, this does not smell like that. So he was satisfied with the smells you have this set. Very Christmas, as I say: 6 mixing together a very interesting odor is achieved. Then the fact that costs 15 € is excellent. There are some climbing up and derisory prices, and often even an oil one can afford that! (There is one orange a foreign brand apparently is no longer does so, that I did bring when someone was traveling, and left me about 30 € for 15ml; that I lasted 6 months using it very sparingly but like the price is very high.) well, in this set almost every bottle of 10ml costs 2.5 €, which is more or less what I pay for a bottle of 50ml in the bazaars of Chinese products, only that must to put more drops to smell strong odor and usually leave soon, while with this set one or two drops in the diffuser filled the whole room smell and hard what you expected to last good oils. So it has been a very good investment of 15 €. One tends to think that you are spending more for less quantity but in the end, as these oils super-concentrated one need only use one or two drops, if you calculate, you end up coming to mind, because often last even longer than most Cheap. And what's best, one is not breathing any chemical that can estarle harming your system.</v>
      </c>
    </row>
    <row r="1112">
      <c r="A1112" s="1">
        <v>5.0</v>
      </c>
      <c r="B1112" s="1" t="s">
        <v>1104</v>
      </c>
      <c r="C1112" t="str">
        <f>IFERROR(__xludf.DUMMYFUNCTION("GOOGLETRANSLATE(B1112, ""es"", ""en"")"),"Good very good")</f>
        <v>Good very good</v>
      </c>
    </row>
    <row r="1113">
      <c r="A1113" s="1">
        <v>5.0</v>
      </c>
      <c r="B1113" s="1" t="s">
        <v>1105</v>
      </c>
      <c r="C1113" t="str">
        <f>IFERROR(__xludf.DUMMYFUNCTION("GOOGLETRANSLATE(B1113, ""es"", ""en"")"),"Good trainers are perfect and I are very comfortable, the only downside laces too thin, but well")</f>
        <v>Good trainers are perfect and I are very comfortable, the only downside laces too thin, but well</v>
      </c>
    </row>
    <row r="1114">
      <c r="A1114" s="1">
        <v>5.0</v>
      </c>
      <c r="B1114" s="1" t="s">
        <v>1106</v>
      </c>
      <c r="C1114" t="str">
        <f>IFERROR(__xludf.DUMMYFUNCTION("GOOGLETRANSLATE(B1114, ""es"", ""en"")"),"Perfect going very well and the size is perfect. It is important to read the instructions carefully, and q to set the digital time, it is not easy and only access it correctly, it appears q does not work properly.")</f>
        <v>Perfect going very well and the size is perfect. It is important to read the instructions carefully, and q to set the digital time, it is not easy and only access it correctly, it appears q does not work properly.</v>
      </c>
    </row>
    <row r="1115">
      <c r="A1115" s="1">
        <v>5.0</v>
      </c>
      <c r="B1115" s="1" t="s">
        <v>1107</v>
      </c>
      <c r="C1115" t="str">
        <f>IFERROR(__xludf.DUMMYFUNCTION("GOOGLETRANSLATE(B1115, ""es"", ""en"")"),"Good buy Product of very good quality. It is well off the system at 3 hours to avoid unnecessary consumption of forgetfulness but if you want to leave on time are more forced unplugging and replugging the blanket. Maybe, the duo system in which each regul"&amp;"ates the intensity or only one can use it.")</f>
        <v>Good buy Product of very good quality. It is well off the system at 3 hours to avoid unnecessary consumption of forgetfulness but if you want to leave on time are more forced unplugging and replugging the blanket. Maybe, the duo system in which each regulates the intensity or only one can use it.</v>
      </c>
    </row>
    <row r="1116">
      <c r="A1116" s="1">
        <v>5.0</v>
      </c>
      <c r="B1116" s="1" t="s">
        <v>1108</v>
      </c>
      <c r="C1116" t="str">
        <f>IFERROR(__xludf.DUMMYFUNCTION("GOOGLETRANSLATE(B1116, ""es"", ""en"")"),"Perfect Love")</f>
        <v>Perfect Love</v>
      </c>
    </row>
    <row r="1117">
      <c r="A1117" s="1">
        <v>5.0</v>
      </c>
      <c r="B1117" s="1" t="s">
        <v>1109</v>
      </c>
      <c r="C1117" t="str">
        <f>IFERROR(__xludf.DUMMYFUNCTION("GOOGLETRANSLATE(B1117, ""es"", ""en"")"),"Perfect Va mui well")</f>
        <v>Perfect Va mui well</v>
      </c>
    </row>
    <row r="1118">
      <c r="A1118" s="1">
        <v>5.0</v>
      </c>
      <c r="B1118" s="1" t="s">
        <v>1110</v>
      </c>
      <c r="C1118" t="str">
        <f>IFERROR(__xludf.DUMMYFUNCTION("GOOGLETRANSLATE(B1118, ""es"", ""en"")"),"Comodo 100% were super fast, it is very comfortable and convenient to use both to listen to music and to answer the phone while you're working. recommendable")</f>
        <v>Comodo 100% were super fast, it is very comfortable and convenient to use both to listen to music and to answer the phone while you're working. recommendable</v>
      </c>
    </row>
    <row r="1119">
      <c r="A1119" s="1">
        <v>5.0</v>
      </c>
      <c r="B1119" s="1" t="s">
        <v>1111</v>
      </c>
      <c r="C1119" t="str">
        <f>IFERROR(__xludf.DUMMYFUNCTION("GOOGLETRANSLATE(B1119, ""es"", ""en"")"),"good material is a very good product for its price is very good and are very nice, the truth that have been successful and have asked me to know where to get them.")</f>
        <v>good material is a very good product for its price is very good and are very nice, the truth that have been successful and have asked me to know where to get them.</v>
      </c>
    </row>
    <row r="1120">
      <c r="A1120" s="1">
        <v>5.0</v>
      </c>
      <c r="B1120" s="1" t="s">
        <v>1112</v>
      </c>
      <c r="C1120" t="str">
        <f>IFERROR(__xludf.DUMMYFUNCTION("GOOGLETRANSLATE(B1120, ""es"", ""en"")"),"As seen !! Speed ​​and quality. Q what are seen. Perfect number. Ipsofacta delivery. Warm at a good price. Great! Very very good!! Resist water.")</f>
        <v>As seen !! Speed ​​and quality. Q what are seen. Perfect number. Ipsofacta delivery. Warm at a good price. Great! Very very good!! Resist water.</v>
      </c>
    </row>
    <row r="1121">
      <c r="A1121" s="1">
        <v>5.0</v>
      </c>
      <c r="B1121" s="1" t="s">
        <v>1113</v>
      </c>
      <c r="C1121" t="str">
        <f>IFERROR(__xludf.DUMMYFUNCTION("GOOGLETRANSLATE(B1121, ""es"", ""en"")"),"Very good It was time to find good headphones and good price I do not dierra problem the connection, both the PC and the flattering, you always had to be tucking a POC or sacandolo, I was no sound or olo is ecuchaba one . Ahoa these up without any problem"&amp;", I hit with purchase")</f>
        <v>Very good It was time to find good headphones and good price I do not dierra problem the connection, both the PC and the flattering, you always had to be tucking a POC or sacandolo, I was no sound or olo is ecuchaba one . Ahoa these up without any problem, I hit with purchase</v>
      </c>
    </row>
    <row r="1122">
      <c r="A1122" s="1">
        <v>5.0</v>
      </c>
      <c r="B1122" s="1" t="s">
        <v>1114</v>
      </c>
      <c r="C1122" t="str">
        <f>IFERROR(__xludf.DUMMYFUNCTION("GOOGLETRANSLATE(B1122, ""es"", ""en"")"),"Well what are shown in the ad, perfect for pick up and leave coiled wires")</f>
        <v>Well what are shown in the ad, perfect for pick up and leave coiled wires</v>
      </c>
    </row>
    <row r="1123">
      <c r="A1123" s="1">
        <v>5.0</v>
      </c>
      <c r="B1123" s="1" t="s">
        <v>1115</v>
      </c>
      <c r="C1123" t="str">
        <f>IFERROR(__xludf.DUMMYFUNCTION("GOOGLETRANSLATE(B1123, ""es"", ""en"")"),"I like to sing with my agmigos have to sing at home with my friends the weekend, I bought it, it's fun, you can connect Bluetooth is very easy. This price is very profitable.")</f>
        <v>I like to sing with my agmigos have to sing at home with my friends the weekend, I bought it, it's fun, you can connect Bluetooth is very easy. This price is very profitable.</v>
      </c>
    </row>
    <row r="1124">
      <c r="A1124" s="1">
        <v>5.0</v>
      </c>
      <c r="B1124" s="1" t="s">
        <v>1116</v>
      </c>
      <c r="C1124" t="str">
        <f>IFERROR(__xludf.DUMMYFUNCTION("GOOGLETRANSLATE(B1124, ""es"", ""en"")"),"Nice bag nice bag with many sections and many sections elegante.Tamaño soft and medium. Only time a month that I have'll see what makes tough but strong paracer")</f>
        <v>Nice bag nice bag with many sections and many sections elegante.Tamaño soft and medium. Only time a month that I have'll see what makes tough but strong paracer</v>
      </c>
    </row>
    <row r="1125">
      <c r="A1125" s="1">
        <v>5.0</v>
      </c>
      <c r="B1125" s="1" t="s">
        <v>1117</v>
      </c>
      <c r="C1125" t="str">
        <f>IFERROR(__xludf.DUMMYFUNCTION("GOOGLETRANSLATE(B1125, ""es"", ""en"")"),"I love the material is very good quality, and very clean by the material having very complete truth ... And the price seems cheap for all you have ... I recommend it without hesitation")</f>
        <v>I love the material is very good quality, and very clean by the material having very complete truth ... And the price seems cheap for all you have ... I recommend it without hesitation</v>
      </c>
    </row>
    <row r="1126">
      <c r="A1126" s="1">
        <v>2.0</v>
      </c>
      <c r="B1126" s="1" t="s">
        <v>1118</v>
      </c>
      <c r="C1126" t="str">
        <f>IFERROR(__xludf.DUMMYFUNCTION("GOOGLETRANSLATE(B1126, ""es"", ""en"")"),"Start escrbiendo to 70 MB / s and jams being at 13mg / or less well begins writing about 70 MB / s with a large file, but soon slows to about 13 MB / s minimum, ranging between 30 and 13. I checked this several times with different reading discs. When you"&amp;" have a writing time is jumbled, which does not make other flash drives. In addition it heated when working and this is not good to the end I finished returning the two I bought 128.")</f>
        <v>Start escrbiendo to 70 MB / s and jams being at 13mg / or less well begins writing about 70 MB / s with a large file, but soon slows to about 13 MB / s minimum, ranging between 30 and 13. I checked this several times with different reading discs. When you have a writing time is jumbled, which does not make other flash drives. In addition it heated when working and this is not good to the end I finished returning the two I bought 128.</v>
      </c>
    </row>
    <row r="1127">
      <c r="A1127" s="1">
        <v>3.0</v>
      </c>
      <c r="B1127" s="1" t="s">
        <v>1119</v>
      </c>
      <c r="C1127" t="str">
        <f>IFERROR(__xludf.DUMMYFUNCTION("GOOGLETRANSLATE(B1127, ""es"", ""en"")"),"Need super glu are very comfortable and cool but quickly become unstuck. They do not last anything")</f>
        <v>Need super glu are very comfortable and cool but quickly become unstuck. They do not last anything</v>
      </c>
    </row>
    <row r="1128">
      <c r="A1128" s="1">
        <v>3.0</v>
      </c>
      <c r="B1128" s="1" t="s">
        <v>1120</v>
      </c>
      <c r="C1128" t="str">
        <f>IFERROR(__xludf.DUMMYFUNCTION("GOOGLETRANSLATE(B1128, ""es"", ""en"")"),"They are very comfortable improvable but much slip with wet soil and fabric parts are shredded are very fast")</f>
        <v>They are very comfortable improvable but much slip with wet soil and fabric parts are shredded are very fast</v>
      </c>
    </row>
    <row r="1129">
      <c r="A1129" s="1">
        <v>1.0</v>
      </c>
      <c r="B1129" s="1" t="s">
        <v>1121</v>
      </c>
      <c r="C1129" t="str">
        <f>IFERROR(__xludf.DUMMYFUNCTION("GOOGLETRANSLATE(B1129, ""es"", ""en"")"),"Neither scrap have put me how ugly they are")</f>
        <v>Neither scrap have put me how ugly they are</v>
      </c>
    </row>
    <row r="1130">
      <c r="A1130" s="1">
        <v>1.0</v>
      </c>
      <c r="B1130" s="1" t="s">
        <v>1122</v>
      </c>
      <c r="C1130" t="str">
        <f>IFERROR(__xludf.DUMMYFUNCTION("GOOGLETRANSLATE(B1130, ""es"", ""en"")"),"Worthless The day I received the expected durability was good. The material is not bad, the compartments are correct for HD 2.5 ""but when you try to put two, everything changes, is very fair, so the solution is to get one for a lot of free space remainin"&amp;"g. The cover is semi-rigid , is well padded, but the zipper is regrettable. Perhaps to save a HD for life without opening the cover is a very good choice but in my case, in less than one week of use, the zipper broke and now I have to take the cover close"&amp;"d with a pair of rubber bands. I do not recommend this product. for a little more, there are other better.")</f>
        <v>Worthless The day I received the expected durability was good. The material is not bad, the compartments are correct for HD 2.5 "but when you try to put two, everything changes, is very fair, so the solution is to get one for a lot of free space remaining. The cover is semi-rigid , is well padded, but the zipper is regrettable. Perhaps to save a HD for life without opening the cover is a very good choice but in my case, in less than one week of use, the zipper broke and now I have to take the cover closed with a pair of rubber bands. I do not recommend this product. for a little more, there are other better.</v>
      </c>
    </row>
    <row r="1131">
      <c r="A1131" s="1">
        <v>4.0</v>
      </c>
      <c r="B1131" s="1" t="s">
        <v>1123</v>
      </c>
      <c r="C1131" t="str">
        <f>IFERROR(__xludf.DUMMYFUNCTION("GOOGLETRANSLATE(B1131, ""es"", ""en"")"),"The best choice for winter .. Very cool")</f>
        <v>The best choice for winter .. Very cool</v>
      </c>
    </row>
    <row r="1132">
      <c r="A1132" s="1">
        <v>4.0</v>
      </c>
      <c r="B1132" s="1" t="s">
        <v>1124</v>
      </c>
      <c r="C1132" t="str">
        <f>IFERROR(__xludf.DUMMYFUNCTION("GOOGLETRANSLATE(B1132, ""es"", ""en"")"),"Very good quality / price is great, it sounds good for the price and are very comfortable. The only thing I do not like is that slow load. But everything else is great.")</f>
        <v>Very good quality / price is great, it sounds good for the price and are very comfortable. The only thing I do not like is that slow load. But everything else is great.</v>
      </c>
    </row>
    <row r="1133">
      <c r="A1133" s="1">
        <v>4.0</v>
      </c>
      <c r="B1133" s="1" t="s">
        <v>1125</v>
      </c>
      <c r="C1133" t="str">
        <f>IFERROR(__xludf.DUMMYFUNCTION("GOOGLETRANSLATE(B1133, ""es"", ""en"")"),"just what you expect to buy sports shoes run the risk that your size is not the same as in other similar product of another brand. COUNCIL always Probaos slippers that brand you are going to ask (if you can) to make sure the size, a relative, a friend and"&amp;" even the corner store, which will not oblige the probeis you to buy.")</f>
        <v>just what you expect to buy sports shoes run the risk that your size is not the same as in other similar product of another brand. COUNCIL always Probaos slippers that brand you are going to ask (if you can) to make sure the size, a relative, a friend and even the corner store, which will not oblige the probeis you to buy.</v>
      </c>
    </row>
    <row r="1134">
      <c r="A1134" s="1">
        <v>4.0</v>
      </c>
      <c r="B1134" s="1" t="s">
        <v>1126</v>
      </c>
      <c r="C1134" t="str">
        <f>IFERROR(__xludf.DUMMYFUNCTION("GOOGLETRANSLATE(B1134, ""es"", ""en"")"),"Heats up fast and large capacity, easy to wash. I liked the model, which has great capacity and the jar is glass. Warms quickly and have for almost 2 liters. It has a normal weight for the type of product it is. Glass being typically weigh more. I like th"&amp;"e integration of the connector base also, is very uniform. It is easy to clean but if it is true that the kettles always retain water and lime is a bit tedious. But overall good acquisition.")</f>
        <v>Heats up fast and large capacity, easy to wash. I liked the model, which has great capacity and the jar is glass. Warms quickly and have for almost 2 liters. It has a normal weight for the type of product it is. Glass being typically weigh more. I like the integration of the connector base also, is very uniform. It is easy to clean but if it is true that the kettles always retain water and lime is a bit tedious. But overall good acquisition.</v>
      </c>
    </row>
    <row r="1135">
      <c r="A1135" s="1">
        <v>4.0</v>
      </c>
      <c r="B1135" s="1" t="s">
        <v>1127</v>
      </c>
      <c r="C1135" t="str">
        <f>IFERROR(__xludf.DUMMYFUNCTION("GOOGLETRANSLATE(B1135, ""es"", ""en"")"),"Worth the money Very good microphone for the price you obviously is not professional, for that we must spend more pasta, but very good results are achieved. I wanted to record a vocal demos and some acoustic guitar and meets to spare, plus your USB system"&amp;" greatly facilitates direct connection to the PC. The presentation is great, it comes with a case where everything is saved and becomes very comfortable carry from one side to another or simply storage when not in use.")</f>
        <v>Worth the money Very good microphone for the price you obviously is not professional, for that we must spend more pasta, but very good results are achieved. I wanted to record a vocal demos and some acoustic guitar and meets to spare, plus your USB system greatly facilitates direct connection to the PC. The presentation is great, it comes with a case where everything is saved and becomes very comfortable carry from one side to another or simply storage when not in use.</v>
      </c>
    </row>
    <row r="1136">
      <c r="A1136" s="1">
        <v>5.0</v>
      </c>
      <c r="B1136" s="1" t="s">
        <v>1128</v>
      </c>
      <c r="C1136" t="str">
        <f>IFERROR(__xludf.DUMMYFUNCTION("GOOGLETRANSLATE(B1136, ""es"", ""en"")"),"It is ok perfect")</f>
        <v>It is ok perfect</v>
      </c>
    </row>
    <row r="1137">
      <c r="A1137" s="1">
        <v>5.0</v>
      </c>
      <c r="B1137" s="1" t="s">
        <v>1129</v>
      </c>
      <c r="C1137" t="str">
        <f>IFERROR(__xludf.DUMMYFUNCTION("GOOGLETRANSLATE(B1137, ""es"", ""en"")"),"It makes you sweat even if you are sitting watching TV !!! I have little more than a week using it and it is too early to see results but I notice what makes you sweat like never I have never done before any leggings .. at the beginning started to wear it"&amp;" to go to the gym .. and ended up put the dough until at home because it is comfortable and makes you sweat .. hopefully with help of a diet and fitness these leggings can lose Michelín haha ​​.. what if I tell you that makes you sweat even if you are sit"&amp;"ting watching TV is great !!!")</f>
        <v>It makes you sweat even if you are sitting watching TV !!! I have little more than a week using it and it is too early to see results but I notice what makes you sweat like never I have never done before any leggings .. at the beginning started to wear it to go to the gym .. and ended up put the dough until at home because it is comfortable and makes you sweat .. hopefully with help of a diet and fitness these leggings can lose Michelín haha ​​.. what if I tell you that makes you sweat even if you are sitting watching TV is great !!!</v>
      </c>
    </row>
    <row r="1138">
      <c r="A1138" s="1">
        <v>5.0</v>
      </c>
      <c r="B1138" s="1" t="s">
        <v>1130</v>
      </c>
      <c r="C1138" t="str">
        <f>IFERROR(__xludf.DUMMYFUNCTION("GOOGLETRANSLATE(B1138, ""es"", ""en"")"),"Very good quality Excellent choice for electric instruments that we play as guitar or bass. The cable is covered in fabric which gives extra protection that prevents breakage to the stepped on stage, the jack of 6.3mm are of very good quality are hard and"&amp;" resistant metal. I use the cable with several guitars and at no time has noise parasite. recommendable")</f>
        <v>Very good quality Excellent choice for electric instruments that we play as guitar or bass. The cable is covered in fabric which gives extra protection that prevents breakage to the stepped on stage, the jack of 6.3mm are of very good quality are hard and resistant metal. I use the cable with several guitars and at no time has noise parasite. recommendable</v>
      </c>
    </row>
    <row r="1139">
      <c r="A1139" s="1">
        <v>5.0</v>
      </c>
      <c r="B1139" s="1" t="s">
        <v>1131</v>
      </c>
      <c r="C1139" t="str">
        <f>IFERROR(__xludf.DUMMYFUNCTION("GOOGLETRANSLATE(B1139, ""es"", ""en"")"),"😍😍 Super delighted I love 😍😍😍")</f>
        <v>😍😍 Super delighted I love 😍😍😍</v>
      </c>
    </row>
    <row r="1140">
      <c r="A1140" s="1">
        <v>5.0</v>
      </c>
      <c r="B1140" s="1" t="s">
        <v>1132</v>
      </c>
      <c r="C1140" t="str">
        <f>IFERROR(__xludf.DUMMYFUNCTION("GOOGLETRANSLATE(B1140, ""es"", ""en"")"),"I love Precious and as is seen in the photo. It has its hardcover. I bought the first one and then went back to ask for another to give to a friend")</f>
        <v>I love Precious and as is seen in the photo. It has its hardcover. I bought the first one and then went back to ask for another to give to a friend</v>
      </c>
    </row>
    <row r="1141">
      <c r="A1141" s="1">
        <v>5.0</v>
      </c>
      <c r="B1141" s="1" t="s">
        <v>1133</v>
      </c>
      <c r="C1141" t="str">
        <f>IFERROR(__xludf.DUMMYFUNCTION("GOOGLETRANSLATE(B1141, ""es"", ""en"")"),"How well this price and power that has the blender comes nicely packaged meter brings a rod to beat based its adapter, chopping blade and based snacks. Everything is perfectly removable and easy to clean the only downside is that I pray blender Bosc and i"&amp;"s not compatible with this.")</f>
        <v>How well this price and power that has the blender comes nicely packaged meter brings a rod to beat based its adapter, chopping blade and based snacks. Everything is perfectly removable and easy to clean the only downside is that I pray blender Bosc and is not compatible with this.</v>
      </c>
    </row>
    <row r="1142">
      <c r="A1142" s="1">
        <v>5.0</v>
      </c>
      <c r="B1142" s="1" t="s">
        <v>1134</v>
      </c>
      <c r="C1142" t="str">
        <f>IFERROR(__xludf.DUMMYFUNCTION("GOOGLETRANSLATE(B1142, ""es"", ""en"")"),"Just as I expected are very very very good! The advise !! They have enough suction")</f>
        <v>Just as I expected are very very very good! The advise !! They have enough suction</v>
      </c>
    </row>
    <row r="1143">
      <c r="A1143" s="1">
        <v>5.0</v>
      </c>
      <c r="B1143" s="1" t="s">
        <v>1135</v>
      </c>
      <c r="C1143" t="str">
        <f>IFERROR(__xludf.DUMMYFUNCTION("GOOGLETRANSLATE(B1143, ""es"", ""en"")"),"Perfect. Good money in a month or advances or delays.")</f>
        <v>Perfect. Good money in a month or advances or delays.</v>
      </c>
    </row>
    <row r="1144">
      <c r="A1144" s="1">
        <v>5.0</v>
      </c>
      <c r="B1144" s="1" t="s">
        <v>1136</v>
      </c>
      <c r="C1144" t="str">
        <f>IFERROR(__xludf.DUMMYFUNCTION("GOOGLETRANSLATE(B1144, ""es"", ""en"")"),"For the kids love it and it's great for the holidays. Very funny")</f>
        <v>For the kids love it and it's great for the holidays. Very funny</v>
      </c>
    </row>
    <row r="1145">
      <c r="A1145" s="1">
        <v>5.0</v>
      </c>
      <c r="B1145" s="1" t="s">
        <v>1137</v>
      </c>
      <c r="C1145" t="str">
        <f>IFERROR(__xludf.DUMMYFUNCTION("GOOGLETRANSLATE(B1145, ""es"", ""en"")"),"Good quality and very comfortable plus a versatile shoe very comfortable and warm in the winter. The size is expected. The borreguito is removed and placed so that it can easily be washed.")</f>
        <v>Good quality and very comfortable plus a versatile shoe very comfortable and warm in the winter. The size is expected. The borreguito is removed and placed so that it can easily be washed.</v>
      </c>
    </row>
    <row r="1146">
      <c r="A1146" s="1">
        <v>5.0</v>
      </c>
      <c r="B1146" s="1" t="s">
        <v>1138</v>
      </c>
      <c r="C1146" t="str">
        <f>IFERROR(__xludf.DUMMYFUNCTION("GOOGLETRANSLATE(B1146, ""es"", ""en"")"),"They were delighted to give away. Great buy")</f>
        <v>They were delighted to give away. Great buy</v>
      </c>
    </row>
    <row r="1147">
      <c r="A1147" s="1">
        <v>5.0</v>
      </c>
      <c r="B1147" s="1" t="s">
        <v>1139</v>
      </c>
      <c r="C1147" t="str">
        <f>IFERROR(__xludf.DUMMYFUNCTION("GOOGLETRANSLATE(B1147, ""es"", ""en"")"),"Intense smell Lavender I recently bought an aroma diffuser and was behind a lavender essential oil, which is one of my favorite scents. I decided on this for the price and size. And it was a pleasant surprise, because it smells amazing. Lavender pure. In "&amp;"fact, in the only ingredients puts Lavender oil 100% natural. And I believe it. Thank you.")</f>
        <v>Intense smell Lavender I recently bought an aroma diffuser and was behind a lavender essential oil, which is one of my favorite scents. I decided on this for the price and size. And it was a pleasant surprise, because it smells amazing. Lavender pure. In fact, in the only ingredients puts Lavender oil 100% natural. And I believe it. Thank you.</v>
      </c>
    </row>
    <row r="1148">
      <c r="A1148" s="1">
        <v>5.0</v>
      </c>
      <c r="B1148" s="1" t="s">
        <v>1140</v>
      </c>
      <c r="C1148" t="str">
        <f>IFERROR(__xludf.DUMMYFUNCTION("GOOGLETRANSLATE(B1148, ""es"", ""en"")"),"Normal product that fits their duties")</f>
        <v>Normal product that fits their duties</v>
      </c>
    </row>
    <row r="1149">
      <c r="A1149" s="1">
        <v>5.0</v>
      </c>
      <c r="B1149" s="1" t="s">
        <v>1141</v>
      </c>
      <c r="C1149" t="str">
        <f>IFERROR(__xludf.DUMMYFUNCTION("GOOGLETRANSLATE(B1149, ""es"", ""en"")"),"Support very suitable for gaming Wow, it is the first that I have and the truth is that I find it super comfortable and I along perfectly suited for use when recording or playing online when I'm playing. Overall very comfortable, very versatile and econom"&amp;"ical. Things to note: Easy installation, wide movilida.")</f>
        <v>Support very suitable for gaming Wow, it is the first that I have and the truth is that I find it super comfortable and I along perfectly suited for use when recording or playing online when I'm playing. Overall very comfortable, very versatile and economical. Things to note: Easy installation, wide movilida.</v>
      </c>
    </row>
    <row r="1150">
      <c r="A1150" s="1">
        <v>5.0</v>
      </c>
      <c r="B1150" s="1" t="s">
        <v>1142</v>
      </c>
      <c r="C1150" t="str">
        <f>IFERROR(__xludf.DUMMYFUNCTION("GOOGLETRANSLATE(B1150, ""es"", ""en"")"),"BBB Very good finish and quality")</f>
        <v>BBB Very good finish and quality</v>
      </c>
    </row>
    <row r="1151">
      <c r="A1151" s="1">
        <v>5.0</v>
      </c>
      <c r="B1151" s="1" t="s">
        <v>1143</v>
      </c>
      <c r="C1151" t="str">
        <f>IFERROR(__xludf.DUMMYFUNCTION("GOOGLETRANSLATE(B1151, ""es"", ""en"")"),"Comfortable. I love, I use to work, they are very comfortable.")</f>
        <v>Comfortable. I love, I use to work, they are very comfortable.</v>
      </c>
    </row>
    <row r="1152">
      <c r="A1152" s="1">
        <v>5.0</v>
      </c>
      <c r="B1152" s="1" t="s">
        <v>1144</v>
      </c>
      <c r="C1152" t="str">
        <f>IFERROR(__xludf.DUMMYFUNCTION("GOOGLETRANSLATE(B1152, ""es"", ""en"")"),"Useful Me has served to perfection")</f>
        <v>Useful Me has served to perfection</v>
      </c>
    </row>
    <row r="1153">
      <c r="A1153" s="1">
        <v>5.0</v>
      </c>
      <c r="B1153" s="1" t="s">
        <v>1145</v>
      </c>
      <c r="C1153" t="str">
        <f>IFERROR(__xludf.DUMMYFUNCTION("GOOGLETRANSLATE(B1153, ""es"", ""en"")"),"Entretiempo sweater good size right for me. Looks good job and everything is where it should. It's halftime and the colors and patterns are very cool. Would buy in other colors.")</f>
        <v>Entretiempo sweater good size right for me. Looks good job and everything is where it should. It's halftime and the colors and patterns are very cool. Would buy in other colors.</v>
      </c>
    </row>
    <row r="1154">
      <c r="A1154" s="1">
        <v>5.0</v>
      </c>
      <c r="B1154" s="1" t="s">
        <v>1146</v>
      </c>
      <c r="C1154" t="str">
        <f>IFERROR(__xludf.DUMMYFUNCTION("GOOGLETRANSLATE(B1154, ""es"", ""en"")"),"Nice and makes good coffee. Analog clock that gives you an incredible touch Good coffee, retro design, with mixed metal finishes, plastics and chrome, as well as painted metal, which make it very attractive visually in kitchen. The system of this coffee, "&amp;"takes a coffee pretty good and kept for 40 minutes, and all this shows the process in an analog needle that will be the envy of whom see it. It's really nice. I think it's the biggest attraction of the coffee. The brand has incorporated analog reloges in "&amp;"several of its products to measure the time it takes each in their functions (or degrees centigrade, depending), and it seems precious, particularly to me and my family. Everyone who sees it, it flips out a little. The rest of the coffee, as a glass drip "&amp;"made 1.2 liter glass with enough capacity to handle cold touch, which is held in the tray to warm 35-40 minutes. I think an excellent coffee if you are looking for something out of digital standards we have today, focused primarily on design, with functio"&amp;"nality and quality of products Hobbs.")</f>
        <v>Nice and makes good coffee. Analog clock that gives you an incredible touch Good coffee, retro design, with mixed metal finishes, plastics and chrome, as well as painted metal, which make it very attractive visually in kitchen. The system of this coffee, takes a coffee pretty good and kept for 40 minutes, and all this shows the process in an analog needle that will be the envy of whom see it. It's really nice. I think it's the biggest attraction of the coffee. The brand has incorporated analog reloges in several of its products to measure the time it takes each in their functions (or degrees centigrade, depending), and it seems precious, particularly to me and my family. Everyone who sees it, it flips out a little. The rest of the coffee, as a glass drip made 1.2 liter glass with enough capacity to handle cold touch, which is held in the tray to warm 35-40 minutes. I think an excellent coffee if you are looking for something out of digital standards we have today, focused primarily on design, with functionality and quality of products Hobbs.</v>
      </c>
    </row>
    <row r="1155">
      <c r="A1155" s="1">
        <v>2.0</v>
      </c>
      <c r="B1155" s="1" t="s">
        <v>1147</v>
      </c>
      <c r="C1155" t="str">
        <f>IFERROR(__xludf.DUMMYFUNCTION("GOOGLETRANSLATE(B1155, ""es"", ""en"")"),"Very disappointing as I could not explain heat reaches, but for me this would be the average level of an ideal calientapiés, so always I have to have it to the maximum ... and we're only in October !. The case where you put your feet and you can remove fo"&amp;"r washing is not subject to absolutely nothing, so he constantly moves, twists and turns very uncomfortable. I am not at all satisfied and I regret not having released a lot when I bought it because had returned. Learn from my mistakes 😉")</f>
        <v>Very disappointing as I could not explain heat reaches, but for me this would be the average level of an ideal calientapiés, so always I have to have it to the maximum ... and we're only in October !. The case where you put your feet and you can remove for washing is not subject to absolutely nothing, so he constantly moves, twists and turns very uncomfortable. I am not at all satisfied and I regret not having released a lot when I bought it because had returned. Learn from my mistakes 😉</v>
      </c>
    </row>
    <row r="1156">
      <c r="A1156" s="1">
        <v>3.0</v>
      </c>
      <c r="B1156" s="1" t="s">
        <v>1148</v>
      </c>
      <c r="C1156" t="str">
        <f>IFERROR(__xludf.DUMMYFUNCTION("GOOGLETRANSLATE(B1156, ""es"", ""en"")"),"Well good, I like .. While it might be lighter")</f>
        <v>Well good, I like .. While it might be lighter</v>
      </c>
    </row>
    <row r="1157">
      <c r="A1157" s="1">
        <v>1.0</v>
      </c>
      <c r="B1157" s="1" t="s">
        <v>1149</v>
      </c>
      <c r="C1157" t="str">
        <f>IFERROR(__xludf.DUMMYFUNCTION("GOOGLETRANSLATE(B1157, ""es"", ""en"")"),"Too many failures. Completely agree with the complaints of some users: Verbatim these terrines made in China are of lower quality and reliability manufactured in Taiwan or Singapore, and usually contain a greater number of defective discs that cause probl"&amp;"ems recording and reading.")</f>
        <v>Too many failures. Completely agree with the complaints of some users: Verbatim these terrines made in China are of lower quality and reliability manufactured in Taiwan or Singapore, and usually contain a greater number of defective discs that cause problems recording and reading.</v>
      </c>
    </row>
    <row r="1158">
      <c r="A1158" s="1">
        <v>1.0</v>
      </c>
      <c r="B1158" s="1" t="s">
        <v>1150</v>
      </c>
      <c r="C1158" t="str">
        <f>IFERROR(__xludf.DUMMYFUNCTION("GOOGLETRANSLATE(B1158, ""es"", ""en"")"),"Sommelier Pésima quality disintegrates alone with only touch seems plasticine and had to claim back. I do not recommend")</f>
        <v>Sommelier Pésima quality disintegrates alone with only touch seems plasticine and had to claim back. I do not recommend</v>
      </c>
    </row>
    <row r="1159">
      <c r="A1159" s="1">
        <v>1.0</v>
      </c>
      <c r="B1159" s="1" t="s">
        <v>1151</v>
      </c>
      <c r="C1159" t="str">
        <f>IFERROR(__xludf.DUMMYFUNCTION("GOOGLETRANSLATE(B1159, ""es"", ""en"")"),"Filth. It broke within 1 month in less than a month have stopped working two individual switches therefore turn off power utility does not serve only a few connectors. It is crap. Do not buy it.")</f>
        <v>Filth. It broke within 1 month in less than a month have stopped working two individual switches therefore turn off power utility does not serve only a few connectors. It is crap. Do not buy it.</v>
      </c>
    </row>
    <row r="1160">
      <c r="A1160" s="1">
        <v>4.0</v>
      </c>
      <c r="B1160" s="1" t="s">
        <v>1152</v>
      </c>
      <c r="C1160" t="str">
        <f>IFERROR(__xludf.DUMMYFUNCTION("GOOGLETRANSLATE(B1160, ""es"", ""en"")"),"🙂 For men the size is right for women is great but .... For the price you can not ask for much")</f>
        <v>🙂 For men the size is right for women is great but .... For the price you can not ask for much</v>
      </c>
    </row>
    <row r="1161">
      <c r="A1161" s="1">
        <v>4.0</v>
      </c>
      <c r="B1161" s="1" t="s">
        <v>1153</v>
      </c>
      <c r="C1161" t="str">
        <f>IFERROR(__xludf.DUMMYFUNCTION("GOOGLETRANSLATE(B1161, ""es"", ""en"")"),"Such good buy and as I expected, they are as shown in the photo.")</f>
        <v>Such good buy and as I expected, they are as shown in the photo.</v>
      </c>
    </row>
    <row r="1162">
      <c r="A1162" s="1">
        <v>4.0</v>
      </c>
      <c r="B1162" s="1" t="s">
        <v>1154</v>
      </c>
      <c r="C1162" t="str">
        <f>IFERROR(__xludf.DUMMYFUNCTION("GOOGLETRANSLATE(B1162, ""es"", ""en"")"),"Cheap I liked the design and material, aluminum. The base is not very stable but happy")</f>
        <v>Cheap I liked the design and material, aluminum. The base is not very stable but happy</v>
      </c>
    </row>
    <row r="1163">
      <c r="A1163" s="1">
        <v>4.0</v>
      </c>
      <c r="B1163" s="1" t="s">
        <v>1155</v>
      </c>
      <c r="C1163" t="str">
        <f>IFERROR(__xludf.DUMMYFUNCTION("GOOGLETRANSLATE(B1163, ""es"", ""en"")"),"Are super comfortable are very comfortable")</f>
        <v>Are super comfortable are very comfortable</v>
      </c>
    </row>
    <row r="1164">
      <c r="A1164" s="1">
        <v>4.0</v>
      </c>
      <c r="B1164" s="1" t="s">
        <v>1156</v>
      </c>
      <c r="C1164" t="str">
        <f>IFERROR(__xludf.DUMMYFUNCTION("GOOGLETRANSLATE(B1164, ""es"", ""en"")"),"Good product. It is fast for the 250GB version and easy to install software from the house. But for a little more, buy 500GB.")</f>
        <v>Good product. It is fast for the 250GB version and easy to install software from the house. But for a little more, buy 500GB.</v>
      </c>
    </row>
    <row r="1165">
      <c r="A1165" s="1">
        <v>5.0</v>
      </c>
      <c r="B1165" s="1" t="s">
        <v>1157</v>
      </c>
      <c r="C1165" t="str">
        <f>IFERROR(__xludf.DUMMYFUNCTION("GOOGLETRANSLATE(B1165, ""es"", ""en"")"),"Good, nice and cheap perfect sharpness very comfortable to hold and handle.")</f>
        <v>Good, nice and cheap perfect sharpness very comfortable to hold and handle.</v>
      </c>
    </row>
    <row r="1166">
      <c r="A1166" s="1">
        <v>5.0</v>
      </c>
      <c r="B1166" s="1" t="s">
        <v>1158</v>
      </c>
      <c r="C1166" t="str">
        <f>IFERROR(__xludf.DUMMYFUNCTION("GOOGLETRANSLATE(B1166, ""es"", ""en"")"),"return to see. With these lenses back to repair watches, when you buy something I thought I would but it's much more than I imagined so I do not have to say if I recommend it. OF COURSE.")</f>
        <v>return to see. With these lenses back to repair watches, when you buy something I thought I would but it's much more than I imagined so I do not have to say if I recommend it. OF COURSE.</v>
      </c>
    </row>
    <row r="1167">
      <c r="A1167" s="1">
        <v>5.0</v>
      </c>
      <c r="B1167" s="1" t="s">
        <v>1159</v>
      </c>
      <c r="C1167" t="str">
        <f>IFERROR(__xludf.DUMMYFUNCTION("GOOGLETRANSLATE(B1167, ""es"", ""en"")"),"Cool. Best quality and price. Super comfortable socks. Quality is very good and the price is very good too. I use them to train and are very resistant.")</f>
        <v>Cool. Best quality and price. Super comfortable socks. Quality is very good and the price is very good too. I use them to train and are very resistant.</v>
      </c>
    </row>
    <row r="1168">
      <c r="A1168" s="1">
        <v>5.0</v>
      </c>
      <c r="B1168" s="1" t="s">
        <v>1160</v>
      </c>
      <c r="C1168" t="str">
        <f>IFERROR(__xludf.DUMMYFUNCTION("GOOGLETRANSLATE(B1168, ""es"", ""en"")"),"Only good I have given me once but super clean and soft skin is. It comes well packaged and in a format like the picture. Aver when such take some time using it.")</f>
        <v>Only good I have given me once but super clean and soft skin is. It comes well packaged and in a format like the picture. Aver when such take some time using it.</v>
      </c>
    </row>
    <row r="1169">
      <c r="A1169" s="1">
        <v>5.0</v>
      </c>
      <c r="B1169" s="1" t="s">
        <v>1161</v>
      </c>
      <c r="C1169" t="str">
        <f>IFERROR(__xludf.DUMMYFUNCTION("GOOGLETRANSLATE(B1169, ""es"", ""en"")"),"Piano music is very well meets the ideal espectatibas works great for the kids with plenty of familiar songs and fun")</f>
        <v>Piano music is very well meets the ideal espectatibas works great for the kids with plenty of familiar songs and fun</v>
      </c>
    </row>
    <row r="1170">
      <c r="A1170" s="1">
        <v>5.0</v>
      </c>
      <c r="B1170" s="1" t="s">
        <v>1162</v>
      </c>
      <c r="C1170" t="str">
        <f>IFERROR(__xludf.DUMMYFUNCTION("GOOGLETRANSLATE(B1170, ""es"", ""en"")"),"Great. They are super-lightweight and fit well. When you do not carry plegadis are in a very small space. The Bluetooth works perfectly with my mobile android. I loaded butt from 0 and took about 2 hours.")</f>
        <v>Great. They are super-lightweight and fit well. When you do not carry plegadis are in a very small space. The Bluetooth works perfectly with my mobile android. I loaded butt from 0 and took about 2 hours.</v>
      </c>
    </row>
    <row r="1171">
      <c r="A1171" s="1">
        <v>5.0</v>
      </c>
      <c r="B1171" s="1" t="s">
        <v>1163</v>
      </c>
      <c r="C1171" t="str">
        <f>IFERROR(__xludf.DUMMYFUNCTION("GOOGLETRANSLATE(B1171, ""es"", ""en"")"),"Very good buy. Excellent boot for trekking and hiking. extreme quality materials like Vibram sole and GoreTex membrane. Fully recommended with exceptional value.")</f>
        <v>Very good buy. Excellent boot for trekking and hiking. extreme quality materials like Vibram sole and GoreTex membrane. Fully recommended with exceptional value.</v>
      </c>
    </row>
    <row r="1172">
      <c r="A1172" s="1">
        <v>5.0</v>
      </c>
      <c r="B1172" s="1" t="s">
        <v>1164</v>
      </c>
      <c r="C1172" t="str">
        <f>IFERROR(__xludf.DUMMYFUNCTION("GOOGLETRANSLATE(B1172, ""es"", ""en"")"),"I highly recommend it. I've used it for over a week, which is the perfect size for me. When not using the humidifier, I will light the lights for a beautiful sunset. Only use distilled water in the humidifier, which is good for improving the humidity in t"&amp;"he room where it is. The button works well The dome full of light, and it is a single color or a cycle of all colors, will issue a wide room and look more beautiful when wet. I highly recommend it.")</f>
        <v>I highly recommend it. I've used it for over a week, which is the perfect size for me. When not using the humidifier, I will light the lights for a beautiful sunset. Only use distilled water in the humidifier, which is good for improving the humidity in the room where it is. The button works well The dome full of light, and it is a single color or a cycle of all colors, will issue a wide room and look more beautiful when wet. I highly recommend it.</v>
      </c>
    </row>
    <row r="1173">
      <c r="A1173" s="1">
        <v>5.0</v>
      </c>
      <c r="B1173" s="1" t="s">
        <v>1165</v>
      </c>
      <c r="C1173" t="str">
        <f>IFERROR(__xludf.DUMMYFUNCTION("GOOGLETRANSLATE(B1173, ""es"", ""en"")"),"Besides comfortable memória fast (15 hours) delivery checking elsewhere is almost as economical. It works great on my Xiaomi A1, and saved anywhere. Extremely comfortable course")</f>
        <v>Besides comfortable memória fast (15 hours) delivery checking elsewhere is almost as economical. It works great on my Xiaomi A1, and saved anywhere. Extremely comfortable course</v>
      </c>
    </row>
    <row r="1174">
      <c r="A1174" s="1">
        <v>5.0</v>
      </c>
      <c r="B1174" s="1" t="s">
        <v>1166</v>
      </c>
      <c r="C1174" t="str">
        <f>IFERROR(__xludf.DUMMYFUNCTION("GOOGLETRANSLATE(B1174, ""es"", ""en"")"),"Supersilencioso fast and I buy the product as a gift for relatives and was a complete success. It is comfortable and easy to use. Supersilencioso. In addition, as it is stainless steel, combines very well with the rest of the kitchen.")</f>
        <v>Supersilencioso fast and I buy the product as a gift for relatives and was a complete success. It is comfortable and easy to use. Supersilencioso. In addition, as it is stainless steel, combines very well with the rest of the kitchen.</v>
      </c>
    </row>
    <row r="1175">
      <c r="A1175" s="1">
        <v>5.0</v>
      </c>
      <c r="B1175" s="1" t="s">
        <v>1167</v>
      </c>
      <c r="C1175" t="str">
        <f>IFERROR(__xludf.DUMMYFUNCTION("GOOGLETRANSLATE(B1175, ""es"", ""en"")"),"Vans Sk8-hi u SNEAKERS !!!! with capital letters! Is the expected size, are the perfect shoe, very comfortable, it has been a wise purchase.")</f>
        <v>Vans Sk8-hi u SNEAKERS !!!! with capital letters! Is the expected size, are the perfect shoe, very comfortable, it has been a wise purchase.</v>
      </c>
    </row>
    <row r="1176">
      <c r="A1176" s="1">
        <v>5.0</v>
      </c>
      <c r="B1176" s="1" t="s">
        <v>1168</v>
      </c>
      <c r="C1176" t="str">
        <f>IFERROR(__xludf.DUMMYFUNCTION("GOOGLETRANSLATE(B1176, ""es"", ""en"")"),"Good coffee at a good price The truth is that the shipping was very fast, the coffee has very good quality water tank is very easy to fill and design is beautiful (photo attached). Coffee making is fast and has good vapor pressure. We are glad! The bad th"&amp;"ing I can put it that makes some noise at the beginning but then it's fine. For the price it is a wonder, really")</f>
        <v>Good coffee at a good price The truth is that the shipping was very fast, the coffee has very good quality water tank is very easy to fill and design is beautiful (photo attached). Coffee making is fast and has good vapor pressure. We are glad! The bad thing I can put it that makes some noise at the beginning but then it's fine. For the price it is a wonder, really</v>
      </c>
    </row>
    <row r="1177">
      <c r="A1177" s="1">
        <v>5.0</v>
      </c>
      <c r="B1177" s="1" t="s">
        <v>1169</v>
      </c>
      <c r="C1177" t="str">
        <f>IFERROR(__xludf.DUMMYFUNCTION("GOOGLETRANSLATE(B1177, ""es"", ""en"")"),"Good Product that fits the description given, easy to use, indicated storage as opposed to others that what you see, are a scam regarding storage. Finally, a good product with a quality / price very good.")</f>
        <v>Good Product that fits the description given, easy to use, indicated storage as opposed to others that what you see, are a scam regarding storage. Finally, a good product with a quality / price very good.</v>
      </c>
    </row>
    <row r="1178">
      <c r="A1178" s="1">
        <v>5.0</v>
      </c>
      <c r="B1178" s="1" t="s">
        <v>1170</v>
      </c>
      <c r="C1178" t="str">
        <f>IFERROR(__xludf.DUMMYFUNCTION("GOOGLETRANSLATE(B1178, ""es"", ""en"")"),"I love!!!! Very good product! Excellent product value. I followed the sizing chart me like a glove. Comodisimos are very nice. Dancing and have released 4 hours straight ajajaja am very happy and I actually like to see more shoes the same seller. I love!!"&amp;"!!")</f>
        <v>I love!!!! Very good product! Excellent product value. I followed the sizing chart me like a glove. Comodisimos are very nice. Dancing and have released 4 hours straight ajajaja am very happy and I actually like to see more shoes the same seller. I love!!!!</v>
      </c>
    </row>
    <row r="1179">
      <c r="A1179" s="1">
        <v>5.0</v>
      </c>
      <c r="B1179" s="1" t="s">
        <v>1171</v>
      </c>
      <c r="C1179" t="str">
        <f>IFERROR(__xludf.DUMMYFUNCTION("GOOGLETRANSLATE(B1179, ""es"", ""en"")"),"MCarmen buy them for gifts and have quedado.genial, are nicer than in the picture, comfortable and original, grabbed 45.5 size for a foot size 44 and are superbly")</f>
        <v>MCarmen buy them for gifts and have quedado.genial, are nicer than in the picture, comfortable and original, grabbed 45.5 size for a foot size 44 and are superbly</v>
      </c>
    </row>
    <row r="1180">
      <c r="A1180" s="1">
        <v>5.0</v>
      </c>
      <c r="B1180" s="1" t="s">
        <v>1172</v>
      </c>
      <c r="C1180" t="str">
        <f>IFERROR(__xludf.DUMMYFUNCTION("GOOGLETRANSLATE(B1180, ""es"", ""en"")"),"Nacho is a product quite robust and even though some, it's great to have on hand the coins and tidy. The coins come out perfectly each in their correct places. To give customers rapid change is highly recommended and practical.")</f>
        <v>Nacho is a product quite robust and even though some, it's great to have on hand the coins and tidy. The coins come out perfectly each in their correct places. To give customers rapid change is highly recommended and practical.</v>
      </c>
    </row>
    <row r="1181">
      <c r="A1181" s="1">
        <v>5.0</v>
      </c>
      <c r="B1181" s="1" t="s">
        <v>1173</v>
      </c>
      <c r="C1181" t="str">
        <f>IFERROR(__xludf.DUMMYFUNCTION("GOOGLETRANSLATE(B1181, ""es"", ""en"")"),"I would have liked to give me the option to change size Very light but you have to ask na size bigger you are, and I do not like that I was not given the option to change size, only the return")</f>
        <v>I would have liked to give me the option to change size Very light but you have to ask na size bigger you are, and I do not like that I was not given the option to change size, only the return</v>
      </c>
    </row>
    <row r="1182">
      <c r="A1182" s="1">
        <v>5.0</v>
      </c>
      <c r="B1182" s="1" t="s">
        <v>1174</v>
      </c>
      <c r="C1182" t="str">
        <f>IFERROR(__xludf.DUMMYFUNCTION("GOOGLETRANSLATE(B1182, ""es"", ""en"")"),"Speed ​​and perfect condition when arrived I use every day, because I have the fatal back and giving you autonomy movements")</f>
        <v>Speed ​​and perfect condition when arrived I use every day, because I have the fatal back and giving you autonomy movements</v>
      </c>
    </row>
    <row r="1183">
      <c r="A1183" s="1">
        <v>5.0</v>
      </c>
      <c r="B1183" s="1" t="s">
        <v>1175</v>
      </c>
      <c r="C1183" t="str">
        <f>IFERROR(__xludf.DUMMYFUNCTION("GOOGLETRANSLATE(B1183, ""es"", ""en"")"),". It is missing some things like more filters hear very well, but.")</f>
        <v>. It is missing some things like more filters hear very well, but.</v>
      </c>
    </row>
    <row r="1184">
      <c r="A1184" s="1">
        <v>2.0</v>
      </c>
      <c r="B1184" s="1" t="s">
        <v>1176</v>
      </c>
      <c r="C1184" t="str">
        <f>IFERROR(__xludf.DUMMYFUNCTION("GOOGLETRANSLATE(B1184, ""es"", ""en"")"),"Not stable seems useful, but maintains stability with microphone rhode we have.")</f>
        <v>Not stable seems useful, but maintains stability with microphone rhode we have.</v>
      </c>
    </row>
    <row r="1185">
      <c r="A1185" s="1">
        <v>3.0</v>
      </c>
      <c r="B1185" s="1" t="s">
        <v>1177</v>
      </c>
      <c r="C1185" t="str">
        <f>IFERROR(__xludf.DUMMYFUNCTION("GOOGLETRANSLATE(B1185, ""es"", ""en"")"),"THE SMELL IS IMPROVABLE ODOR IS NOT TOO NICE BUT CLEAN WELL")</f>
        <v>THE SMELL IS IMPROVABLE ODOR IS NOT TOO NICE BUT CLEAN WELL</v>
      </c>
    </row>
    <row r="1186">
      <c r="A1186" s="1">
        <v>3.0</v>
      </c>
      <c r="B1186" s="1" t="s">
        <v>1178</v>
      </c>
      <c r="C1186" t="str">
        <f>IFERROR(__xludf.DUMMYFUNCTION("GOOGLETRANSLATE(B1186, ""es"", ""en"")"),"He makes many ""balls"" The pants is fine, but the fabric that is made is leaving clumps around the house. Just one day left to do ...")</f>
        <v>He makes many "balls" The pants is fine, but the fabric that is made is leaving clumps around the house. Just one day left to do ...</v>
      </c>
    </row>
    <row r="1187">
      <c r="A1187" s="1">
        <v>3.0</v>
      </c>
      <c r="B1187" s="1" t="s">
        <v>1179</v>
      </c>
      <c r="C1187" t="str">
        <f>IFERROR(__xludf.DUMMYFUNCTION("GOOGLETRANSLATE(B1187, ""es"", ""en"")"),"Very, very nice they are sooo cool but I had to return them because I remained small. I took a 38 but my size is 37; I like to wear loose (or two pairs of socks) foot. My daughter is 38 and had shrunk fingers to wear them. But hey, this has been my experi"&amp;"ence.")</f>
        <v>Very, very nice they are sooo cool but I had to return them because I remained small. I took a 38 but my size is 37; I like to wear loose (or two pairs of socks) foot. My daughter is 38 and had shrunk fingers to wear them. But hey, this has been my experience.</v>
      </c>
    </row>
    <row r="1188">
      <c r="A1188" s="1">
        <v>1.0</v>
      </c>
      <c r="B1188" s="1" t="s">
        <v>1180</v>
      </c>
      <c r="C1188" t="str">
        <f>IFERROR(__xludf.DUMMYFUNCTION("GOOGLETRANSLATE(B1188, ""es"", ""en"")"),"Little suction power and low quality Disappointing suction power, and after reading other reviews. Vacuum cleaner at first glance it seems that might be fine, but once you put it up missing suction power, very fair quality finishes and accessories as well"&amp;", ""imitation"" of Dyson. Depend on the price, the purchase is more or less pleasant, certainly to me for 300 euros seems expensive, because if you have no strength, I prefer a vacuum cleaner cord and money in your pocket. To me I have not liked anything."&amp;" I've replaced by Dyson and nothing to do, like day and night. Dyson has more power than the old one that had cable, and Roidmi only had more power if the Put them to the maximum, that seemed to take off a plane and lasted over 5 minutes. Bluetooth connec"&amp;"tion did not use, so I can not comment on their performance. The only positive point is the front Roidmi light brush vacuum cleaner. Of course, in my opinion not worth changing a vacuum cleaner that already have at home (albeit cable) to buy this, because"&amp;" you spend money and on top lose effectiveness, little suction power and a battery very Justito")</f>
        <v>Little suction power and low quality Disappointing suction power, and after reading other reviews. Vacuum cleaner at first glance it seems that might be fine, but once you put it up missing suction power, very fair quality finishes and accessories as well, "imitation" of Dyson. Depend on the price, the purchase is more or less pleasant, certainly to me for 300 euros seems expensive, because if you have no strength, I prefer a vacuum cleaner cord and money in your pocket. To me I have not liked anything. I've replaced by Dyson and nothing to do, like day and night. Dyson has more power than the old one that had cable, and Roidmi only had more power if the Put them to the maximum, that seemed to take off a plane and lasted over 5 minutes. Bluetooth connection did not use, so I can not comment on their performance. The only positive point is the front Roidmi light brush vacuum cleaner. Of course, in my opinion not worth changing a vacuum cleaner that already have at home (albeit cable) to buy this, because you spend money and on top lose effectiveness, little suction power and a battery very Justito</v>
      </c>
    </row>
    <row r="1189">
      <c r="A1189" s="1">
        <v>1.0</v>
      </c>
      <c r="B1189" s="1" t="s">
        <v>1181</v>
      </c>
      <c r="C1189" t="str">
        <f>IFERROR(__xludf.DUMMYFUNCTION("GOOGLETRANSLATE(B1189, ""es"", ""en"")"),"Disappointment. Slippers excessively narrow up to the birth of his fingers. Watch out. If purchased recommend trying them thoroughly and return them when in doubt, because if they are very fair, will cause pain.")</f>
        <v>Disappointment. Slippers excessively narrow up to the birth of his fingers. Watch out. If purchased recommend trying them thoroughly and return them when in doubt, because if they are very fair, will cause pain.</v>
      </c>
    </row>
    <row r="1190">
      <c r="A1190" s="1">
        <v>4.0</v>
      </c>
      <c r="B1190" s="1" t="s">
        <v>1182</v>
      </c>
      <c r="C1190" t="str">
        <f>IFERROR(__xludf.DUMMYFUNCTION("GOOGLETRANSLATE(B1190, ""es"", ""en"")"),"Simple, fast and nice We are facing a kettle, retro style and cream color brand Russell Hobbs I'll tell you my impressions and opinions about this product: ►Qué I like Θ Very quick to boil a cup in less than a minute, if we fill the kettle does not reach "&amp;"4 minutes. Good Θ Θ 1.7-liter capacity Easy to use and simple, will not take a minute to know how to use it. Meter water, plug and wait. Θ has a window, level gauges, we can know the level of water in the kettle Θ incorporates a temperature gauge, very us"&amp;"eful if we want to ensure serve the liquid within certain temperature ranges Θ The cream with retro style looks great in any kitchen Θ handle with good grip Θ the nozzle does not drip to serving Θ Very quick to boil a cup in less than a minute, if we fill"&amp;" the kettle does not reach 5 minutes. ►Neutro Θ The kettle is metallic, this means that we must be careful to putting hand on any part other than the handle, as it could take us a scare by heat ►Qué I do not like Θ He cleanliness is not something trivial,"&amp;" since the indicators hinder cleaning Cable Θ short end ►Opinión A simple kettle with retro style and good performance")</f>
        <v>Simple, fast and nice We are facing a kettle, retro style and cream color brand Russell Hobbs I'll tell you my impressions and opinions about this product: ►Qué I like Θ Very quick to boil a cup in less than a minute, if we fill the kettle does not reach 4 minutes. Good Θ Θ 1.7-liter capacity Easy to use and simple, will not take a minute to know how to use it. Meter water, plug and wait. Θ has a window, level gauges, we can know the level of water in the kettle Θ incorporates a temperature gauge, very useful if we want to ensure serve the liquid within certain temperature ranges Θ The cream with retro style looks great in any kitchen Θ handle with good grip Θ the nozzle does not drip to serving Θ Very quick to boil a cup in less than a minute, if we fill the kettle does not reach 5 minutes. ►Neutro Θ The kettle is metallic, this means that we must be careful to putting hand on any part other than the handle, as it could take us a scare by heat ►Qué I do not like Θ He cleanliness is not something trivial, since the indicators hinder cleaning Cable Θ short end ►Opinión A simple kettle with retro style and good performance</v>
      </c>
    </row>
    <row r="1191">
      <c r="A1191" s="1">
        <v>4.0</v>
      </c>
      <c r="B1191" s="1" t="s">
        <v>1183</v>
      </c>
      <c r="C1191" t="str">
        <f>IFERROR(__xludf.DUMMYFUNCTION("GOOGLETRANSLATE(B1191, ""es"", ""en"")"),"Large sizing The sizing is great. The shoes are nice and cómodas.relación quality right price. The next will buy one size smaller.")</f>
        <v>Large sizing The sizing is great. The shoes are nice and cómodas.relación quality right price. The next will buy one size smaller.</v>
      </c>
    </row>
    <row r="1192">
      <c r="A1192" s="1">
        <v>4.0</v>
      </c>
      <c r="B1192" s="1" t="s">
        <v>1184</v>
      </c>
      <c r="C1192" t="str">
        <f>IFERROR(__xludf.DUMMYFUNCTION("GOOGLETRANSLATE(B1192, ""es"", ""en"")"),"Comfortable. Poorly manufactured. They are very comfortable. Hairlines of the design is lifted off the first day.")</f>
        <v>Comfortable. Poorly manufactured. They are very comfortable. Hairlines of the design is lifted off the first day.</v>
      </c>
    </row>
    <row r="1193">
      <c r="A1193" s="1">
        <v>4.0</v>
      </c>
      <c r="B1193" s="1" t="s">
        <v>1185</v>
      </c>
      <c r="C1193" t="str">
        <f>IFERROR(__xludf.DUMMYFUNCTION("GOOGLETRANSLATE(B1193, ""es"", ""en"")"),". It is very nice if and ideal for cold. I had read that was small but it's not true. My boyfriend has 1.83 and 85 large fits a little kilos and L but that's to everyone's taste, he likes more apertado.")</f>
        <v>. It is very nice if and ideal for cold. I had read that was small but it's not true. My boyfriend has 1.83 and 85 large fits a little kilos and L but that's to everyone's taste, he likes more apertado.</v>
      </c>
    </row>
    <row r="1194">
      <c r="A1194" s="1">
        <v>5.0</v>
      </c>
      <c r="B1194" s="1" t="s">
        <v>1186</v>
      </c>
      <c r="C1194" t="str">
        <f>IFERROR(__xludf.DUMMYFUNCTION("GOOGLETRANSLATE(B1194, ""es"", ""en"")"),"Easy to clean at home are some who love smoothies and often ka lazy to clean the Thermomix we did not enjoy them as often as we wanted. We bought a blender with the idea of ​​making 1 to 2 shakes and not have as much to clean junk and the result has nothi"&amp;"ng to send to the thx. In the glass fit 2-3 pieces of fruit, just close the lid and press the glass blade so that the blade does its function. It is strong enough to make it very thin and do not leave pieces. Cleaning is very simple because only two piece"&amp;"s are (cup and lid blade) and as the mouth is large is cleaned very easily with brush bottles. We love because even kids can use them without any risk to cut or pull the glass.")</f>
        <v>Easy to clean at home are some who love smoothies and often ka lazy to clean the Thermomix we did not enjoy them as often as we wanted. We bought a blender with the idea of ​​making 1 to 2 shakes and not have as much to clean junk and the result has nothing to send to the thx. In the glass fit 2-3 pieces of fruit, just close the lid and press the glass blade so that the blade does its function. It is strong enough to make it very thin and do not leave pieces. Cleaning is very simple because only two pieces are (cup and lid blade) and as the mouth is large is cleaned very easily with brush bottles. We love because even kids can use them without any risk to cut or pull the glass.</v>
      </c>
    </row>
    <row r="1195">
      <c r="A1195" s="1">
        <v>5.0</v>
      </c>
      <c r="B1195" s="1" t="s">
        <v>1187</v>
      </c>
      <c r="C1195" t="str">
        <f>IFERROR(__xludf.DUMMYFUNCTION("GOOGLETRANSLATE(B1195, ""es"", ""en"")"),"Good headphones Very good presentation of the product. The box is where headphones are great showing at all times the battery level of each handset. The sound is very good and are comfortable to wear.")</f>
        <v>Good headphones Very good presentation of the product. The box is where headphones are great showing at all times the battery level of each handset. The sound is very good and are comfortable to wear.</v>
      </c>
    </row>
    <row r="1196">
      <c r="A1196" s="1">
        <v>5.0</v>
      </c>
      <c r="B1196" s="1" t="s">
        <v>1188</v>
      </c>
      <c r="C1196" t="str">
        <f>IFERROR(__xludf.DUMMYFUNCTION("GOOGLETRANSLATE(B1196, ""es"", ""en"")"),"Perfect Excellent, excellent quality, quality-adjusted price, packaging and delivery perfect as it always does Amazon")</f>
        <v>Perfect Excellent, excellent quality, quality-adjusted price, packaging and delivery perfect as it always does Amazon</v>
      </c>
    </row>
    <row r="1197">
      <c r="A1197" s="1">
        <v>5.0</v>
      </c>
      <c r="B1197" s="1" t="s">
        <v>1189</v>
      </c>
      <c r="C1197" t="str">
        <f>IFERROR(__xludf.DUMMYFUNCTION("GOOGLETRANSLATE(B1197, ""es"", ""en"")"),"Very elegant, very elegant comes beautifully presented in a box. Ideal for budget detail.")</f>
        <v>Very elegant, very elegant comes beautifully presented in a box. Ideal for budget detail.</v>
      </c>
    </row>
    <row r="1198">
      <c r="A1198" s="1">
        <v>5.0</v>
      </c>
      <c r="B1198" s="1" t="s">
        <v>1190</v>
      </c>
      <c r="C1198" t="str">
        <f>IFERROR(__xludf.DUMMYFUNCTION("GOOGLETRANSLATE(B1198, ""es"", ""en"")"),"Comfortable and calentitas The truth is that they are very comfortable and the best is calentitas they are. If you are cold feet, these are your shoes. Very happy with them.")</f>
        <v>Comfortable and calentitas The truth is that they are very comfortable and the best is calentitas they are. If you are cold feet, these are your shoes. Very happy with them.</v>
      </c>
    </row>
    <row r="1199">
      <c r="A1199" s="1">
        <v>5.0</v>
      </c>
      <c r="B1199" s="1" t="s">
        <v>1191</v>
      </c>
      <c r="C1199" t="str">
        <f>IFERROR(__xludf.DUMMYFUNCTION("GOOGLETRANSLATE(B1199, ""es"", ""en"")"),"Very satisfied with helmets and attention from the seller had my doubts with these helmets (comparisons are odious), but I'm pleasantly surprised. Since you open the box until the treatment received by the store are exceptional. The sound is fairly good, "&amp;"although the issue has serious room for improvement, but there are things you hold them taking into account the price. Comfort and ease of pairing is perfect. Come perfectly packaged with the cargo box, a cable for charging, some cases if you want to give"&amp;" you an colgartelos cord of the neck and an instruction book in several languages ​​(including Spanish). also they bring a card if you have any problems you can get in touch with the seller. Very satisfied with the purchase.")</f>
        <v>Very satisfied with helmets and attention from the seller had my doubts with these helmets (comparisons are odious), but I'm pleasantly surprised. Since you open the box until the treatment received by the store are exceptional. The sound is fairly good, although the issue has serious room for improvement, but there are things you hold them taking into account the price. Comfort and ease of pairing is perfect. Come perfectly packaged with the cargo box, a cable for charging, some cases if you want to give you an colgartelos cord of the neck and an instruction book in several languages ​​(including Spanish). also they bring a card if you have any problems you can get in touch with the seller. Very satisfied with the purchase.</v>
      </c>
    </row>
    <row r="1200">
      <c r="A1200" s="1">
        <v>5.0</v>
      </c>
      <c r="B1200" s="1" t="s">
        <v>1192</v>
      </c>
      <c r="C1200" t="str">
        <f>IFERROR(__xludf.DUMMYFUNCTION("GOOGLETRANSLATE(B1200, ""es"", ""en"")"),"Leopard row beautiful and original Son, took my usual size and I are perfect")</f>
        <v>Leopard row beautiful and original Son, took my usual size and I are perfect</v>
      </c>
    </row>
    <row r="1201">
      <c r="A1201" s="1">
        <v>5.0</v>
      </c>
      <c r="B1201" s="1" t="s">
        <v>1193</v>
      </c>
      <c r="C1201" t="str">
        <f>IFERROR(__xludf.DUMMYFUNCTION("GOOGLETRANSLATE(B1201, ""es"", ""en"")"),"Light, quality and very comfortable sweatpants with which I particularly paddle game. Comfortable, lightweight and good quality finishes.")</f>
        <v>Light, quality and very comfortable sweatpants with which I particularly paddle game. Comfortable, lightweight and good quality finishes.</v>
      </c>
    </row>
    <row r="1202">
      <c r="A1202" s="1">
        <v>5.0</v>
      </c>
      <c r="B1202" s="1" t="s">
        <v>1194</v>
      </c>
      <c r="C1202" t="str">
        <f>IFERROR(__xludf.DUMMYFUNCTION("GOOGLETRANSLATE(B1202, ""es"", ""en"")"),"Drivers hard to find on the internet my pc card does not read cd")</f>
        <v>Drivers hard to find on the internet my pc card does not read cd</v>
      </c>
    </row>
    <row r="1203">
      <c r="A1203" s="1">
        <v>5.0</v>
      </c>
      <c r="B1203" s="1" t="s">
        <v>1195</v>
      </c>
      <c r="C1203" t="str">
        <f>IFERROR(__xludf.DUMMYFUNCTION("GOOGLETRANSLATE(B1203, ""es"", ""en"")"),"XX fits the description.")</f>
        <v>XX fits the description.</v>
      </c>
    </row>
    <row r="1204">
      <c r="A1204" s="1">
        <v>5.0</v>
      </c>
      <c r="B1204" s="1" t="s">
        <v>1196</v>
      </c>
      <c r="C1204" t="str">
        <f>IFERROR(__xludf.DUMMYFUNCTION("GOOGLETRANSLATE(B1204, ""es"", ""en"")"),"Good price and good quality Quality I expected or thicker but no matter being hot to me I'm doing well up for winter")</f>
        <v>Good price and good quality Quality I expected or thicker but no matter being hot to me I'm doing well up for winter</v>
      </c>
    </row>
    <row r="1205">
      <c r="A1205" s="1">
        <v>5.0</v>
      </c>
      <c r="B1205" s="1" t="s">
        <v>1197</v>
      </c>
      <c r="C1205" t="str">
        <f>IFERROR(__xludf.DUMMYFUNCTION("GOOGLETRANSLATE(B1205, ""es"", ""en"")"),"29 GB OTG convenient 29 gb real, perfect size to always wear it on the keys or the like. The only downside is that it is not protected very well, since the protective housing is hollow and can get land, fuzz, water, etc. Also say that when you go to enter"&amp;" into the devices have to put up the housing with the other hand, because it is not fixed and tends to recede. For everything else, it is great.")</f>
        <v>29 GB OTG convenient 29 gb real, perfect size to always wear it on the keys or the like. The only downside is that it is not protected very well, since the protective housing is hollow and can get land, fuzz, water, etc. Also say that when you go to enter into the devices have to put up the housing with the other hand, because it is not fixed and tends to recede. For everything else, it is great.</v>
      </c>
    </row>
    <row r="1206">
      <c r="A1206" s="1">
        <v>5.0</v>
      </c>
      <c r="B1206" s="1" t="s">
        <v>1198</v>
      </c>
      <c r="C1206" t="str">
        <f>IFERROR(__xludf.DUMMYFUNCTION("GOOGLETRANSLATE(B1206, ""es"", ""en"")"),"Oils I'm giving my husband with an aromatic diffuser for the car, what I like most is the natural smell with oils, I tried them all and I love them. With a few drops you at least for a week and left my car with a natural and super nice smell.")</f>
        <v>Oils I'm giving my husband with an aromatic diffuser for the car, what I like most is the natural smell with oils, I tried them all and I love them. With a few drops you at least for a week and left my car with a natural and super nice smell.</v>
      </c>
    </row>
    <row r="1207">
      <c r="A1207" s="1">
        <v>5.0</v>
      </c>
      <c r="B1207" s="1" t="s">
        <v>1199</v>
      </c>
      <c r="C1207" t="str">
        <f>IFERROR(__xludf.DUMMYFUNCTION("GOOGLETRANSLATE(B1207, ""es"", ""en"")"),"Using Bluetooth headsets took all morning and go to perfection, are Comodisimos and attach well to the ear. Tambiéb used them haciebdo sport and not fall as others. They come with several refills pads, USB and case to keep handy.")</f>
        <v>Using Bluetooth headsets took all morning and go to perfection, are Comodisimos and attach well to the ear. Tambiéb used them haciebdo sport and not fall as others. They come with several refills pads, USB and case to keep handy.</v>
      </c>
    </row>
    <row r="1208">
      <c r="A1208" s="1">
        <v>5.0</v>
      </c>
      <c r="B1208" s="1" t="s">
        <v>1200</v>
      </c>
      <c r="C1208" t="str">
        <f>IFERROR(__xludf.DUMMYFUNCTION("GOOGLETRANSLATE(B1208, ""es"", ""en"")"),"I bought the original bezel with a little trepidation since I have an iPhone. And really the best purchase I have ever made regarding Smartwatches. I come from a first generation Apple Watch battery which lasted no longer anything and not actualizaban abo"&amp;"ve. And the perfect q truth. I love the roll that gives the bezel and the clock menu. I managed to answer calls from the watch with Bluetooth and pairing it with the only downside to answer the question of the WhatsApp but everything else I give it a 10 s"&amp;"peaker.")</f>
        <v>I bought the original bezel with a little trepidation since I have an iPhone. And really the best purchase I have ever made regarding Smartwatches. I come from a first generation Apple Watch battery which lasted no longer anything and not actualizaban above. And the perfect q truth. I love the roll that gives the bezel and the clock menu. I managed to answer calls from the watch with Bluetooth and pairing it with the only downside to answer the question of the WhatsApp but everything else I give it a 10 speaker.</v>
      </c>
    </row>
    <row r="1209">
      <c r="A1209" s="1">
        <v>5.0</v>
      </c>
      <c r="B1209" s="1" t="s">
        <v>1201</v>
      </c>
      <c r="C1209" t="str">
        <f>IFERROR(__xludf.DUMMYFUNCTION("GOOGLETRANSLATE(B1209, ""es"", ""en"")"),"good socks socks adidas good and authentic as I expected are comfortable, and good quality Repetire undoubtedly great product")</f>
        <v>good socks socks adidas good and authentic as I expected are comfortable, and good quality Repetire undoubtedly great product</v>
      </c>
    </row>
    <row r="1210">
      <c r="A1210" s="1">
        <v>5.0</v>
      </c>
      <c r="B1210" s="1" t="s">
        <v>1202</v>
      </c>
      <c r="C1210" t="str">
        <f>IFERROR(__xludf.DUMMYFUNCTION("GOOGLETRANSLATE(B1210, ""es"", ""en"")"),"well buy these staples Stapler and perfect staples at a great price")</f>
        <v>well buy these staples Stapler and perfect staples at a great price</v>
      </c>
    </row>
    <row r="1211">
      <c r="A1211" s="1">
        <v>5.0</v>
      </c>
      <c r="B1211" s="1" t="s">
        <v>1203</v>
      </c>
      <c r="C1211" t="str">
        <f>IFERROR(__xludf.DUMMYFUNCTION("GOOGLETRANSLATE(B1211, ""es"", ""en"")"),"I love working 8 hours walking unable to sit. A home arriving just think massages that relieve pain me legs and feet without taking pills")</f>
        <v>I love working 8 hours walking unable to sit. A home arriving just think massages that relieve pain me legs and feet without taking pills</v>
      </c>
    </row>
    <row r="1212">
      <c r="A1212" s="1">
        <v>2.0</v>
      </c>
      <c r="B1212" s="1" t="s">
        <v>1204</v>
      </c>
      <c r="C1212" t="str">
        <f>IFERROR(__xludf.DUMMYFUNCTION("GOOGLETRANSLATE(B1212, ""es"", ""en"")"),"Hanging seem to me very very small nothing to do as the photos are a gift for a little girl is fine but not for a woman")</f>
        <v>Hanging seem to me very very small nothing to do as the photos are a gift for a little girl is fine but not for a woman</v>
      </c>
    </row>
    <row r="1213">
      <c r="A1213" s="1">
        <v>3.0</v>
      </c>
      <c r="B1213" s="1" t="s">
        <v>1205</v>
      </c>
      <c r="C1213" t="str">
        <f>IFERROR(__xludf.DUMMYFUNCTION("GOOGLETRANSLATE(B1213, ""es"", ""en"")"),"PROFICOOK SM 1094 is correct. For my taste, it is too heavy and vibrates enough, imagine for its power. I just tried to beat fruit and orange has been somewhat stuck in the holes of the nozzle have gone to the wash. According to my partner, weighs because"&amp;" it is semi-professional and last a lifetime. We will have to see it.")</f>
        <v>PROFICOOK SM 1094 is correct. For my taste, it is too heavy and vibrates enough, imagine for its power. I just tried to beat fruit and orange has been somewhat stuck in the holes of the nozzle have gone to the wash. According to my partner, weighs because it is semi-professional and last a lifetime. We will have to see it.</v>
      </c>
    </row>
    <row r="1214">
      <c r="A1214" s="1">
        <v>1.0</v>
      </c>
      <c r="B1214" s="1" t="s">
        <v>1206</v>
      </c>
      <c r="C1214" t="str">
        <f>IFERROR(__xludf.DUMMYFUNCTION("GOOGLETRANSLATE(B1214, ""es"", ""en"")"),"The sound of music with distortion and noise. When the music plays the voice of the microphones is heard. This works very bad karaoke. I do not know if it's fault or it's that bad. the Do not advise anyone. Of course you have not met my expectations sligh"&amp;"test.")</f>
        <v>The sound of music with distortion and noise. When the music plays the voice of the microphones is heard. This works very bad karaoke. I do not know if it's fault or it's that bad. the Do not advise anyone. Of course you have not met my expectations slightest.</v>
      </c>
    </row>
    <row r="1215">
      <c r="A1215" s="1">
        <v>1.0</v>
      </c>
      <c r="B1215" s="1" t="s">
        <v>1207</v>
      </c>
      <c r="C1215" t="str">
        <f>IFERROR(__xludf.DUMMYFUNCTION("GOOGLETRANSLATE(B1215, ""es"", ""en"")"),"Can not stand not engage well")</f>
        <v>Can not stand not engage well</v>
      </c>
    </row>
    <row r="1216">
      <c r="A1216" s="1">
        <v>4.0</v>
      </c>
      <c r="B1216" s="1" t="s">
        <v>1208</v>
      </c>
      <c r="C1216" t="str">
        <f>IFERROR(__xludf.DUMMYFUNCTION("GOOGLETRANSLATE(B1216, ""es"", ""en"")"),"Discreet pendant heart is very small and rotated several times.")</f>
        <v>Discreet pendant heart is very small and rotated several times.</v>
      </c>
    </row>
    <row r="1217">
      <c r="A1217" s="1">
        <v>4.0</v>
      </c>
      <c r="B1217" s="1" t="s">
        <v>1209</v>
      </c>
      <c r="C1217" t="str">
        <f>IFERROR(__xludf.DUMMYFUNCTION("GOOGLETRANSLATE(B1217, ""es"", ""en"")"),"Bottles are well pleased, follow the line of the MAM we use with small when it was smaller. For you bring them a but, they do not dismantle the bottom and are more complicated to clean.")</f>
        <v>Bottles are well pleased, follow the line of the MAM we use with small when it was smaller. For you bring them a but, they do not dismantle the bottom and are more complicated to clean.</v>
      </c>
    </row>
    <row r="1218">
      <c r="A1218" s="1">
        <v>4.0</v>
      </c>
      <c r="B1218" s="1" t="s">
        <v>1210</v>
      </c>
      <c r="C1218" t="str">
        <f>IFERROR(__xludf.DUMMYFUNCTION("GOOGLETRANSLATE(B1218, ""es"", ""en"")"),"Good performance Good quality price")</f>
        <v>Good performance Good quality price</v>
      </c>
    </row>
    <row r="1219">
      <c r="A1219" s="1">
        <v>4.0</v>
      </c>
      <c r="B1219" s="1" t="s">
        <v>1211</v>
      </c>
      <c r="C1219" t="str">
        <f>IFERROR(__xludf.DUMMYFUNCTION("GOOGLETRANSLATE(B1219, ""es"", ""en"")"),"Good jacket, not too cold. The parka is very nice, feel good and good materials are noticed. Defects would indicate the absence of any Zipper closure in more pockets and I think could use some more padding in the jacket itself, it does not seem to be appr"&amp;"opriate for really low temperatures.")</f>
        <v>Good jacket, not too cold. The parka is very nice, feel good and good materials are noticed. Defects would indicate the absence of any Zipper closure in more pockets and I think could use some more padding in the jacket itself, it does not seem to be appropriate for really low temperatures.</v>
      </c>
    </row>
    <row r="1220">
      <c r="A1220" s="1">
        <v>4.0</v>
      </c>
      <c r="B1220" s="1" t="s">
        <v>1212</v>
      </c>
      <c r="C1220" t="str">
        <f>IFERROR(__xludf.DUMMYFUNCTION("GOOGLETRANSLATE(B1220, ""es"", ""en"")"),"All right least one plant One thing is somewhat harder than the other. Yeah, it's weird. But hey, they are comfortable and in good condition.")</f>
        <v>All right least one plant One thing is somewhat harder than the other. Yeah, it's weird. But hey, they are comfortable and in good condition.</v>
      </c>
    </row>
    <row r="1221">
      <c r="A1221" s="1">
        <v>5.0</v>
      </c>
      <c r="B1221" s="1" t="s">
        <v>1213</v>
      </c>
      <c r="C1221" t="str">
        <f>IFERROR(__xludf.DUMMYFUNCTION("GOOGLETRANSLATE(B1221, ""es"", ""en"")"),"Very very good I love, is ideal")</f>
        <v>Very very good I love, is ideal</v>
      </c>
    </row>
    <row r="1222">
      <c r="A1222" s="1">
        <v>5.0</v>
      </c>
      <c r="B1222" s="1" t="s">
        <v>1214</v>
      </c>
      <c r="C1222" t="str">
        <f>IFERROR(__xludf.DUMMYFUNCTION("GOOGLETRANSLATE(B1222, ""es"", ""en"")"),"As simple as helpful a simple idea and inexpensive but extremely effective to have well collected cables when not in use. Very useful.")</f>
        <v>As simple as helpful a simple idea and inexpensive but extremely effective to have well collected cables when not in use. Very useful.</v>
      </c>
    </row>
    <row r="1223">
      <c r="A1223" s="1">
        <v>5.0</v>
      </c>
      <c r="B1223" s="1" t="s">
        <v>1215</v>
      </c>
      <c r="C1223" t="str">
        <f>IFERROR(__xludf.DUMMYFUNCTION("GOOGLETRANSLATE(B1223, ""es"", ""en"")"),"Best for colic With these bottles drank a lot less air. A water valve center clean well. When used cereal and better not to use this")</f>
        <v>Best for colic With these bottles drank a lot less air. A water valve center clean well. When used cereal and better not to use this</v>
      </c>
    </row>
    <row r="1224">
      <c r="A1224" s="1">
        <v>5.0</v>
      </c>
      <c r="B1224" s="1" t="s">
        <v>1216</v>
      </c>
      <c r="C1224" t="str">
        <f>IFERROR(__xludf.DUMMYFUNCTION("GOOGLETRANSLATE(B1224, ""es"", ""en"")"),"Very good buy The quality of the finish and look very good resistance. It is simple and useful the same time. Very good size with two lenses and LED lights. It comes with everything you need for cleaning and storage it can be without being damaged. Buy it"&amp;" to read the tiny print of the rules for using DIY products. Nice to have bought.")</f>
        <v>Very good buy The quality of the finish and look very good resistance. It is simple and useful the same time. Very good size with two lenses and LED lights. It comes with everything you need for cleaning and storage it can be without being damaged. Buy it to read the tiny print of the rules for using DIY products. Nice to have bought.</v>
      </c>
    </row>
    <row r="1225">
      <c r="A1225" s="1">
        <v>5.0</v>
      </c>
      <c r="B1225" s="1" t="s">
        <v>1217</v>
      </c>
      <c r="C1225" t="str">
        <f>IFERROR(__xludf.DUMMYFUNCTION("GOOGLETRANSLATE(B1225, ""es"", ""en"")"),"Perfect for price Watch is perfect for the price we bought it. It fits perfectly to the wrist of whoever without having to take it to the shop. Perfect")</f>
        <v>Perfect for price Watch is perfect for the price we bought it. It fits perfectly to the wrist of whoever without having to take it to the shop. Perfect</v>
      </c>
    </row>
    <row r="1226">
      <c r="A1226" s="1">
        <v>5.0</v>
      </c>
      <c r="B1226" s="1" t="s">
        <v>1218</v>
      </c>
      <c r="C1226" t="str">
        <f>IFERROR(__xludf.DUMMYFUNCTION("GOOGLETRANSLATE(B1226, ""es"", ""en"")"),"Very good quality very comfortable, ligueras .... the only downside that are not waterproof and if you work with abrasive fluids can run risk of reaching the skin")</f>
        <v>Very good quality very comfortable, ligueras .... the only downside that are not waterproof and if you work with abrasive fluids can run risk of reaching the skin</v>
      </c>
    </row>
    <row r="1227">
      <c r="A1227" s="1">
        <v>5.0</v>
      </c>
      <c r="B1227" s="1" t="s">
        <v>1219</v>
      </c>
      <c r="C1227" t="str">
        <f>IFERROR(__xludf.DUMMYFUNCTION("GOOGLETRANSLATE(B1227, ""es"", ""en"")"),"Perfect delivers what it promises, a subfolder of sturdy cardboard, just what I was looking for.")</f>
        <v>Perfect delivers what it promises, a subfolder of sturdy cardboard, just what I was looking for.</v>
      </c>
    </row>
    <row r="1228">
      <c r="A1228" s="1">
        <v>5.0</v>
      </c>
      <c r="B1228" s="1" t="s">
        <v>1220</v>
      </c>
      <c r="C1228" t="str">
        <f>IFERROR(__xludf.DUMMYFUNCTION("GOOGLETRANSLATE(B1228, ""es"", ""en"")"),"Comfortable enough for my use")</f>
        <v>Comfortable enough for my use</v>
      </c>
    </row>
    <row r="1229">
      <c r="A1229" s="1">
        <v>5.0</v>
      </c>
      <c r="B1229" s="1" t="s">
        <v>1221</v>
      </c>
      <c r="C1229" t="str">
        <f>IFERROR(__xludf.DUMMYFUNCTION("GOOGLETRANSLATE(B1229, ""es"", ""en"")"),"Great headphones for children My children use the iPad at school daily and these are the headphones I bought them. Van's backpack schoolbag, and display them umpteen times and there still fold. When spoil those who have, I bought another same !!")</f>
        <v>Great headphones for children My children use the iPad at school daily and these are the headphones I bought them. Van's backpack schoolbag, and display them umpteen times and there still fold. When spoil those who have, I bought another same !!</v>
      </c>
    </row>
    <row r="1230">
      <c r="A1230" s="1">
        <v>5.0</v>
      </c>
      <c r="B1230" s="1" t="s">
        <v>1222</v>
      </c>
      <c r="C1230" t="str">
        <f>IFERROR(__xludf.DUMMYFUNCTION("GOOGLETRANSLATE(B1230, ""es"", ""en"")"),"100% recommended are super good, comfortable, harbor a lot to having the pelito inside, do not slip, they arrived super fast, well packaged. They are easy to clean, and came perfect size, all perfect !! Recommended 100% without any doubt.")</f>
        <v>100% recommended are super good, comfortable, harbor a lot to having the pelito inside, do not slip, they arrived super fast, well packaged. They are easy to clean, and came perfect size, all perfect !! Recommended 100% without any doubt.</v>
      </c>
    </row>
    <row r="1231">
      <c r="A1231" s="1">
        <v>5.0</v>
      </c>
      <c r="B1231" s="1" t="s">
        <v>1223</v>
      </c>
      <c r="C1231" t="str">
        <f>IFERROR(__xludf.DUMMYFUNCTION("GOOGLETRANSLATE(B1231, ""es"", ""en"")"),"They have met expectations. They were to give them to my husband and he loved it. They are very comfortable and the size corresponds to its usual size.")</f>
        <v>They have met expectations. They were to give them to my husband and he loved it. They are very comfortable and the size corresponds to its usual size.</v>
      </c>
    </row>
    <row r="1232">
      <c r="A1232" s="1">
        <v>5.0</v>
      </c>
      <c r="B1232" s="1" t="s">
        <v>1224</v>
      </c>
      <c r="C1232" t="str">
        <f>IFERROR(__xludf.DUMMYFUNCTION("GOOGLETRANSLATE(B1232, ""es"", ""en"")"),"I recommend it! It was a gift for my daughter and fulfilled all expectations. Good quality and original. It is giving much use and is height.")</f>
        <v>I recommend it! It was a gift for my daughter and fulfilled all expectations. Good quality and original. It is giving much use and is height.</v>
      </c>
    </row>
    <row r="1233">
      <c r="A1233" s="1">
        <v>5.0</v>
      </c>
      <c r="B1233" s="1" t="s">
        <v>1225</v>
      </c>
      <c r="C1233" t="str">
        <f>IFERROR(__xludf.DUMMYFUNCTION("GOOGLETRANSLATE(B1233, ""es"", ""en"")"),"Quick to use I bought because I love smoothies for breakfast and I find it super-practical and easy to use-clean. Resistant materials are noticed and good quality, I used both natural and frozen fruit juices, to prepare a sauce.")</f>
        <v>Quick to use I bought because I love smoothies for breakfast and I find it super-practical and easy to use-clean. Resistant materials are noticed and good quality, I used both natural and frozen fruit juices, to prepare a sauce.</v>
      </c>
    </row>
    <row r="1234">
      <c r="A1234" s="1">
        <v>5.0</v>
      </c>
      <c r="B1234" s="1" t="s">
        <v>1226</v>
      </c>
      <c r="C1234" t="str">
        <f>IFERROR(__xludf.DUMMYFUNCTION("GOOGLETRANSLATE(B1234, ""es"", ""en"")"),"Very comfortable sweatpants for sports because they adapt perfectly to the movement, has two pockets that come in handy for keeping keys or phone The fabric is high quality")</f>
        <v>Very comfortable sweatpants for sports because they adapt perfectly to the movement, has two pockets that come in handy for keeping keys or phone The fabric is high quality</v>
      </c>
    </row>
    <row r="1235">
      <c r="A1235" s="1">
        <v>5.0</v>
      </c>
      <c r="B1235" s="1" t="s">
        <v>1227</v>
      </c>
      <c r="C1235" t="str">
        <f>IFERROR(__xludf.DUMMYFUNCTION("GOOGLETRANSLATE(B1235, ""es"", ""en"")"),"Buneas Good price, I think there q.pedir a number .I did so.")</f>
        <v>Buneas Good price, I think there q.pedir a number .I did so.</v>
      </c>
    </row>
    <row r="1236">
      <c r="A1236" s="1">
        <v>5.0</v>
      </c>
      <c r="B1236" s="1" t="s">
        <v>1228</v>
      </c>
      <c r="C1236" t="str">
        <f>IFERROR(__xludf.DUMMYFUNCTION("GOOGLETRANSLATE(B1236, ""es"", ""en"")"),"Good quality and price I like their quality and aesthetically. The small tray for roasting is that you can put up a good idea to reheat or defrost pan. Overall a good buy")</f>
        <v>Good quality and price I like their quality and aesthetically. The small tray for roasting is that you can put up a good idea to reheat or defrost pan. Overall a good buy</v>
      </c>
    </row>
    <row r="1237">
      <c r="A1237" s="1">
        <v>5.0</v>
      </c>
      <c r="B1237" s="1" t="s">
        <v>1229</v>
      </c>
      <c r="C1237" t="str">
        <f>IFERROR(__xludf.DUMMYFUNCTION("GOOGLETRANSLATE(B1237, ""es"", ""en"")"),"Very good buy I give it 5 stars without any hesitation, I bought because it was the best valuation had and I must say it did not disappoint me. I'm using to make gazpacho and leaves skin completely crushed tomatoes, not noticeable, so I save enough time n"&amp;"ot having to peel tomatoes. It is also great for making vegetable creams, as the leaves very finite, and my children are great and I have also made them fruit smoothies and are happy. In addition, the carrying accessory to take your shakes also going very"&amp;" well and I'm giving a lot of use. Ninguan recommend the purchase without doubt.")</f>
        <v>Very good buy I give it 5 stars without any hesitation, I bought because it was the best valuation had and I must say it did not disappoint me. I'm using to make gazpacho and leaves skin completely crushed tomatoes, not noticeable, so I save enough time not having to peel tomatoes. It is also great for making vegetable creams, as the leaves very finite, and my children are great and I have also made them fruit smoothies and are happy. In addition, the carrying accessory to take your shakes also going very well and I'm giving a lot of use. Ninguan recommend the purchase without doubt.</v>
      </c>
    </row>
    <row r="1238">
      <c r="A1238" s="1">
        <v>5.0</v>
      </c>
      <c r="B1238" s="1" t="s">
        <v>1230</v>
      </c>
      <c r="C1238" t="str">
        <f>IFERROR(__xludf.DUMMYFUNCTION("GOOGLETRANSLATE(B1238, ""es"", ""en"")"),"A classic at an unbeatable price there is little to say about these shoes, a classic that never gets old! In addition to a great price for the offer ... very happy!")</f>
        <v>A classic at an unbeatable price there is little to say about these shoes, a classic that never gets old! In addition to a great price for the offer ... very happy!</v>
      </c>
    </row>
    <row r="1239">
      <c r="A1239" s="1">
        <v>5.0</v>
      </c>
      <c r="B1239" s="1" t="s">
        <v>1231</v>
      </c>
      <c r="C1239" t="str">
        <f>IFERROR(__xludf.DUMMYFUNCTION("GOOGLETRANSLATE(B1239, ""es"", ""en"")"),"Ideal Product like the picture, the material is resistant")</f>
        <v>Ideal Product like the picture, the material is resistant</v>
      </c>
    </row>
    <row r="1240">
      <c r="A1240" s="1">
        <v>2.0</v>
      </c>
      <c r="B1240" s="1" t="s">
        <v>1232</v>
      </c>
      <c r="C1240" t="str">
        <f>IFERROR(__xludf.DUMMYFUNCTION("GOOGLETRANSLATE(B1240, ""es"", ""en"")"),"I would not buy to hang things tactically weighing not working properly but nothing great pictures to put a penalty not a disappointment.")</f>
        <v>I would not buy to hang things tactically weighing not working properly but nothing great pictures to put a penalty not a disappointment.</v>
      </c>
    </row>
    <row r="1241">
      <c r="A1241" s="1">
        <v>3.0</v>
      </c>
      <c r="B1241" s="1" t="s">
        <v>1233</v>
      </c>
      <c r="C1241" t="str">
        <f>IFERROR(__xludf.DUMMYFUNCTION("GOOGLETRANSLATE(B1241, ""es"", ""en"")"),"very cool but broke the next day have loved my daughter and her crumb. but he broke in 1 day")</f>
        <v>very cool but broke the next day have loved my daughter and her crumb. but he broke in 1 day</v>
      </c>
    </row>
    <row r="1242">
      <c r="A1242" s="1">
        <v>3.0</v>
      </c>
      <c r="B1242" s="1" t="s">
        <v>1234</v>
      </c>
      <c r="C1242" t="str">
        <f>IFERROR(__xludf.DUMMYFUNCTION("GOOGLETRANSLATE(B1242, ""es"", ""en"")"),"Bambas not as comfortable as I expected to be a clarks")</f>
        <v>Bambas not as comfortable as I expected to be a clarks</v>
      </c>
    </row>
    <row r="1243">
      <c r="A1243" s="1">
        <v>1.0</v>
      </c>
      <c r="B1243" s="1" t="s">
        <v>1235</v>
      </c>
      <c r="C1243" t="str">
        <f>IFERROR(__xludf.DUMMYFUNCTION("GOOGLETRANSLATE(B1243, ""es"", ""en"")"),"I bought shoddy being the only one found compatible with the Ballerina stick. Fits great but is very bad quality and loofah lasted less than a month, the green part is lifted in a few weeks.")</f>
        <v>I bought shoddy being the only one found compatible with the Ballerina stick. Fits great but is very bad quality and loofah lasted less than a month, the green part is lifted in a few weeks.</v>
      </c>
    </row>
    <row r="1244">
      <c r="A1244" s="1">
        <v>1.0</v>
      </c>
      <c r="B1244" s="1" t="s">
        <v>1236</v>
      </c>
      <c r="C1244" t="str">
        <f>IFERROR(__xludf.DUMMYFUNCTION("GOOGLETRANSLATE(B1244, ""es"", ""en"")"),"Poor quality is not very good")</f>
        <v>Poor quality is not very good</v>
      </c>
    </row>
    <row r="1245">
      <c r="A1245" s="1">
        <v>4.0</v>
      </c>
      <c r="B1245" s="1" t="s">
        <v>1237</v>
      </c>
      <c r="C1245" t="str">
        <f>IFERROR(__xludf.DUMMYFUNCTION("GOOGLETRANSLATE(B1245, ""es"", ""en"")"),"Good buy The truth is they are very comfortable. I'm happy with the purchase. I recommend them. The sizing is a little confusing ....")</f>
        <v>Good buy The truth is they are very comfortable. I'm happy with the purchase. I recommend them. The sizing is a little confusing ....</v>
      </c>
    </row>
    <row r="1246">
      <c r="A1246" s="1">
        <v>4.0</v>
      </c>
      <c r="B1246" s="1" t="s">
        <v>1238</v>
      </c>
      <c r="C1246" t="str">
        <f>IFERROR(__xludf.DUMMYFUNCTION("GOOGLETRANSLATE(B1246, ""es"", ""en"")"),"But for me it broke a blender and I caught it. Has 20 speeds and a button that gives all the power, I thought I would always use that instead soil but putting it at low levels and ever hit the ""turbo"" button. For me a purchase 10 also brings the typical"&amp;" glass blender and grinder.")</f>
        <v>But for me it broke a blender and I caught it. Has 20 speeds and a button that gives all the power, I thought I would always use that instead soil but putting it at low levels and ever hit the "turbo" button. For me a purchase 10 also brings the typical glass blender and grinder.</v>
      </c>
    </row>
    <row r="1247">
      <c r="A1247" s="1">
        <v>4.0</v>
      </c>
      <c r="B1247" s="1" t="s">
        <v>1239</v>
      </c>
      <c r="C1247" t="str">
        <f>IFERROR(__xludf.DUMMYFUNCTION("GOOGLETRANSLATE(B1247, ""es"", ""en"")"),"Good price and comfortable to use with projectors is very comfortable to use and hold in hand while doing presentations. What I liked is not the pointer does not work on digital screens; I see by Amazon and a user assured me yes and so I decided on this m"&amp;"odel, but it is not true. I would not work with Google presentations with Power Point only. The USB is very small, which I not comfortable when put on the digital display attached to a wall. When I have used with a projector it has been much more comforta"&amp;"ble.")</f>
        <v>Good price and comfortable to use with projectors is very comfortable to use and hold in hand while doing presentations. What I liked is not the pointer does not work on digital screens; I see by Amazon and a user assured me yes and so I decided on this model, but it is not true. I would not work with Google presentations with Power Point only. The USB is very small, which I not comfortable when put on the digital display attached to a wall. When I have used with a projector it has been much more comfortable.</v>
      </c>
    </row>
    <row r="1248">
      <c r="A1248" s="1">
        <v>4.0</v>
      </c>
      <c r="B1248" s="1" t="s">
        <v>1240</v>
      </c>
      <c r="C1248" t="str">
        <f>IFERROR(__xludf.DUMMYFUNCTION("GOOGLETRANSLATE(B1248, ""es"", ""en"")"),"I tested only works properly VGA and HDMI on a MacBookPro and works well. I can not say the resolution that always works because I plug in a small monitor not much resolution")</f>
        <v>I tested only works properly VGA and HDMI on a MacBookPro and works well. I can not say the resolution that always works because I plug in a small monitor not much resolution</v>
      </c>
    </row>
    <row r="1249">
      <c r="A1249" s="1">
        <v>4.0</v>
      </c>
      <c r="B1249" s="1" t="s">
        <v>1241</v>
      </c>
      <c r="C1249" t="str">
        <f>IFERROR(__xludf.DUMMYFUNCTION("GOOGLETRANSLATE(B1249, ""es"", ""en"")"),"very good value for money are heard very good and pairing with mobile super fast, I do not get it 5 stars because running out of my ears. but very good for static or walk")</f>
        <v>very good value for money are heard very good and pairing with mobile super fast, I do not get it 5 stars because running out of my ears. but very good for static or walk</v>
      </c>
    </row>
    <row r="1250">
      <c r="A1250" s="1">
        <v>5.0</v>
      </c>
      <c r="B1250" s="1" t="s">
        <v>1242</v>
      </c>
      <c r="C1250" t="str">
        <f>IFERROR(__xludf.DUMMYFUNCTION("GOOGLETRANSLATE(B1250, ""es"", ""en"")"),"You are perfect! I love!! As Picture")</f>
        <v>You are perfect! I love!! As Picture</v>
      </c>
    </row>
    <row r="1251">
      <c r="A1251" s="1">
        <v>5.0</v>
      </c>
      <c r="B1251" s="1" t="s">
        <v>1243</v>
      </c>
      <c r="C1251" t="str">
        <f>IFERROR(__xludf.DUMMYFUNCTION("GOOGLETRANSLATE(B1251, ""es"", ""en"")"),"I love my cost 8 euros (size 38). I do not think I will find them at that price. I wish I'd been at that price the 36")</f>
        <v>I love my cost 8 euros (size 38). I do not think I will find them at that price. I wish I'd been at that price the 36</v>
      </c>
    </row>
    <row r="1252">
      <c r="A1252" s="1">
        <v>5.0</v>
      </c>
      <c r="B1252" s="1" t="s">
        <v>1244</v>
      </c>
      <c r="C1252" t="str">
        <f>IFERROR(__xludf.DUMMYFUNCTION("GOOGLETRANSLATE(B1252, ""es"", ""en"")"),"I love! I definitely think it was the best mic I've ever had, better than jeti even blue. I recomendadísimo!")</f>
        <v>I love! I definitely think it was the best mic I've ever had, better than jeti even blue. I recomendadísimo!</v>
      </c>
    </row>
    <row r="1253">
      <c r="A1253" s="1">
        <v>5.0</v>
      </c>
      <c r="B1253" s="1" t="s">
        <v>1245</v>
      </c>
      <c r="C1253" t="str">
        <f>IFERROR(__xludf.DUMMYFUNCTION("GOOGLETRANSLATE(B1253, ""es"", ""en"")"),"Excellent Excellent watch, is very comfortable and gives the feeling that not wearing, is lightweight and does not bother.")</f>
        <v>Excellent Excellent watch, is very comfortable and gives the feeling that not wearing, is lightweight and does not bother.</v>
      </c>
    </row>
    <row r="1254">
      <c r="A1254" s="1">
        <v>5.0</v>
      </c>
      <c r="B1254" s="1" t="s">
        <v>1246</v>
      </c>
      <c r="C1254" t="str">
        <f>IFERROR(__xludf.DUMMYFUNCTION("GOOGLETRANSLATE(B1254, ""es"", ""en"")"),"I like I like the design and quality")</f>
        <v>I like I like the design and quality</v>
      </c>
    </row>
    <row r="1255">
      <c r="A1255" s="1">
        <v>5.0</v>
      </c>
      <c r="B1255" s="1" t="s">
        <v>1247</v>
      </c>
      <c r="C1255" t="str">
        <f>IFERROR(__xludf.DUMMYFUNCTION("GOOGLETRANSLATE(B1255, ""es"", ""en"")"),"They are big and comfy something had to change the number. Are comfy, it is like walking on a cloud.")</f>
        <v>They are big and comfy something had to change the number. Are comfy, it is like walking on a cloud.</v>
      </c>
    </row>
    <row r="1256">
      <c r="A1256" s="1">
        <v>5.0</v>
      </c>
      <c r="B1256" s="1" t="s">
        <v>1248</v>
      </c>
      <c r="C1256" t="str">
        <f>IFERROR(__xludf.DUMMYFUNCTION("GOOGLETRANSLATE(B1256, ""es"", ""en"")"),"I have given great was my boyfriend and we love you !! Very nice watch !!")</f>
        <v>I have given great was my boyfriend and we love you !! Very nice watch !!</v>
      </c>
    </row>
    <row r="1257">
      <c r="A1257" s="1">
        <v>5.0</v>
      </c>
      <c r="B1257" s="1" t="s">
        <v>1249</v>
      </c>
      <c r="C1257" t="str">
        <f>IFERROR(__xludf.DUMMYFUNCTION("GOOGLETRANSLATE(B1257, ""es"", ""en"")"),"Very comfortable, happy with the product. Are super comfortable, well fastened to the foot, with silicone heel .The brings recommend.")</f>
        <v>Very comfortable, happy with the product. Are super comfortable, well fastened to the foot, with silicone heel .The brings recommend.</v>
      </c>
    </row>
    <row r="1258">
      <c r="A1258" s="1">
        <v>5.0</v>
      </c>
      <c r="B1258" s="1" t="s">
        <v>1250</v>
      </c>
      <c r="C1258" t="str">
        <f>IFERROR(__xludf.DUMMYFUNCTION("GOOGLETRANSLATE(B1258, ""es"", ""en"")"),"The very comfortable bought for my mother I needed to walk out health issues and can not be happier, says it's like walking on a cloud.")</f>
        <v>The very comfortable bought for my mother I needed to walk out health issues and can not be happier, says it's like walking on a cloud.</v>
      </c>
    </row>
    <row r="1259">
      <c r="A1259" s="1">
        <v>5.0</v>
      </c>
      <c r="B1259" s="1" t="s">
        <v>1251</v>
      </c>
      <c r="C1259" t="str">
        <f>IFERROR(__xludf.DUMMYFUNCTION("GOOGLETRANSLATE(B1259, ""es"", ""en"")"),"Good buy Compared to our previous blender is great, no problem comminuted and somewhat surprising, not splashes when whipping. For now I can not find any fault.")</f>
        <v>Good buy Compared to our previous blender is great, no problem comminuted and somewhat surprising, not splashes when whipping. For now I can not find any fault.</v>
      </c>
    </row>
    <row r="1260">
      <c r="A1260" s="1">
        <v>5.0</v>
      </c>
      <c r="B1260" s="1" t="s">
        <v>1252</v>
      </c>
      <c r="C1260" t="str">
        <f>IFERROR(__xludf.DUMMYFUNCTION("GOOGLETRANSLATE(B1260, ""es"", ""en"")"),"It serves perfectly well for DYMO economic machine, very good choice, good result and price")</f>
        <v>It serves perfectly well for DYMO economic machine, very good choice, good result and price</v>
      </c>
    </row>
    <row r="1261">
      <c r="A1261" s="1">
        <v>5.0</v>
      </c>
      <c r="B1261" s="1" t="s">
        <v>1253</v>
      </c>
      <c r="C1261" t="str">
        <f>IFERROR(__xludf.DUMMYFUNCTION("GOOGLETRANSLATE(B1261, ""es"", ""en"")"),"perfect. Slippers for daily use, very comfortable")</f>
        <v>perfect. Slippers for daily use, very comfortable</v>
      </c>
    </row>
    <row r="1262">
      <c r="A1262" s="1">
        <v>5.0</v>
      </c>
      <c r="B1262" s="1" t="s">
        <v>1254</v>
      </c>
      <c r="C1262" t="str">
        <f>IFERROR(__xludf.DUMMYFUNCTION("GOOGLETRANSLATE(B1262, ""es"", ""en"")"),"Super comfortable !!! I've loved, I recommend them. As in the photo and very comfortable !!")</f>
        <v>Super comfortable !!! I've loved, I recommend them. As in the photo and very comfortable !!</v>
      </c>
    </row>
    <row r="1263">
      <c r="A1263" s="1">
        <v>5.0</v>
      </c>
      <c r="B1263" s="1" t="s">
        <v>1255</v>
      </c>
      <c r="C1263" t="str">
        <f>IFERROR(__xludf.DUMMYFUNCTION("GOOGLETRANSLATE(B1263, ""es"", ""en"")"),"Soled sneakers are very comfortable Good note are branded recommend this product, the soles seem to be very comfortable gel me are perfect")</f>
        <v>Soled sneakers are very comfortable Good note are branded recommend this product, the soles seem to be very comfortable gel me are perfect</v>
      </c>
    </row>
    <row r="1264">
      <c r="A1264" s="1">
        <v>5.0</v>
      </c>
      <c r="B1264" s="1" t="s">
        <v>1256</v>
      </c>
      <c r="C1264" t="str">
        <f>IFERROR(__xludf.DUMMYFUNCTION("GOOGLETRANSLATE(B1264, ""es"", ""en"")"),"Ideal for guitars I started playing electric minguitarra again and was tired of carrying the power amplifier always picking on guitar. I decided this for good reviews and I'm glad I bought it. It has a super low latency and listens very well. In addition,"&amp;" the range is more than enough for any scenario, unless you play in a super escenariobwue is not my case. And besides, the price is great. I recommend it.")</f>
        <v>Ideal for guitars I started playing electric minguitarra again and was tired of carrying the power amplifier always picking on guitar. I decided this for good reviews and I'm glad I bought it. It has a super low latency and listens very well. In addition, the range is more than enough for any scenario, unless you play in a super escenariobwue is not my case. And besides, the price is great. I recommend it.</v>
      </c>
    </row>
    <row r="1265">
      <c r="A1265" s="1">
        <v>5.0</v>
      </c>
      <c r="B1265" s="1" t="s">
        <v>1257</v>
      </c>
      <c r="C1265" t="str">
        <f>IFERROR(__xludf.DUMMYFUNCTION("GOOGLETRANSLATE(B1265, ""es"", ""en"")"),"Ideal for gifts Much better than the pictures. Recommended as a gift")</f>
        <v>Ideal for gifts Much better than the pictures. Recommended as a gift</v>
      </c>
    </row>
    <row r="1266">
      <c r="A1266" s="1">
        <v>5.0</v>
      </c>
      <c r="B1266" s="1" t="s">
        <v>1258</v>
      </c>
      <c r="C1266" t="str">
        <f>IFERROR(__xludf.DUMMYFUNCTION("GOOGLETRANSLATE(B1266, ""es"", ""en"")"),"Perfect and recommended. It's just what I expected. Knots resilient and adaptable. I received the bracelet long time in advance and that surprised me. Would buy it without hesitation gift.")</f>
        <v>Perfect and recommended. It's just what I expected. Knots resilient and adaptable. I received the bracelet long time in advance and that surprised me. Would buy it without hesitation gift.</v>
      </c>
    </row>
    <row r="1267">
      <c r="A1267" s="1">
        <v>5.0</v>
      </c>
      <c r="B1267" s="1" t="s">
        <v>1259</v>
      </c>
      <c r="C1267" t="str">
        <f>IFERROR(__xludf.DUMMYFUNCTION("GOOGLETRANSLATE(B1267, ""es"", ""en"")"),"Everything perfect everything perfect super comfortable and not slip at work I feel superbien a commendable wonder to one hundred percent")</f>
        <v>Everything perfect everything perfect super comfortable and not slip at work I feel superbien a commendable wonder to one hundred percent</v>
      </c>
    </row>
    <row r="1268">
      <c r="A1268" s="1">
        <v>5.0</v>
      </c>
      <c r="B1268" s="1" t="s">
        <v>1260</v>
      </c>
      <c r="C1268" t="str">
        <f>IFERROR(__xludf.DUMMYFUNCTION("GOOGLETRANSLATE(B1268, ""es"", ""en"")"),"Converse all star arrived before the delivery date. Carve large, medium number more. They are classic and will never go out of style. Perfect and at a good price.")</f>
        <v>Converse all star arrived before the delivery date. Carve large, medium number more. They are classic and will never go out of style. Perfect and at a good price.</v>
      </c>
    </row>
    <row r="1269">
      <c r="A1269" s="1">
        <v>2.0</v>
      </c>
      <c r="B1269" s="1" t="s">
        <v>1261</v>
      </c>
      <c r="C1269" t="str">
        <f>IFERROR(__xludf.DUMMYFUNCTION("GOOGLETRANSLATE(B1269, ""es"", ""en"")"),"Jug with short duration. It has broken the glass jug with very little use. Disappointed.")</f>
        <v>Jug with short duration. It has broken the glass jug with very little use. Disappointed.</v>
      </c>
    </row>
    <row r="1270">
      <c r="A1270" s="1">
        <v>3.0</v>
      </c>
      <c r="B1270" s="1" t="s">
        <v>1262</v>
      </c>
      <c r="C1270" t="str">
        <f>IFERROR(__xludf.DUMMYFUNCTION("GOOGLETRANSLATE(B1270, ""es"", ""en"")"),"The only downside: the price, otherwise great! I would give it 5 stars if it were not for the high price that has put Apple, which have risen 50 € compared to 1st Generation costing 179 € and all for not taking the case universal wireless charging Qi as a"&amp;" new and logical evolution to the same price as the previous model. Yes the product is very good and has the following improvements 4 with respect to the previous generation: 1- Case universal wireless charging Qi. 2- Bluetooth 5 in which emphasize that y"&amp;"ou will have more working distance, for example if you leave the transmitting device (iPhone for example) in a separate room that you are and you you move around the house with AirPods will not be cut sound as happened with the 1st Generation to carrying "&amp;"Bluetooth 4.0 where just outside the hall and connection ... 3- Hey Siri voice ragged without tap the headset. 4- Chip H1 faster connecting to Apple devices, especially if you change iPhone to Watch and vice versa ... Of course, for those who already have"&amp;" the 1st Generation AirPods not recommend your purchase, you would be a fool spending since in essence are the same headset and will not bring anything but make richer current account Apple and prices keep rising ... I would only recommend purchase for th"&amp;"ose who do not yet have AirPods, and stalls to buy some better buy 2nd Generation.")</f>
        <v>The only downside: the price, otherwise great! I would give it 5 stars if it were not for the high price that has put Apple, which have risen 50 € compared to 1st Generation costing 179 € and all for not taking the case universal wireless charging Qi as a new and logical evolution to the same price as the previous model. Yes the product is very good and has the following improvements 4 with respect to the previous generation: 1- Case universal wireless charging Qi. 2- Bluetooth 5 in which emphasize that you will have more working distance, for example if you leave the transmitting device (iPhone for example) in a separate room that you are and you you move around the house with AirPods will not be cut sound as happened with the 1st Generation to carrying Bluetooth 4.0 where just outside the hall and connection ... 3- Hey Siri voice ragged without tap the headset. 4- Chip H1 faster connecting to Apple devices, especially if you change iPhone to Watch and vice versa ... Of course, for those who already have the 1st Generation AirPods not recommend your purchase, you would be a fool spending since in essence are the same headset and will not bring anything but make richer current account Apple and prices keep rising ... I would only recommend purchase for those who do not yet have AirPods, and stalls to buy some better buy 2nd Generation.</v>
      </c>
    </row>
    <row r="1271">
      <c r="A1271" s="1">
        <v>3.0</v>
      </c>
      <c r="B1271" s="1" t="s">
        <v>1263</v>
      </c>
      <c r="C1271" t="str">
        <f>IFERROR(__xludf.DUMMYFUNCTION("GOOGLETRANSLATE(B1271, ""es"", ""en"")"),"It works perfectly, all cable screws too easily works perfectly, all cable screws too easily, and it's annoying when working")</f>
        <v>It works perfectly, all cable screws too easily works perfectly, all cable screws too easily, and it's annoying when working</v>
      </c>
    </row>
    <row r="1272">
      <c r="A1272" s="1">
        <v>1.0</v>
      </c>
      <c r="B1272" s="1" t="s">
        <v>1264</v>
      </c>
      <c r="C1272" t="str">
        <f>IFERROR(__xludf.DUMMYFUNCTION("GOOGLETRANSLATE(B1272, ""es"", ""en"")"),"Care is not the photo. Care is not the same clock photo ""No Ariba tour"" and that part is not black, disappointed.")</f>
        <v>Care is not the photo. Care is not the same clock photo "No Ariba tour" and that part is not black, disappointed.</v>
      </c>
    </row>
    <row r="1273">
      <c r="A1273" s="1">
        <v>1.0</v>
      </c>
      <c r="B1273" s="1" t="s">
        <v>1265</v>
      </c>
      <c r="C1273" t="str">
        <f>IFERROR(__xludf.DUMMYFUNCTION("GOOGLETRANSLATE(B1273, ""es"", ""en"")"),"Even a year or a year has lasted me. I asked on July 28 and was perfect and arrived one day about a month ago that no longer read or mobile, or sports camera, not even the pc. Terrible.")</f>
        <v>Even a year or a year has lasted me. I asked on July 28 and was perfect and arrived one day about a month ago that no longer read or mobile, or sports camera, not even the pc. Terrible.</v>
      </c>
    </row>
    <row r="1274">
      <c r="A1274" s="1">
        <v>1.0</v>
      </c>
      <c r="B1274" s="1" t="s">
        <v>1266</v>
      </c>
      <c r="C1274" t="str">
        <f>IFERROR(__xludf.DUMMYFUNCTION("GOOGLETRANSLATE(B1274, ""es"", ""en"")"),"Carolina I have received a different model to the one I ordered, but I need them now and I can not change them. The 36/37 is a little big.")</f>
        <v>Carolina I have received a different model to the one I ordered, but I need them now and I can not change them. The 36/37 is a little big.</v>
      </c>
    </row>
    <row r="1275">
      <c r="A1275" s="1">
        <v>4.0</v>
      </c>
      <c r="B1275" s="1" t="s">
        <v>1267</v>
      </c>
      <c r="C1275" t="str">
        <f>IFERROR(__xludf.DUMMYFUNCTION("GOOGLETRANSLATE(B1275, ""es"", ""en"")"),"Comfortable good buy, easy to clean and use, powerful, recommended 100%")</f>
        <v>Comfortable good buy, easy to clean and use, powerful, recommended 100%</v>
      </c>
    </row>
    <row r="1276">
      <c r="A1276" s="1">
        <v>4.0</v>
      </c>
      <c r="B1276" s="1" t="s">
        <v>1268</v>
      </c>
      <c r="C1276" t="str">
        <f>IFERROR(__xludf.DUMMYFUNCTION("GOOGLETRANSLATE(B1276, ""es"", ""en"")"),"Look Cruz. Vitoria - Gasteiz. Aesthetically is photography is beautiful and true to the color. Comfortable and worn. Good value for money. Calza small.")</f>
        <v>Look Cruz. Vitoria - Gasteiz. Aesthetically is photography is beautiful and true to the color. Comfortable and worn. Good value for money. Calza small.</v>
      </c>
    </row>
    <row r="1277">
      <c r="A1277" s="1">
        <v>4.0</v>
      </c>
      <c r="B1277" s="1" t="s">
        <v>1269</v>
      </c>
      <c r="C1277" t="str">
        <f>IFERROR(__xludf.DUMMYFUNCTION("GOOGLETRANSLATE(B1277, ""es"", ""en"")"),"Too much shine big and bright. To be discreet, as they are not worth")</f>
        <v>Too much shine big and bright. To be discreet, as they are not worth</v>
      </c>
    </row>
    <row r="1278">
      <c r="A1278" s="1">
        <v>4.0</v>
      </c>
      <c r="B1278" s="1" t="s">
        <v>1270</v>
      </c>
      <c r="C1278" t="str">
        <f>IFERROR(__xludf.DUMMYFUNCTION("GOOGLETRANSLATE(B1278, ""es"", ""en"")"),"Good but ... Very complete range of accessories that is included. It is fairly quiet and effective but for my taste has a downside: the coupling system of the mast and rods is of dubious quality, built in plastic and not metal ... I have serious doubts th"&amp;"at adequately resist everyday use. I have it for a few weeks and now good. To see Aguata !!!")</f>
        <v>Good but ... Very complete range of accessories that is included. It is fairly quiet and effective but for my taste has a downside: the coupling system of the mast and rods is of dubious quality, built in plastic and not metal ... I have serious doubts that adequately resist everyday use. I have it for a few weeks and now good. To see Aguata !!!</v>
      </c>
    </row>
    <row r="1279">
      <c r="A1279" s="1">
        <v>5.0</v>
      </c>
      <c r="B1279" s="1" t="s">
        <v>1271</v>
      </c>
      <c r="C1279" t="str">
        <f>IFERROR(__xludf.DUMMYFUNCTION("GOOGLETRANSLATE(B1279, ""es"", ""en"")"),"Perfect is a watch very comfortable with good quality. It has to set two different times in digital format, alarm and stopwatch. Very comfortable and fits perfectly to the wrist, not a bulky watch like out there.")</f>
        <v>Perfect is a watch very comfortable with good quality. It has to set two different times in digital format, alarm and stopwatch. Very comfortable and fits perfectly to the wrist, not a bulky watch like out there.</v>
      </c>
    </row>
    <row r="1280">
      <c r="A1280" s="1">
        <v>5.0</v>
      </c>
      <c r="B1280" s="1" t="s">
        <v>1272</v>
      </c>
      <c r="C1280" t="str">
        <f>IFERROR(__xludf.DUMMYFUNCTION("GOOGLETRANSLATE(B1280, ""es"", ""en"")"),"👏👏👏👏👏 It's been 2 years of my purchase and have changed but x daily use but very good indeed!")</f>
        <v>👏👏👏👏👏 It's been 2 years of my purchase and have changed but x daily use but very good indeed!</v>
      </c>
    </row>
    <row r="1281">
      <c r="A1281" s="1">
        <v>5.0</v>
      </c>
      <c r="B1281" s="1" t="s">
        <v>1273</v>
      </c>
      <c r="C1281" t="str">
        <f>IFERROR(__xludf.DUMMYFUNCTION("GOOGLETRANSLATE(B1281, ""es"", ""en"")"),"Very nice quality and bracelets are very nice and quality, though perhaps too large and measuring 24 cm. They arrived three days earlier than planned and well packaged. I'll tell you when used continuously. Moment very satisfied with the purchase.")</f>
        <v>Very nice quality and bracelets are very nice and quality, though perhaps too large and measuring 24 cm. They arrived three days earlier than planned and well packaged. I'll tell you when used continuously. Moment very satisfied with the purchase.</v>
      </c>
    </row>
    <row r="1282">
      <c r="A1282" s="1">
        <v>5.0</v>
      </c>
      <c r="B1282" s="1" t="s">
        <v>1274</v>
      </c>
      <c r="C1282" t="str">
        <f>IFERROR(__xludf.DUMMYFUNCTION("GOOGLETRANSLATE(B1282, ""es"", ""en"")"),"Esther Maravillosos perez comfortable and extraordinary excellent and good color quality and speed achieved buy price much safer")</f>
        <v>Esther Maravillosos perez comfortable and extraordinary excellent and good color quality and speed achieved buy price much safer</v>
      </c>
    </row>
    <row r="1283">
      <c r="A1283" s="1">
        <v>5.0</v>
      </c>
      <c r="B1283" s="1" t="s">
        <v>1275</v>
      </c>
      <c r="C1283" t="str">
        <f>IFERROR(__xludf.DUMMYFUNCTION("GOOGLETRANSLATE(B1283, ""es"", ""en"")"),"As if they were made on my foot. I is perfect and is very stable, was a little scared to come very wide at the instep as others I've bought from Amazon but not so, collects fine heel shoes other thing that I do not much more expensive. Its price is not ex"&amp;"pected to be skin but are well finished and comfy.")</f>
        <v>As if they were made on my foot. I is perfect and is very stable, was a little scared to come very wide at the instep as others I've bought from Amazon but not so, collects fine heel shoes other thing that I do not much more expensive. Its price is not expected to be skin but are well finished and comfy.</v>
      </c>
    </row>
    <row r="1284">
      <c r="A1284" s="1">
        <v>5.0</v>
      </c>
      <c r="B1284" s="1" t="s">
        <v>1276</v>
      </c>
      <c r="C1284" t="str">
        <f>IFERROR(__xludf.DUMMYFUNCTION("GOOGLETRANSLATE(B1284, ""es"", ""en"")"),"Very good Good bambas and buy prime day, ie on July 15 about 23 € or so, great!")</f>
        <v>Very good Good bambas and buy prime day, ie on July 15 about 23 € or so, great!</v>
      </c>
    </row>
    <row r="1285">
      <c r="A1285" s="1">
        <v>5.0</v>
      </c>
      <c r="B1285" s="1" t="s">
        <v>1277</v>
      </c>
      <c r="C1285" t="str">
        <f>IFERROR(__xludf.DUMMYFUNCTION("GOOGLETRANSLATE(B1285, ""es"", ""en"")"),"Highly recommended Great, I had two massagers, no comparison with this, I asked for another gift in princio works perfectly and is most like there is a real massage.")</f>
        <v>Highly recommended Great, I had two massagers, no comparison with this, I asked for another gift in princio works perfectly and is most like there is a real massage.</v>
      </c>
    </row>
    <row r="1286">
      <c r="A1286" s="1">
        <v>5.0</v>
      </c>
      <c r="B1286" s="1" t="s">
        <v>1278</v>
      </c>
      <c r="C1286" t="str">
        <f>IFERROR(__xludf.DUMMYFUNCTION("GOOGLETRANSLATE(B1286, ""es"", ""en"")"),"It seems not but when you see the article seems incredible that you collect or organize cables, but if what he does and does it well, with that yes, a little patience. You can either three or four cables, with more ...")</f>
        <v>It seems not but when you see the article seems incredible that you collect or organize cables, but if what he does and does it well, with that yes, a little patience. You can either three or four cables, with more ...</v>
      </c>
    </row>
    <row r="1287">
      <c r="A1287" s="1">
        <v>5.0</v>
      </c>
      <c r="B1287" s="1" t="s">
        <v>1279</v>
      </c>
      <c r="C1287" t="str">
        <f>IFERROR(__xludf.DUMMYFUNCTION("GOOGLETRANSLATE(B1287, ""es"", ""en"")"),"An icon charming but somewhat dated I've been following this watch for months at Amazon hoping fall below 300 euros, without success. I have finally bought second-hand at a reasonable price. Actually the price has fluctuated widely (see figure since 2014)"&amp;" although it has become shooting since he is rumored to have stopped making the model. This has not been confirmed and serious sellers have disproved but does not prevent the price is above the 250 € which is what had been customary. EDIT: confirmed, is a"&amp;"llowed to manufacture since July 2019. During this time I've been reading a lot about the model so I would like to share my opinion once I have it in my hands. + Classic design of the Seiko Diver. The SKX007 are manufactured since 1996 and have earned a p"&amp;"lace in any collection that boasts. If you are reading this is the model you like ... + Auto, Seiko 7S26 movement. You can not be wound and stop the second hand. On the other hand it is very reliable and is reputed to need little maintenance (10 years?). "&amp;"My unit is quite accurate and does not advance or delayed more than 5 seconds day. + Resistant to 200M ISO. So it meets rigorous standards to ensure these values ​​+ Dimensions is big (42 mm from 9h to 3h) and heavy, normal for a diving watch. However the"&amp;" design of the box, the distance between the ends (44 mm 12h at 6) and the curvature that is not very large dolls is very good. + Bracelet: for me the weakest point of the clock. I do not like. Very flexible links are very loose giving cheap feeling. I've"&amp;" also caught a smidge ... It will be the first thing to change. + Materials: - Glass hardlex: my watch is from 2015 and has a little scratch, like other watches that have mineral crystal with similar age. So I see no added value. It can be changed by sapp"&amp;"hire crystal. - Aluminum Bezel: mine is pristine but are reputed to be scratched just by looking at them. Although you can also find scratchproof ceramics. - Lumen: Painting owns Seiko LumiBrite applied to the dial needles and a small dot on the chamfer. "&amp;"It's awesome intensity (by loading a little sun or UV light) and duration you have. I have not seen anything like it. In short, it is a classic that has become obsolete in performance, but it has a charm that makes it very attractive. 300 € ?, but if you "&amp;"think coolly there are more modern options such as Orient Ray II with better performance movement for 170 €.")</f>
        <v>An icon charming but somewhat dated I've been following this watch for months at Amazon hoping fall below 300 euros, without success. I have finally bought second-hand at a reasonable price. Actually the price has fluctuated widely (see figure since 2014) although it has become shooting since he is rumored to have stopped making the model. This has not been confirmed and serious sellers have disproved but does not prevent the price is above the 250 € which is what had been customary. EDIT: confirmed, is allowed to manufacture since July 2019. During this time I've been reading a lot about the model so I would like to share my opinion once I have it in my hands. + Classic design of the Seiko Diver. The SKX007 are manufactured since 1996 and have earned a place in any collection that boasts. If you are reading this is the model you like ... + Auto, Seiko 7S26 movement. You can not be wound and stop the second hand. On the other hand it is very reliable and is reputed to need little maintenance (10 years?). My unit is quite accurate and does not advance or delayed more than 5 seconds day. + Resistant to 200M ISO. So it meets rigorous standards to ensure these values ​​+ Dimensions is big (42 mm from 9h to 3h) and heavy, normal for a diving watch. However the design of the box, the distance between the ends (44 mm 12h at 6) and the curvature that is not very large dolls is very good. + Bracelet: for me the weakest point of the clock. I do not like. Very flexible links are very loose giving cheap feeling. I've also caught a smidge ... It will be the first thing to change. + Materials: - Glass hardlex: my watch is from 2015 and has a little scratch, like other watches that have mineral crystal with similar age. So I see no added value. It can be changed by sapphire crystal. - Aluminum Bezel: mine is pristine but are reputed to be scratched just by looking at them. Although you can also find scratchproof ceramics. - Lumen: Painting owns Seiko LumiBrite applied to the dial needles and a small dot on the chamfer. It's awesome intensity (by loading a little sun or UV light) and duration you have. I have not seen anything like it. In short, it is a classic that has become obsolete in performance, but it has a charm that makes it very attractive. 300 € ?, but if you think coolly there are more modern options such as Orient Ray II with better performance movement for 170 €.</v>
      </c>
    </row>
    <row r="1288">
      <c r="A1288" s="1">
        <v>5.0</v>
      </c>
      <c r="B1288" s="1" t="s">
        <v>1280</v>
      </c>
      <c r="C1288" t="str">
        <f>IFERROR(__xludf.DUMMYFUNCTION("GOOGLETRANSLATE(B1288, ""es"", ""en"")"),"Perfect Perfect, as seen. Would buy, fabric quality and came in just one day.")</f>
        <v>Perfect Perfect, as seen. Would buy, fabric quality and came in just one day.</v>
      </c>
    </row>
    <row r="1289">
      <c r="A1289" s="1">
        <v>5.0</v>
      </c>
      <c r="B1289" s="1" t="s">
        <v>1281</v>
      </c>
      <c r="C1289" t="str">
        <f>IFERROR(__xludf.DUMMYFUNCTION("GOOGLETRANSLATE(B1289, ""es"", ""en"")"),"Small and very fast recommended BUYING Very compact and pleasant to use and fast: reaches speeds of USB3 on GIGABIT / s or what is the same about 100 megabytes / S for large files. If equally reliable than my other two units usb3 toshiba I have for some y"&amp;"ears ... it is a round purchase. Toshiba fine for not having rushed to launch this unit to the market to provide accurate and reliable unit. Other manufacturers like MAXTOR / SEAGATE already have market their units 4tb a while ... Eventually we'll see if "&amp;"we can say that this unit is worthy of reliability that has always represented toshiba computer or have waste-to -see-si-guanta-to-findegarantía as so abhorrent brands like MAXTOR / SEAGATE on this type of external devices. Note. Maxtor is a brand that in"&amp;" the past was synonymous with good quality. After being bought by some seagate seagate years ago it sells shoddy trash under this brand ... and if you look at the comments in 2.5 external drives 4TB of Maxtor brand in this own amazon.es. .. the only negat"&amp;"ive about this device is that the manufacturer has not put some rubber feet to support the unit and carry all previous external drives toshiba Do not explain it to me! I had to buy some sticky jelly beans to put them under the unit ¿What have you done tos"&amp;"hiba ??? Final Note .: Never move a mechanical hard drive after having conenctado to the computer / tv / apparatus which is the cause of most failures and breaks in these units.")</f>
        <v>Small and very fast recommended BUYING Very compact and pleasant to use and fast: reaches speeds of USB3 on GIGABIT / s or what is the same about 100 megabytes / S for large files. If equally reliable than my other two units usb3 toshiba I have for some years ... it is a round purchase. Toshiba fine for not having rushed to launch this unit to the market to provide accurate and reliable unit. Other manufacturers like MAXTOR / SEAGATE already have market their units 4tb a while ... Eventually we'll see if we can say that this unit is worthy of reliability that has always represented toshiba computer or have waste-to -see-si-guanta-to-findegarantía as so abhorrent brands like MAXTOR / SEAGATE on this type of external devices. Note. Maxtor is a brand that in the past was synonymous with good quality. After being bought by some seagate seagate years ago it sells shoddy trash under this brand ... and if you look at the comments in 2.5 external drives 4TB of Maxtor brand in this own amazon.es. .. the only negative about this device is that the manufacturer has not put some rubber feet to support the unit and carry all previous external drives toshiba Do not explain it to me! I had to buy some sticky jelly beans to put them under the unit ¿What have you done toshiba ??? Final Note .: Never move a mechanical hard drive after having conenctado to the computer / tv / apparatus which is the cause of most failures and breaks in these units.</v>
      </c>
    </row>
    <row r="1290">
      <c r="A1290" s="1">
        <v>5.0</v>
      </c>
      <c r="B1290" s="1" t="s">
        <v>1282</v>
      </c>
      <c r="C1290" t="str">
        <f>IFERROR(__xludf.DUMMYFUNCTION("GOOGLETRANSLATE(B1290, ""es"", ""en"")"),"They are very comfortable very comfortable shoes are perhaps the most comfortable shoes I've ever had. Size is correct. Very light just weigh. They can be machine washed and dried quickly and as good as new. Of course, if you're prone to static electricit"&amp;"y cramps and give you things to the touch with these shoes go sparks giving everyone !!!")</f>
        <v>They are very comfortable very comfortable shoes are perhaps the most comfortable shoes I've ever had. Size is correct. Very light just weigh. They can be machine washed and dried quickly and as good as new. Of course, if you're prone to static electricity cramps and give you things to the touch with these shoes go sparks giving everyone !!!</v>
      </c>
    </row>
    <row r="1291">
      <c r="A1291" s="1">
        <v>5.0</v>
      </c>
      <c r="B1291" s="1" t="s">
        <v>1283</v>
      </c>
      <c r="C1291" t="str">
        <f>IFERROR(__xludf.DUMMYFUNCTION("GOOGLETRANSLATE(B1291, ""es"", ""en"")"),"Resistant good quality.")</f>
        <v>Resistant good quality.</v>
      </c>
    </row>
    <row r="1292">
      <c r="A1292" s="1">
        <v>5.0</v>
      </c>
      <c r="B1292" s="1" t="s">
        <v>1284</v>
      </c>
      <c r="C1292" t="str">
        <f>IFERROR(__xludf.DUMMYFUNCTION("GOOGLETRANSLATE(B1292, ""es"", ""en"")"),"Leftovers meets the expectations for just under 20 € you have a dive watch, with numbers very clear, day and time, and not being very large is discreet. Highly recommended.")</f>
        <v>Leftovers meets the expectations for just under 20 € you have a dive watch, with numbers very clear, day and time, and not being very large is discreet. Highly recommended.</v>
      </c>
    </row>
    <row r="1293">
      <c r="A1293" s="1">
        <v>5.0</v>
      </c>
      <c r="B1293" s="1" t="s">
        <v>1285</v>
      </c>
      <c r="C1293" t="str">
        <f>IFERROR(__xludf.DUMMYFUNCTION("GOOGLETRANSLATE(B1293, ""es"", ""en"")"),"Heart is very nice and comoda.Megusta lot.")</f>
        <v>Heart is very nice and comoda.Megusta lot.</v>
      </c>
    </row>
    <row r="1294">
      <c r="A1294" s="1">
        <v>5.0</v>
      </c>
      <c r="B1294" s="1" t="s">
        <v>1286</v>
      </c>
      <c r="C1294" t="str">
        <f>IFERROR(__xludf.DUMMYFUNCTION("GOOGLETRANSLATE(B1294, ""es"", ""en"")"),"Perfeto robust performance Very good performance, quiet, powerful and so effective. Reception with complete punctuality. What is surprising, it is compatible with other accessories Boch.")</f>
        <v>Perfeto robust performance Very good performance, quiet, powerful and so effective. Reception with complete punctuality. What is surprising, it is compatible with other accessories Boch.</v>
      </c>
    </row>
    <row r="1295">
      <c r="A1295" s="1">
        <v>5.0</v>
      </c>
      <c r="B1295" s="1" t="s">
        <v>1287</v>
      </c>
      <c r="C1295" t="str">
        <f>IFERROR(__xludf.DUMMYFUNCTION("GOOGLETRANSLATE(B1295, ""es"", ""en"")"),"Terrible service I have spent almost a year with him and started him in love with efficient and quiet it was but a couple of months ago he noticed that autonomy is not what it was, and not stay clean as before. I decided to send him to repair because it i"&amp;"s turned off at the start and after reviewing it with a whole month, I return it with the wheels changed. Intrigued I prove if it really was that and started off as ... I've been sent to repair again, this time with clear cost, but it's not normal operati"&amp;"on or service representative.")</f>
        <v>Terrible service I have spent almost a year with him and started him in love with efficient and quiet it was but a couple of months ago he noticed that autonomy is not what it was, and not stay clean as before. I decided to send him to repair because it is turned off at the start and after reviewing it with a whole month, I return it with the wheels changed. Intrigued I prove if it really was that and started off as ... I've been sent to repair again, this time with clear cost, but it's not normal operation or service representative.</v>
      </c>
    </row>
    <row r="1296">
      <c r="A1296" s="1">
        <v>5.0</v>
      </c>
      <c r="B1296" s="1" t="s">
        <v>1288</v>
      </c>
      <c r="C1296" t="str">
        <f>IFERROR(__xludf.DUMMYFUNCTION("GOOGLETRANSLATE(B1296, ""es"", ""en"")"),"GOOD PRODUCT are very nice and comfortable. 100% recommend purchase. They are prettier than in the photo.")</f>
        <v>GOOD PRODUCT are very nice and comfortable. 100% recommend purchase. They are prettier than in the photo.</v>
      </c>
    </row>
    <row r="1297">
      <c r="A1297" s="1">
        <v>5.0</v>
      </c>
      <c r="B1297" s="1" t="s">
        <v>1289</v>
      </c>
      <c r="C1297" t="str">
        <f>IFERROR(__xludf.DUMMYFUNCTION("GOOGLETRANSLATE(B1297, ""es"", ""en"")"),"Simple is just what I expected and it works perfectly, makes no noise, and easy to use")</f>
        <v>Simple is just what I expected and it works perfectly, makes no noise, and easy to use</v>
      </c>
    </row>
    <row r="1298">
      <c r="A1298" s="1">
        <v>2.0</v>
      </c>
      <c r="B1298" s="1" t="s">
        <v>1290</v>
      </c>
      <c r="C1298" t="str">
        <f>IFERROR(__xludf.DUMMYFUNCTION("GOOGLETRANSLATE(B1298, ""es"", ""en"")"),"Regular Na again came the premiere and the brush is a good estropeao jajajajaj, there will be d price")</f>
        <v>Regular Na again came the premiere and the brush is a good estropeao jajajajaj, there will be d price</v>
      </c>
    </row>
    <row r="1299">
      <c r="A1299" s="1">
        <v>3.0</v>
      </c>
      <c r="B1299" s="1" t="s">
        <v>1291</v>
      </c>
      <c r="C1299" t="str">
        <f>IFERROR(__xludf.DUMMYFUNCTION("GOOGLETRANSLATE(B1299, ""es"", ""en"")"),"Not color photo The pants are a normal sweatpants, comfortable and breathable. The problem is that in the photos the black color is seen as a black matte and enrealidad is a brilliant black color.")</f>
        <v>Not color photo The pants are a normal sweatpants, comfortable and breathable. The problem is that in the photos the black color is seen as a black matte and enrealidad is a brilliant black color.</v>
      </c>
    </row>
    <row r="1300">
      <c r="A1300" s="1">
        <v>3.0</v>
      </c>
      <c r="B1300" s="1" t="s">
        <v>1292</v>
      </c>
      <c r="C1300" t="str">
        <f>IFERROR(__xludf.DUMMYFUNCTION("GOOGLETRANSLATE(B1300, ""es"", ""en"")"),"I chose the exact size exact size of my foot so I left well. I really like the color white for the shoes but the truth is that super fast and get dirty if they are fabric. No doubt they recommend because they are comfortable and combined with any clothing"&amp;" .... but be careful with them.")</f>
        <v>I chose the exact size exact size of my foot so I left well. I really like the color white for the shoes but the truth is that super fast and get dirty if they are fabric. No doubt they recommend because they are comfortable and combined with any clothing .... but be careful with them.</v>
      </c>
    </row>
    <row r="1301">
      <c r="A1301" s="1">
        <v>1.0</v>
      </c>
      <c r="B1301" s="1" t="s">
        <v>1293</v>
      </c>
      <c r="C1301" t="str">
        <f>IFERROR(__xludf.DUMMYFUNCTION("GOOGLETRANSLATE(B1301, ""es"", ""en"")"),"It has broken a rod. The skimmer is fine, it looks powerful and robust. The metal rods are good too, but brings with plastic propeller used to mix matcha tea ... until it has broken with less than a month of use. No longer I serve me for what I bought. A "&amp;"shame.")</f>
        <v>It has broken a rod. The skimmer is fine, it looks powerful and robust. The metal rods are good too, but brings with plastic propeller used to mix matcha tea ... until it has broken with less than a month of use. No longer I serve me for what I bought. A shame.</v>
      </c>
    </row>
    <row r="1302">
      <c r="A1302" s="1">
        <v>4.0</v>
      </c>
      <c r="B1302" s="1" t="s">
        <v>1294</v>
      </c>
      <c r="C1302" t="str">
        <f>IFERROR(__xludf.DUMMYFUNCTION("GOOGLETRANSLATE(B1302, ""es"", ""en"")"),"Sound and comfort Headphones are great, comfortable and very good sound, I have not had time to assess the durability, I hope it's good ..")</f>
        <v>Sound and comfort Headphones are great, comfortable and very good sound, I have not had time to assess the durability, I hope it's good ..</v>
      </c>
    </row>
    <row r="1303">
      <c r="A1303" s="1">
        <v>4.0</v>
      </c>
      <c r="B1303" s="1" t="s">
        <v>1295</v>
      </c>
      <c r="C1303" t="str">
        <f>IFERROR(__xludf.DUMMYFUNCTION("GOOGLETRANSLATE(B1303, ""es"", ""en"")"),"Very good buy practic and easy to use, with good power and sound quality.")</f>
        <v>Very good buy practic and easy to use, with good power and sound quality.</v>
      </c>
    </row>
    <row r="1304">
      <c r="A1304" s="1">
        <v>4.0</v>
      </c>
      <c r="B1304" s="1" t="s">
        <v>1296</v>
      </c>
      <c r="C1304" t="str">
        <f>IFERROR(__xludf.DUMMYFUNCTION("GOOGLETRANSLATE(B1304, ""es"", ""en"")"),"A formidable product high vacuum")</f>
        <v>A formidable product high vacuum</v>
      </c>
    </row>
    <row r="1305">
      <c r="A1305" s="1">
        <v>4.0</v>
      </c>
      <c r="B1305" s="1" t="s">
        <v>1297</v>
      </c>
      <c r="C1305" t="str">
        <f>IFERROR(__xludf.DUMMYFUNCTION("GOOGLETRANSLATE(B1305, ""es"", ""en"")"),"Very good micro to podcast I was very hesitant among several cheaper models of other brands, I finally decided on the Rode, much more expensive than it would invest, and I'm delighted. Podcast a very good sharpness is obtained, although it is true that th"&amp;"e foot can be quite unstable, is not much thinking to adjust the angle. It is also true that sometimes many sounds are obtained from the environment and you have to filter it with software or adapting the room.")</f>
        <v>Very good micro to podcast I was very hesitant among several cheaper models of other brands, I finally decided on the Rode, much more expensive than it would invest, and I'm delighted. Podcast a very good sharpness is obtained, although it is true that the foot can be quite unstable, is not much thinking to adjust the angle. It is also true that sometimes many sounds are obtained from the environment and you have to filter it with software or adapting the room.</v>
      </c>
    </row>
    <row r="1306">
      <c r="A1306" s="1">
        <v>4.0</v>
      </c>
      <c r="B1306" s="1" t="s">
        <v>1298</v>
      </c>
      <c r="C1306" t="str">
        <f>IFERROR(__xludf.DUMMYFUNCTION("GOOGLETRANSLATE(B1306, ""es"", ""en"")"),"the lights quite nice awakening, light emits a gradual chipping alarm or radio as you've programmed, very satisfied.")</f>
        <v>the lights quite nice awakening, light emits a gradual chipping alarm or radio as you've programmed, very satisfied.</v>
      </c>
    </row>
    <row r="1307">
      <c r="A1307" s="1">
        <v>5.0</v>
      </c>
      <c r="B1307" s="1" t="s">
        <v>1299</v>
      </c>
      <c r="C1307" t="str">
        <f>IFERROR(__xludf.DUMMYFUNCTION("GOOGLETRANSLATE(B1307, ""es"", ""en"")"),"Ideal full, complete and versatile.")</f>
        <v>Ideal full, complete and versatile.</v>
      </c>
    </row>
    <row r="1308">
      <c r="A1308" s="1">
        <v>5.0</v>
      </c>
      <c r="B1308" s="1" t="s">
        <v>1300</v>
      </c>
      <c r="C1308" t="str">
        <f>IFERROR(__xludf.DUMMYFUNCTION("GOOGLETRANSLATE(B1308, ""es"", ""en"")"),"100% recommended, capacity, speed and guarantee. Just perfect, very high speed in both writing and reading and reliability of Sandisk with warranty great. Applications requiring both save a significant flow of data (eg recording 4k) and in continuous read"&amp;"ings yields undeterred. perfect for action cameras, drones, etc. and enough on smartphones.")</f>
        <v>100% recommended, capacity, speed and guarantee. Just perfect, very high speed in both writing and reading and reliability of Sandisk with warranty great. Applications requiring both save a significant flow of data (eg recording 4k) and in continuous readings yields undeterred. perfect for action cameras, drones, etc. and enough on smartphones.</v>
      </c>
    </row>
    <row r="1309">
      <c r="A1309" s="1">
        <v>5.0</v>
      </c>
      <c r="B1309" s="1" t="s">
        <v>1301</v>
      </c>
      <c r="C1309" t="str">
        <f>IFERROR(__xludf.DUMMYFUNCTION("GOOGLETRANSLATE(B1309, ""es"", ""en"")"),"Very comfortable and beautiful! Very useful as ""wear slippers"" when, above all, looking for comfort without sacrificing style. Yes it is true that large size. If you use a 38, buy 39/40.")</f>
        <v>Very comfortable and beautiful! Very useful as "wear slippers" when, above all, looking for comfort without sacrificing style. Yes it is true that large size. If you use a 38, buy 39/40.</v>
      </c>
    </row>
    <row r="1310">
      <c r="A1310" s="1">
        <v>5.0</v>
      </c>
      <c r="B1310" s="1" t="s">
        <v>1302</v>
      </c>
      <c r="C1310" t="str">
        <f>IFERROR(__xludf.DUMMYFUNCTION("GOOGLETRANSLATE(B1310, ""es"", ""en"")"),"Good buy Excellent value. Bag and magnets to prevent tangling, very practical. repeat purchase")</f>
        <v>Good buy Excellent value. Bag and magnets to prevent tangling, very practical. repeat purchase</v>
      </c>
    </row>
    <row r="1311">
      <c r="A1311" s="1">
        <v>5.0</v>
      </c>
      <c r="B1311" s="1" t="s">
        <v>1303</v>
      </c>
      <c r="C1311" t="str">
        <f>IFERROR(__xludf.DUMMYFUNCTION("GOOGLETRANSLATE(B1311, ""es"", ""en"")"),"Good buy is the second tenemos.El first was from another well-known brand, but I can assure you nothing to do with Bosch He functioning of this is spectacular, great suction power and autonomy. recommended product.")</f>
        <v>Good buy is the second tenemos.El first was from another well-known brand, but I can assure you nothing to do with Bosch He functioning of this is spectacular, great suction power and autonomy. recommended product.</v>
      </c>
    </row>
    <row r="1312">
      <c r="A1312" s="1">
        <v>5.0</v>
      </c>
      <c r="B1312" s="1" t="s">
        <v>1304</v>
      </c>
      <c r="C1312" t="str">
        <f>IFERROR(__xludf.DUMMYFUNCTION("GOOGLETRANSLATE(B1312, ""es"", ""en"")"),"Good quality. Very good quality at a good price. I've never had problems with samsung cards are very fast and always work perfectly.")</f>
        <v>Good quality. Very good quality at a good price. I've never had problems with samsung cards are very fast and always work perfectly.</v>
      </c>
    </row>
    <row r="1313">
      <c r="A1313" s="1">
        <v>5.0</v>
      </c>
      <c r="B1313" s="1" t="s">
        <v>1305</v>
      </c>
      <c r="C1313" t="str">
        <f>IFERROR(__xludf.DUMMYFUNCTION("GOOGLETRANSLATE(B1313, ""es"", ""en"")"),"A very good they coupled to the mobile fast and beautifully hear")</f>
        <v>A very good they coupled to the mobile fast and beautifully hear</v>
      </c>
    </row>
    <row r="1314">
      <c r="A1314" s="1">
        <v>5.0</v>
      </c>
      <c r="B1314" s="1" t="s">
        <v>1306</v>
      </c>
      <c r="C1314" t="str">
        <f>IFERROR(__xludf.DUMMYFUNCTION("GOOGLETRANSLATE(B1314, ""es"", ""en"")"),"Good product'm glad the paste is quite unique esq Anchita and my son very thin otherwise everything is great wash and store anything and does not wrinkle and repeated purchase in another color")</f>
        <v>Good product'm glad the paste is quite unique esq Anchita and my son very thin otherwise everything is great wash and store anything and does not wrinkle and repeated purchase in another color</v>
      </c>
    </row>
    <row r="1315">
      <c r="A1315" s="1">
        <v>5.0</v>
      </c>
      <c r="B1315" s="1" t="s">
        <v>1307</v>
      </c>
      <c r="C1315" t="str">
        <f>IFERROR(__xludf.DUMMYFUNCTION("GOOGLETRANSLATE(B1315, ""es"", ""en"")"),"Great Belt !!! We would have bought my father and looks good and smart !!!")</f>
        <v>Great Belt !!! We would have bought my father and looks good and smart !!!</v>
      </c>
    </row>
    <row r="1316">
      <c r="A1316" s="1">
        <v>5.0</v>
      </c>
      <c r="B1316" s="1" t="s">
        <v>1308</v>
      </c>
      <c r="C1316" t="str">
        <f>IFERROR(__xludf.DUMMYFUNCTION("GOOGLETRANSLATE(B1316, ""es"", ""en"")"),"Very nice looking design, appears to be wood. It is compact, so it looks good anywhere. Bring a few cans of aromatic oils, great detail and you do not have to spend extra money to buy them. It has several time to choose. A success purchase.")</f>
        <v>Very nice looking design, appears to be wood. It is compact, so it looks good anywhere. Bring a few cans of aromatic oils, great detail and you do not have to spend extra money to buy them. It has several time to choose. A success purchase.</v>
      </c>
    </row>
    <row r="1317">
      <c r="A1317" s="1">
        <v>5.0</v>
      </c>
      <c r="B1317" s="1" t="s">
        <v>1309</v>
      </c>
      <c r="C1317" t="str">
        <f>IFERROR(__xludf.DUMMYFUNCTION("GOOGLETRANSLATE(B1317, ""es"", ""en"")"),"The setting and the machine adjusts perfect. And the machine to remove the pins of the links is great. Otherwise, perfect as always Amazon")</f>
        <v>The setting and the machine adjusts perfect. And the machine to remove the pins of the links is great. Otherwise, perfect as always Amazon</v>
      </c>
    </row>
    <row r="1318">
      <c r="A1318" s="1">
        <v>5.0</v>
      </c>
      <c r="B1318" s="1" t="s">
        <v>1310</v>
      </c>
      <c r="C1318" t="str">
        <f>IFERROR(__xludf.DUMMYFUNCTION("GOOGLETRANSLATE(B1318, ""es"", ""en"")"),"Pretty nice and light and light")</f>
        <v>Pretty nice and light and light</v>
      </c>
    </row>
    <row r="1319">
      <c r="A1319" s="1">
        <v>5.0</v>
      </c>
      <c r="B1319" s="1" t="s">
        <v>1311</v>
      </c>
      <c r="C1319" t="str">
        <f>IFERROR(__xludf.DUMMYFUNCTION("GOOGLETRANSLATE(B1319, ""es"", ""en"")"),"The most I can say about casio ?? !! is Quen is the one who sells if casio and original've got to part of life, arrive on time super-packaged with all booklets, as anedota the other day entando in the garage not one broken so I had, and I say this watch i"&amp;"s for life")</f>
        <v>The most I can say about casio ?? !! is Quen is the one who sells if casio and original've got to part of life, arrive on time super-packaged with all booklets, as anedota the other day entando in the garage not one broken so I had, and I say this watch is for life</v>
      </c>
    </row>
    <row r="1320">
      <c r="A1320" s="1">
        <v>5.0</v>
      </c>
      <c r="B1320" s="1" t="s">
        <v>1312</v>
      </c>
      <c r="C1320" t="str">
        <f>IFERROR(__xludf.DUMMYFUNCTION("GOOGLETRANSLATE(B1320, ""es"", ""en"")"),"Compardos for durability always been good, I record at 16x and check 'and perfect. Some have much use and usually last enough. I opted for these by scratch resistant surface.")</f>
        <v>Compardos for durability always been good, I record at 16x and check 'and perfect. Some have much use and usually last enough. I opted for these by scratch resistant surface.</v>
      </c>
    </row>
    <row r="1321">
      <c r="A1321" s="1">
        <v>5.0</v>
      </c>
      <c r="B1321" s="1" t="s">
        <v>1313</v>
      </c>
      <c r="C1321" t="str">
        <f>IFERROR(__xludf.DUMMYFUNCTION("GOOGLETRANSLATE(B1321, ""es"", ""en"")"),"small enough to listen to music devices is enough ........... do not expect great sound. It is practical")</f>
        <v>small enough to listen to music devices is enough ........... do not expect great sound. It is practical</v>
      </c>
    </row>
    <row r="1322">
      <c r="A1322" s="1">
        <v>5.0</v>
      </c>
      <c r="B1322" s="1" t="s">
        <v>1314</v>
      </c>
      <c r="C1322" t="str">
        <f>IFERROR(__xludf.DUMMYFUNCTION("GOOGLETRANSLATE(B1322, ""es"", ""en"")"),"Very satisfied with the usefulness and so far the quality / price is excellent. I've bought for my mother who suddenly lost a lot of view and, of course, watches to ""look"" do not help anything. And in the months that has inches is delighted and even he "&amp;"makes you smile every time tells the time. Every hour if you set it and, of course, whenever you ask.")</f>
        <v>Very satisfied with the usefulness and so far the quality / price is excellent. I've bought for my mother who suddenly lost a lot of view and, of course, watches to "look" do not help anything. And in the months that has inches is delighted and even he makes you smile every time tells the time. Every hour if you set it and, of course, whenever you ask.</v>
      </c>
    </row>
    <row r="1323">
      <c r="A1323" s="1">
        <v>5.0</v>
      </c>
      <c r="B1323" s="1" t="s">
        <v>1315</v>
      </c>
      <c r="C1323" t="str">
        <f>IFERROR(__xludf.DUMMYFUNCTION("GOOGLETRANSLATE(B1323, ""es"", ""en"")"),"Ergonomic Mouse I arrived in a timely manner. It was what I was looking for. Although the first day I hurt the wrist of the change in position over the week I got used and I hope it is useful. It conforms to the description of the product.")</f>
        <v>Ergonomic Mouse I arrived in a timely manner. It was what I was looking for. Although the first day I hurt the wrist of the change in position over the week I got used and I hope it is useful. It conforms to the description of the product.</v>
      </c>
    </row>
    <row r="1324">
      <c r="A1324" s="1">
        <v>5.0</v>
      </c>
      <c r="B1324" s="1" t="s">
        <v>1316</v>
      </c>
      <c r="C1324" t="str">
        <f>IFERROR(__xludf.DUMMYFUNCTION("GOOGLETRANSLATE(B1324, ""es"", ""en"")"),"Good bag bag is well built, good materials and good workmanship. Size is what I wanted ... But I gave it back because the front pocket, the flap has an opening too small for my hand, I do not get well at the bottom. Amazon perfect return.")</f>
        <v>Good bag bag is well built, good materials and good workmanship. Size is what I wanted ... But I gave it back because the front pocket, the flap has an opening too small for my hand, I do not get well at the bottom. Amazon perfect return.</v>
      </c>
    </row>
    <row r="1325">
      <c r="A1325" s="1">
        <v>2.0</v>
      </c>
      <c r="B1325" s="1" t="s">
        <v>1317</v>
      </c>
      <c r="C1325" t="str">
        <f>IFERROR(__xludf.DUMMYFUNCTION("GOOGLETRANSLATE(B1325, ""es"", ""en"")"),"DHL took delivery .TE TI.AVISANPERO NOT BRING WHAT YOU SAY NO TIME OR DAY The product is very fragile, poor and weak.")</f>
        <v>DHL took delivery .TE TI.AVISANPERO NOT BRING WHAT YOU SAY NO TIME OR DAY The product is very fragile, poor and weak.</v>
      </c>
    </row>
    <row r="1326">
      <c r="A1326" s="1">
        <v>3.0</v>
      </c>
      <c r="B1326" s="1" t="s">
        <v>1318</v>
      </c>
      <c r="C1326" t="str">
        <f>IFERROR(__xludf.DUMMYFUNCTION("GOOGLETRANSLATE(B1326, ""es"", ""en"")"),"Okay Okay")</f>
        <v>Okay Okay</v>
      </c>
    </row>
    <row r="1327">
      <c r="A1327" s="1">
        <v>1.0</v>
      </c>
      <c r="B1327" s="1" t="s">
        <v>1319</v>
      </c>
      <c r="C1327" t="str">
        <f>IFERROR(__xludf.DUMMYFUNCTION("GOOGLETRANSLATE(B1327, ""es"", ""en"")"),"Cable toy. If you are looking for a good cable, professional quality, I do not lose sound without background noise, this is not your friend cable.")</f>
        <v>Cable toy. If you are looking for a good cable, professional quality, I do not lose sound without background noise, this is not your friend cable.</v>
      </c>
    </row>
    <row r="1328">
      <c r="A1328" s="1">
        <v>1.0</v>
      </c>
      <c r="B1328" s="1" t="s">
        <v>1320</v>
      </c>
      <c r="C1328" t="str">
        <f>IFERROR(__xludf.DUMMYFUNCTION("GOOGLETRANSLATE(B1328, ""es"", ""en"")"),"Good sound but poor quality of finishes. I was happy because, for the price they have, the sound is very good, but the year has broken my cable and is no longer heard from one side. Cheapness, to the end, is expensive.")</f>
        <v>Good sound but poor quality of finishes. I was happy because, for the price they have, the sound is very good, but the year has broken my cable and is no longer heard from one side. Cheapness, to the end, is expensive.</v>
      </c>
    </row>
    <row r="1329">
      <c r="A1329" s="1">
        <v>1.0</v>
      </c>
      <c r="B1329" s="1" t="s">
        <v>1321</v>
      </c>
      <c r="C1329" t="str">
        <f>IFERROR(__xludf.DUMMYFUNCTION("GOOGLETRANSLATE(B1329, ""es"", ""en"")"),"Does not fulfill its function I bought the anti-colic system that offers this bottle and my child the truth remains the same, the bottle does not have done anything better. So not worth the hassle involved cleaning.")</f>
        <v>Does not fulfill its function I bought the anti-colic system that offers this bottle and my child the truth remains the same, the bottle does not have done anything better. So not worth the hassle involved cleaning.</v>
      </c>
    </row>
    <row r="1330">
      <c r="A1330" s="1">
        <v>4.0</v>
      </c>
      <c r="B1330" s="1" t="s">
        <v>1322</v>
      </c>
      <c r="C1330" t="str">
        <f>IFERROR(__xludf.DUMMYFUNCTION("GOOGLETRANSLATE(B1330, ""es"", ""en"")"),"A good choice in its price range. Hooves are not bad for everyday use and if you're not fussy or going to listen to music from your mobile. Sound much exaggerated makeup pretty low and sometimes causing a slight noise as fog with what kind of music. They "&amp;"thus even in the range of 20 to 40 € are an option to consider.")</f>
        <v>A good choice in its price range. Hooves are not bad for everyday use and if you're not fussy or going to listen to music from your mobile. Sound much exaggerated makeup pretty low and sometimes causing a slight noise as fog with what kind of music. They thus even in the range of 20 to 40 € are an option to consider.</v>
      </c>
    </row>
    <row r="1331">
      <c r="A1331" s="1">
        <v>4.0</v>
      </c>
      <c r="B1331" s="1" t="s">
        <v>1323</v>
      </c>
      <c r="C1331" t="str">
        <f>IFERROR(__xludf.DUMMYFUNCTION("GOOGLETRANSLATE(B1331, ""es"", ""en"")"),"Recommended more than good price for the quality of the disc bearing in mind the implementation of the new SSD. high speeds and noise negligible. Robust materials compared to other brands. Notably and thank as received. Very well protected from impact and"&amp;" moisture. Giving much more confident about other brands and experiences.")</f>
        <v>Recommended more than good price for the quality of the disc bearing in mind the implementation of the new SSD. high speeds and noise negligible. Robust materials compared to other brands. Notably and thank as received. Very well protected from impact and moisture. Giving much more confident about other brands and experiences.</v>
      </c>
    </row>
    <row r="1332">
      <c r="A1332" s="1">
        <v>4.0</v>
      </c>
      <c r="B1332" s="1" t="s">
        <v>1324</v>
      </c>
      <c r="C1332" t="str">
        <f>IFERROR(__xludf.DUMMYFUNCTION("GOOGLETRANSLATE(B1332, ""es"", ""en"")"),"SMOOTH use it to cook for a hundred people and gave no problem. It warmed up a little but within normal")</f>
        <v>SMOOTH use it to cook for a hundred people and gave no problem. It warmed up a little but within normal</v>
      </c>
    </row>
    <row r="1333">
      <c r="A1333" s="1">
        <v>4.0</v>
      </c>
      <c r="B1333" s="1" t="s">
        <v>1325</v>
      </c>
      <c r="C1333" t="str">
        <f>IFERROR(__xludf.DUMMYFUNCTION("GOOGLETRANSLATE(B1333, ""es"", ""en"")"),"Just for photos it is what it is. Nothing else. And as such, it is fine. It is true that costs something to the principle because it will not know how to make it all easier")</f>
        <v>Just for photos it is what it is. Nothing else. And as such, it is fine. It is true that costs something to the principle because it will not know how to make it all easier</v>
      </c>
    </row>
    <row r="1334">
      <c r="A1334" s="1">
        <v>4.0</v>
      </c>
      <c r="B1334" s="1" t="s">
        <v>1326</v>
      </c>
      <c r="C1334" t="str">
        <f>IFERROR(__xludf.DUMMYFUNCTION("GOOGLETRANSLATE(B1334, ""es"", ""en"")"),"Very good sound, but ... great sound quality. Sony application lets you customize them to your liking. The only but I found them is they do not have resistance to water and sweat, is clearly not a headset for sports, but with that price, rainy days wear t"&amp;"hem fear ...")</f>
        <v>Very good sound, but ... great sound quality. Sony application lets you customize them to your liking. The only but I found them is they do not have resistance to water and sweat, is clearly not a headset for sports, but with that price, rainy days wear them fear ...</v>
      </c>
    </row>
    <row r="1335">
      <c r="A1335" s="1">
        <v>5.0</v>
      </c>
      <c r="B1335" s="1" t="s">
        <v>1327</v>
      </c>
      <c r="C1335" t="str">
        <f>IFERROR(__xludf.DUMMYFUNCTION("GOOGLETRANSLATE(B1335, ""es"", ""en"")"),"Just like that photo Very beautiful and very well delivered, with the box of the bell, the stock market and even a tape zeal with teddy bears to close the bag.")</f>
        <v>Just like that photo Very beautiful and very well delivered, with the box of the bell, the stock market and even a tape zeal with teddy bears to close the bag.</v>
      </c>
    </row>
    <row r="1336">
      <c r="A1336" s="1">
        <v>5.0</v>
      </c>
      <c r="B1336" s="1" t="s">
        <v>1328</v>
      </c>
      <c r="C1336" t="str">
        <f>IFERROR(__xludf.DUMMYFUNCTION("GOOGLETRANSLATE(B1336, ""es"", ""en"")"),"Good Very cool")</f>
        <v>Good Very cool</v>
      </c>
    </row>
    <row r="1337">
      <c r="A1337" s="1">
        <v>5.0</v>
      </c>
      <c r="B1337" s="1" t="s">
        <v>1329</v>
      </c>
      <c r="C1337" t="str">
        <f>IFERROR(__xludf.DUMMYFUNCTION("GOOGLETRANSLATE(B1337, ""es"", ""en"")"),"Very well made 100% leather, recommended to 100% can be adjusted very carefully.")</f>
        <v>Very well made 100% leather, recommended to 100% can be adjusted very carefully.</v>
      </c>
    </row>
    <row r="1338">
      <c r="A1338" s="1">
        <v>5.0</v>
      </c>
      <c r="B1338" s="1" t="s">
        <v>1330</v>
      </c>
      <c r="C1338" t="str">
        <f>IFERROR(__xludf.DUMMYFUNCTION("GOOGLETRANSLATE(B1338, ""es"", ""en"")"),"George is very good indeed just that size is a bit long but I was not looking good measures mistake of mine, phenomenal product")</f>
        <v>George is very good indeed just that size is a bit long but I was not looking good measures mistake of mine, phenomenal product</v>
      </c>
    </row>
    <row r="1339">
      <c r="A1339" s="1">
        <v>5.0</v>
      </c>
      <c r="B1339" s="1" t="s">
        <v>1331</v>
      </c>
      <c r="C1339" t="str">
        <f>IFERROR(__xludf.DUMMYFUNCTION("GOOGLETRANSLATE(B1339, ""es"", ""en"")"),"Versatility is the first time I taste this type of headphones, the truth that surprised me. Although it lacks some serious, it is quite useful especially considering they are loaded while they are stored on your box.")</f>
        <v>Versatility is the first time I taste this type of headphones, the truth that surprised me. Although it lacks some serious, it is quite useful especially considering they are loaded while they are stored on your box.</v>
      </c>
    </row>
    <row r="1340">
      <c r="A1340" s="1">
        <v>5.0</v>
      </c>
      <c r="B1340" s="1" t="s">
        <v>1332</v>
      </c>
      <c r="C1340" t="str">
        <f>IFERROR(__xludf.DUMMYFUNCTION("GOOGLETRANSLATE(B1340, ""es"", ""en"")"),"I love. Super quality price. A super come soon. Just open the package and saw it was great strong zippers all good quality, very happy.")</f>
        <v>I love. Super quality price. A super come soon. Just open the package and saw it was great strong zippers all good quality, very happy.</v>
      </c>
    </row>
    <row r="1341">
      <c r="A1341" s="1">
        <v>5.0</v>
      </c>
      <c r="B1341" s="1" t="s">
        <v>1333</v>
      </c>
      <c r="C1341" t="str">
        <f>IFERROR(__xludf.DUMMYFUNCTION("GOOGLETRANSLATE(B1341, ""es"", ""en"")"),"RECOMENDABLE It helps especially circulation. It does not hurt and if it is true that the early days leaves you bruised. Recommended for people who want to improve venous return circulation and relieve the legs.")</f>
        <v>RECOMENDABLE It helps especially circulation. It does not hurt and if it is true that the early days leaves you bruised. Recommended for people who want to improve venous return circulation and relieve the legs.</v>
      </c>
    </row>
    <row r="1342">
      <c r="A1342" s="1">
        <v>5.0</v>
      </c>
      <c r="B1342" s="1" t="s">
        <v>1334</v>
      </c>
      <c r="C1342" t="str">
        <f>IFERROR(__xludf.DUMMYFUNCTION("GOOGLETRANSLATE(B1342, ""es"", ""en"")"),"Cool headphones Very good wireless headphones, have a great autonomy, retaining excellent ear for any sport. It has an excellent quality. Not being as expensive as headphones of the same range. I recommend purchase because it perfectly fits the descriptio"&amp;"n provided by the manufacturer.")</f>
        <v>Cool headphones Very good wireless headphones, have a great autonomy, retaining excellent ear for any sport. It has an excellent quality. Not being as expensive as headphones of the same range. I recommend purchase because it perfectly fits the description provided by the manufacturer.</v>
      </c>
    </row>
    <row r="1343">
      <c r="A1343" s="1">
        <v>5.0</v>
      </c>
      <c r="B1343" s="1" t="s">
        <v>1335</v>
      </c>
      <c r="C1343" t="str">
        <f>IFERROR(__xludf.DUMMYFUNCTION("GOOGLETRANSLATE(B1343, ""es"", ""en"")"),"I love exactly what I wanted, was to make a gift to my daughter and has delighted and also has very little wrist and can be adjusted perfectly")</f>
        <v>I love exactly what I wanted, was to make a gift to my daughter and has delighted and also has very little wrist and can be adjusted perfectly</v>
      </c>
    </row>
    <row r="1344">
      <c r="A1344" s="1">
        <v>5.0</v>
      </c>
      <c r="B1344" s="1" t="s">
        <v>1336</v>
      </c>
      <c r="C1344" t="str">
        <f>IFERROR(__xludf.DUMMYFUNCTION("GOOGLETRANSLATE(B1344, ""es"", ""en"")"),"Super quality I bought several of these cables, and use for balanced mono signal. Fantastic for this use.")</f>
        <v>Super quality I bought several of these cables, and use for balanced mono signal. Fantastic for this use.</v>
      </c>
    </row>
    <row r="1345">
      <c r="A1345" s="1">
        <v>5.0</v>
      </c>
      <c r="B1345" s="1" t="s">
        <v>1337</v>
      </c>
      <c r="C1345" t="str">
        <f>IFERROR(__xludf.DUMMYFUNCTION("GOOGLETRANSLATE(B1345, ""es"", ""en"")"),"They are very comfortable and overjoyed ..... estupendas.Ha been a good recommended buying the recomiendo.Estamos very ContentosEl model is great, comfortable and ligero.Aún have not used it, but the product is as is shown in the photo.")</f>
        <v>They are very comfortable and overjoyed ..... estupendas.Ha been a good recommended buying the recomiendo.Estamos very ContentosEl model is great, comfortable and ligero.Aún have not used it, but the product is as is shown in the photo.</v>
      </c>
    </row>
    <row r="1346">
      <c r="A1346" s="1">
        <v>5.0</v>
      </c>
      <c r="B1346" s="1" t="s">
        <v>1338</v>
      </c>
      <c r="C1346" t="str">
        <f>IFERROR(__xludf.DUMMYFUNCTION("GOOGLETRANSLATE(B1346, ""es"", ""en"")"),"Bluetooth headset Product convenient for your daily life. These headphones have them at work because I may use them without being seen since my hair covers my very small and comfortable. recommended price for quality")</f>
        <v>Bluetooth headset Product convenient for your daily life. These headphones have them at work because I may use them without being seen since my hair covers my very small and comfortable. recommended price for quality</v>
      </c>
    </row>
    <row r="1347">
      <c r="A1347" s="1">
        <v>5.0</v>
      </c>
      <c r="B1347" s="1" t="s">
        <v>1339</v>
      </c>
      <c r="C1347" t="str">
        <f>IFERROR(__xludf.DUMMYFUNCTION("GOOGLETRANSLATE(B1347, ""es"", ""en"")"),"They are practical and comfortable as they are in the picture, the fabric very comfortable and I think the price and quality they offer is great. I wanted them to the beach and are highly recommended both to avoid the sand hot enough to get them into the "&amp;"water.")</f>
        <v>They are practical and comfortable as they are in the picture, the fabric very comfortable and I think the price and quality they offer is great. I wanted them to the beach and are highly recommended both to avoid the sand hot enough to get them into the water.</v>
      </c>
    </row>
    <row r="1348">
      <c r="A1348" s="1">
        <v>5.0</v>
      </c>
      <c r="B1348" s="1" t="s">
        <v>1340</v>
      </c>
      <c r="C1348" t="str">
        <f>IFERROR(__xludf.DUMMYFUNCTION("GOOGLETRANSLATE(B1348, ""es"", ""en"")"),"I liked the wonderful product. The shipping was fast. Good quality and the announcement ACCORDING TO. all great. I recommend thank you very much")</f>
        <v>I liked the wonderful product. The shipping was fast. Good quality and the announcement ACCORDING TO. all great. I recommend thank you very much</v>
      </c>
    </row>
    <row r="1349">
      <c r="A1349" s="1">
        <v>5.0</v>
      </c>
      <c r="B1349" s="1" t="s">
        <v>1341</v>
      </c>
      <c r="C1349" t="str">
        <f>IFERROR(__xludf.DUMMYFUNCTION("GOOGLETRANSLATE(B1349, ""es"", ""en"")"),"Very good buy fine and elegant, and more comfortable than I expected")</f>
        <v>Very good buy fine and elegant, and more comfortable than I expected</v>
      </c>
    </row>
    <row r="1350">
      <c r="A1350" s="1">
        <v>5.0</v>
      </c>
      <c r="B1350" s="1" t="s">
        <v>1342</v>
      </c>
      <c r="C1350" t="str">
        <f>IFERROR(__xludf.DUMMYFUNCTION("GOOGLETRANSLATE(B1350, ""es"", ""en"")"),"Good quality. I've used for my YouTube videos. The truth that is fine using certain programs to improve the recording is very professional. I miss him miss an arm for comfort, because if you use the pad or filter, to have him something away from the face "&amp;"does not sound very high (you must raise your voice). So it is annoying to have to bring the microphone and watch that metal contraption (the base, which is great) planted in front of the keyboard and mouse, consuming all the space on the table, affecting"&amp;" my comfort. I use to tell, so I remove an arm of this ruling only that I find.")</f>
        <v>Good quality. I've used for my YouTube videos. The truth that is fine using certain programs to improve the recording is very professional. I miss him miss an arm for comfort, because if you use the pad or filter, to have him something away from the face does not sound very high (you must raise your voice). So it is annoying to have to bring the microphone and watch that metal contraption (the base, which is great) planted in front of the keyboard and mouse, consuming all the space on the table, affecting my comfort. I use to tell, so I remove an arm of this ruling only that I find.</v>
      </c>
    </row>
    <row r="1351">
      <c r="A1351" s="1">
        <v>5.0</v>
      </c>
      <c r="B1351" s="1" t="s">
        <v>1343</v>
      </c>
      <c r="C1351" t="str">
        <f>IFERROR(__xludf.DUMMYFUNCTION("GOOGLETRANSLATE(B1351, ""es"", ""en"")"),"CORRECT PRODUCT ALL PERFECT")</f>
        <v>CORRECT PRODUCT ALL PERFECT</v>
      </c>
    </row>
    <row r="1352">
      <c r="A1352" s="1">
        <v>5.0</v>
      </c>
      <c r="B1352" s="1" t="s">
        <v>1344</v>
      </c>
      <c r="C1352" t="str">
        <f>IFERROR(__xludf.DUMMYFUNCTION("GOOGLETRANSLATE(B1352, ""es"", ""en"")"),"😁 😁😁")</f>
        <v>😁 😁😁</v>
      </c>
    </row>
    <row r="1353">
      <c r="A1353" s="1">
        <v>5.0</v>
      </c>
      <c r="B1353" s="1" t="s">
        <v>1345</v>
      </c>
      <c r="C1353" t="str">
        <f>IFERROR(__xludf.DUMMYFUNCTION("GOOGLETRANSLATE(B1353, ""es"", ""en"")"),"High-quality headphones and very practical This is a headset of good quality, very practical and very comfortable for everyday use. In the photos you will appreciate the good finishes presenting. They are very light and easy to transport as it can be easi"&amp;"ly folded. The sound is crisp and pleasant. It has a soft tissue level headband to fit well and gently to the head and the pinna. Can be connected via bluetooth to the audio source station, it has USB port for charging the headphones and they can be used "&amp;"wirelessly and has a fairly long half-life of autonomy. They can also be connected via cable to the audio emitting device. I know I bought my partner because I needed a headset to study long hours and watch classes at home and is very happy with how comfo"&amp;"rtable they are. Certainly I recommend the product.")</f>
        <v>High-quality headphones and very practical This is a headset of good quality, very practical and very comfortable for everyday use. In the photos you will appreciate the good finishes presenting. They are very light and easy to transport as it can be easily folded. The sound is crisp and pleasant. It has a soft tissue level headband to fit well and gently to the head and the pinna. Can be connected via bluetooth to the audio source station, it has USB port for charging the headphones and they can be used wirelessly and has a fairly long half-life of autonomy. They can also be connected via cable to the audio emitting device. I know I bought my partner because I needed a headset to study long hours and watch classes at home and is very happy with how comfortable they are. Certainly I recommend the product.</v>
      </c>
    </row>
    <row r="1354">
      <c r="A1354" s="1">
        <v>2.0</v>
      </c>
      <c r="B1354" s="1" t="s">
        <v>1346</v>
      </c>
      <c r="C1354" t="str">
        <f>IFERROR(__xludf.DUMMYFUNCTION("GOOGLETRANSLATE(B1354, ""es"", ""en"")"),"A minute suspicious quality to be charging the LED light broke. I do not know if you return it or keep her, because then it worked very well and light do not think it important. Touch is very nice.")</f>
        <v>A minute suspicious quality to be charging the LED light broke. I do not know if you return it or keep her, because then it worked very well and light do not think it important. Touch is very nice.</v>
      </c>
    </row>
    <row r="1355">
      <c r="A1355" s="1">
        <v>3.0</v>
      </c>
      <c r="B1355" s="1" t="s">
        <v>1347</v>
      </c>
      <c r="C1355" t="str">
        <f>IFERROR(__xludf.DUMMYFUNCTION("GOOGLETRANSLATE(B1355, ""es"", ""en"")"),"Improvable works perfectly. To catch the Blast is correct, but to resave is more expensive; and the entry is this a laughing the plastic with only 1 month of use")</f>
        <v>Improvable works perfectly. To catch the Blast is correct, but to resave is more expensive; and the entry is this a laughing the plastic with only 1 month of use</v>
      </c>
    </row>
    <row r="1356">
      <c r="A1356" s="1">
        <v>3.0</v>
      </c>
      <c r="B1356" s="1" t="s">
        <v>1348</v>
      </c>
      <c r="C1356" t="str">
        <f>IFERROR(__xludf.DUMMYFUNCTION("GOOGLETRANSLATE(B1356, ""es"", ""en"")"),"Corresponds very nice photo. It is very nice")</f>
        <v>Corresponds very nice photo. It is very nice</v>
      </c>
    </row>
    <row r="1357">
      <c r="A1357" s="1">
        <v>1.0</v>
      </c>
      <c r="B1357" s="1" t="s">
        <v>1349</v>
      </c>
      <c r="C1357" t="str">
        <f>IFERROR(__xludf.DUMMYFUNCTION("GOOGLETRANSLATE(B1357, ""es"", ""en"")"),"do not buy them 2.5mm and 2.5mm arrived I are not of that caliber, if I put in the package were 2.5mm but comparing it with wires that have thick are quite finest not recommend purchase")</f>
        <v>do not buy them 2.5mm and 2.5mm arrived I are not of that caliber, if I put in the package were 2.5mm but comparing it with wires that have thick are quite finest not recommend purchase</v>
      </c>
    </row>
    <row r="1358">
      <c r="A1358" s="1">
        <v>1.0</v>
      </c>
      <c r="B1358" s="1" t="s">
        <v>1350</v>
      </c>
      <c r="C1358" t="str">
        <f>IFERROR(__xludf.DUMMYFUNCTION("GOOGLETRANSLATE(B1358, ""es"", ""en"")"),"DEFECTIVE glass tumbler, SE RAJA TO THE wash it by washing glass is glass of warm water has been cracked, purchased last July, I called Technical Support Amazon and do not answer, under warranty. I use very little, it is the second unit happens to me. Att"&amp;"ached photos of the two units, the first unit purchased in foreign trade, such as warranty claim not find tiquet purchase. Both are used rarely and periodically")</f>
        <v>DEFECTIVE glass tumbler, SE RAJA TO THE wash it by washing glass is glass of warm water has been cracked, purchased last July, I called Technical Support Amazon and do not answer, under warranty. I use very little, it is the second unit happens to me. Attached photos of the two units, the first unit purchased in foreign trade, such as warranty claim not find tiquet purchase. Both are used rarely and periodically</v>
      </c>
    </row>
    <row r="1359">
      <c r="A1359" s="1">
        <v>4.0</v>
      </c>
      <c r="B1359" s="1" t="s">
        <v>1351</v>
      </c>
      <c r="C1359" t="str">
        <f>IFERROR(__xludf.DUMMYFUNCTION("GOOGLETRANSLATE(B1359, ""es"", ""en"")"),"Very good headphones comfortable, cable very long. It can be used with 3'5mm jack mic and stereo headset or USB which get surround sound. USB does not work with Nintendo or Xbox 360. Switch can not talk about other consoles.")</f>
        <v>Very good headphones comfortable, cable very long. It can be used with 3'5mm jack mic and stereo headset or USB which get surround sound. USB does not work with Nintendo or Xbox 360. Switch can not talk about other consoles.</v>
      </c>
    </row>
    <row r="1360">
      <c r="A1360" s="1">
        <v>4.0</v>
      </c>
      <c r="B1360" s="1" t="s">
        <v>1352</v>
      </c>
      <c r="C1360" t="str">
        <f>IFERROR(__xludf.DUMMYFUNCTION("GOOGLETRANSLATE(B1360, ""es"", ""en"")"),"I could not very pretty still check the quality of the product because only me I put it once, but I find it beautiful. I put 4 stars because the chain was released, but could fix again.")</f>
        <v>I could not very pretty still check the quality of the product because only me I put it once, but I find it beautiful. I put 4 stars because the chain was released, but could fix again.</v>
      </c>
    </row>
    <row r="1361">
      <c r="A1361" s="1">
        <v>4.0</v>
      </c>
      <c r="B1361" s="1" t="s">
        <v>1353</v>
      </c>
      <c r="C1361" t="str">
        <f>IFERROR(__xludf.DUMMYFUNCTION("GOOGLETRANSLATE(B1361, ""es"", ""en"")"),"It is very good buy for a high school student, it is a canvas bag with a cloth slightly tough and coffee manchadizo for its color. It has several pockets to put everything and separation with a quilted fabric to protect a laptop.")</f>
        <v>It is very good buy for a high school student, it is a canvas bag with a cloth slightly tough and coffee manchadizo for its color. It has several pockets to put everything and separation with a quilted fabric to protect a laptop.</v>
      </c>
    </row>
    <row r="1362">
      <c r="A1362" s="1">
        <v>4.0</v>
      </c>
      <c r="B1362" s="1" t="s">
        <v>1354</v>
      </c>
      <c r="C1362" t="str">
        <f>IFERROR(__xludf.DUMMYFUNCTION("GOOGLETRANSLATE(B1362, ""es"", ""en"")"),"Excellent watch for everyday use. Is a watch that works very well, it meets the expectations of a clock that does not have to envy the most expensive with the same features. Perhaps the only drawback is that having an iPhone, in the morning, after having "&amp;"it in charge, I have to open the application again for the link occurs. But otherwise very good, almost weightless, and very good price.")</f>
        <v>Excellent watch for everyday use. Is a watch that works very well, it meets the expectations of a clock that does not have to envy the most expensive with the same features. Perhaps the only drawback is that having an iPhone, in the morning, after having it in charge, I have to open the application again for the link occurs. But otherwise very good, almost weightless, and very good price.</v>
      </c>
    </row>
    <row r="1363">
      <c r="A1363" s="1">
        <v>4.0</v>
      </c>
      <c r="B1363" s="1" t="s">
        <v>1355</v>
      </c>
      <c r="C1363" t="str">
        <f>IFERROR(__xludf.DUMMYFUNCTION("GOOGLETRANSLATE(B1363, ""es"", ""en"")"),"Good shirt good shirt but I bought big, for 183cm 85kg M size is perfect")</f>
        <v>Good shirt good shirt but I bought big, for 183cm 85kg M size is perfect</v>
      </c>
    </row>
    <row r="1364">
      <c r="A1364" s="1">
        <v>5.0</v>
      </c>
      <c r="B1364" s="1" t="s">
        <v>1356</v>
      </c>
      <c r="C1364" t="str">
        <f>IFERROR(__xludf.DUMMYFUNCTION("GOOGLETRANSLATE(B1364, ""es"", ""en"")"),"Good value for money. Large pen drive, pretty fast, quality feel and a very good price")</f>
        <v>Good value for money. Large pen drive, pretty fast, quality feel and a very good price</v>
      </c>
    </row>
    <row r="1365">
      <c r="A1365" s="1">
        <v>5.0</v>
      </c>
      <c r="B1365" s="1" t="s">
        <v>1357</v>
      </c>
      <c r="C1365" t="str">
        <f>IFERROR(__xludf.DUMMYFUNCTION("GOOGLETRANSLATE(B1365, ""es"", ""en"")"),"Great buy Lovely, large and robust. Super Pita high when the water is hot.")</f>
        <v>Great buy Lovely, large and robust. Super Pita high when the water is hot.</v>
      </c>
    </row>
    <row r="1366">
      <c r="A1366" s="1">
        <v>5.0</v>
      </c>
      <c r="B1366" s="1" t="s">
        <v>1358</v>
      </c>
      <c r="C1366" t="str">
        <f>IFERROR(__xludf.DUMMYFUNCTION("GOOGLETRANSLATE(B1366, ""es"", ""en"")"),"Perfect buy Lovely product That Got here on time and it was in great conditions. I would definitely buy here again, and it was a great offer.")</f>
        <v>Perfect buy Lovely product That Got here on time and it was in great conditions. I would definitely buy here again, and it was a great offer.</v>
      </c>
    </row>
    <row r="1367">
      <c r="A1367" s="1">
        <v>5.0</v>
      </c>
      <c r="B1367" s="1" t="s">
        <v>1359</v>
      </c>
      <c r="C1367" t="str">
        <f>IFERROR(__xludf.DUMMYFUNCTION("GOOGLETRANSLATE(B1367, ""es"", ""en"")"),"Correct test is performed only speed opening the package. For the price it is correct (96 MB / s in reading when they say 95 MB / s).")</f>
        <v>Correct test is performed only speed opening the package. For the price it is correct (96 MB / s in reading when they say 95 MB / s).</v>
      </c>
    </row>
    <row r="1368">
      <c r="A1368" s="1">
        <v>5.0</v>
      </c>
      <c r="B1368" s="1" t="s">
        <v>1360</v>
      </c>
      <c r="C1368" t="str">
        <f>IFERROR(__xludf.DUMMYFUNCTION("GOOGLETRANSLATE(B1368, ""es"", ""en"")"),"Salomon is eapectacular So comfortable. I am delighted. precious")</f>
        <v>Salomon is eapectacular So comfortable. I am delighted. precious</v>
      </c>
    </row>
    <row r="1369">
      <c r="A1369" s="1">
        <v>5.0</v>
      </c>
      <c r="B1369" s="1" t="s">
        <v>1361</v>
      </c>
      <c r="C1369" t="str">
        <f>IFERROR(__xludf.DUMMYFUNCTION("GOOGLETRANSLATE(B1369, ""es"", ""en"")"),"Good quality very happy")</f>
        <v>Good quality very happy</v>
      </c>
    </row>
    <row r="1370">
      <c r="A1370" s="1">
        <v>5.0</v>
      </c>
      <c r="B1370" s="1" t="s">
        <v>1362</v>
      </c>
      <c r="C1370" t="str">
        <f>IFERROR(__xludf.DUMMYFUNCTION("GOOGLETRANSLATE(B1370, ""es"", ""en"")"),"Geniuses excellent sport earphones headphones, listening with a much higher quality audio of my expectations. They have a very professional finish, along with a plastic wrap that make them waterproof. It also has buttons in the ears that although they cou"&amp;"ld be in another besieged that facilitates pressed, you have option to move back or forward songs, play and mute and volume up and down. They fit very well and which makes while doing sport not move anything. 👌🏻 also has magnetized the charging station "&amp;"and is very convenient and practical 🙌🏻")</f>
        <v>Geniuses excellent sport earphones headphones, listening with a much higher quality audio of my expectations. They have a very professional finish, along with a plastic wrap that make them waterproof. It also has buttons in the ears that although they could be in another besieged that facilitates pressed, you have option to move back or forward songs, play and mute and volume up and down. They fit very well and which makes while doing sport not move anything. 👌🏻 also has magnetized the charging station and is very convenient and practical 🙌🏻</v>
      </c>
    </row>
    <row r="1371">
      <c r="A1371" s="1">
        <v>5.0</v>
      </c>
      <c r="B1371" s="1" t="s">
        <v>1363</v>
      </c>
      <c r="C1371" t="str">
        <f>IFERROR(__xludf.DUMMYFUNCTION("GOOGLETRANSLATE(B1371, ""es"", ""en"")"),"Well None of the other world, a cable replaces another already called for the retirement, the same as me, but instead the cable, I must to wait a little longer.")</f>
        <v>Well None of the other world, a cable replaces another already called for the retirement, the same as me, but instead the cable, I must to wait a little longer.</v>
      </c>
    </row>
    <row r="1372">
      <c r="A1372" s="1">
        <v>5.0</v>
      </c>
      <c r="B1372" s="1" t="s">
        <v>1364</v>
      </c>
      <c r="C1372" t="str">
        <f>IFERROR(__xludf.DUMMYFUNCTION("GOOGLETRANSLATE(B1372, ""es"", ""en"")"),"Cleaning quickly and safely not scratch, slides easily over the vinyl record, and also with the auxiliary brush needle is the perfect complement to keep clean your vinyl. It takes up very little space and is very functional. Very satisfied with the purcha"&amp;"se.")</f>
        <v>Cleaning quickly and safely not scratch, slides easily over the vinyl record, and also with the auxiliary brush needle is the perfect complement to keep clean your vinyl. It takes up very little space and is very functional. Very satisfied with the purchase.</v>
      </c>
    </row>
    <row r="1373">
      <c r="A1373" s="1">
        <v>5.0</v>
      </c>
      <c r="B1373" s="1" t="s">
        <v>1365</v>
      </c>
      <c r="C1373" t="str">
        <f>IFERROR(__xludf.DUMMYFUNCTION("GOOGLETRANSLATE(B1373, ""es"", ""en"")"),"Quality / price GENIAL I liked, speed of service, quality / price can not ask for more, it is very clean and great Molon! Surely I'll buy some more.")</f>
        <v>Quality / price GENIAL I liked, speed of service, quality / price can not ask for more, it is very clean and great Molon! Surely I'll buy some more.</v>
      </c>
    </row>
    <row r="1374">
      <c r="A1374" s="1">
        <v>5.0</v>
      </c>
      <c r="B1374" s="1" t="s">
        <v>1366</v>
      </c>
      <c r="C1374" t="str">
        <f>IFERROR(__xludf.DUMMYFUNCTION("GOOGLETRANSLATE(B1374, ""es"", ""en"")"),"PENDING We liked AROS are in perfect condition")</f>
        <v>PENDING We liked AROS are in perfect condition</v>
      </c>
    </row>
    <row r="1375">
      <c r="A1375" s="1">
        <v>5.0</v>
      </c>
      <c r="B1375" s="1" t="s">
        <v>1367</v>
      </c>
      <c r="C1375" t="str">
        <f>IFERROR(__xludf.DUMMYFUNCTION("GOOGLETRANSLATE(B1375, ""es"", ""en"")"),"Perfect Perfect Everything works perfectly, meets all expectations, fast shipping.")</f>
        <v>Perfect Perfect Everything works perfectly, meets all expectations, fast shipping.</v>
      </c>
    </row>
    <row r="1376">
      <c r="A1376" s="1">
        <v>5.0</v>
      </c>
      <c r="B1376" s="1" t="s">
        <v>1368</v>
      </c>
      <c r="C1376" t="str">
        <f>IFERROR(__xludf.DUMMYFUNCTION("GOOGLETRANSLATE(B1376, ""es"", ""en"")"),"Very fluid I got put into a computer for multimedia, it only takes charge of the operating system, so I opted for the 60GB, since I have a NAS with movies and so on, the drive is SSD so it is not mechanical and goes very fluid")</f>
        <v>Very fluid I got put into a computer for multimedia, it only takes charge of the operating system, so I opted for the 60GB, since I have a NAS with movies and so on, the drive is SSD so it is not mechanical and goes very fluid</v>
      </c>
    </row>
    <row r="1377">
      <c r="A1377" s="1">
        <v>5.0</v>
      </c>
      <c r="B1377" s="1" t="s">
        <v>1369</v>
      </c>
      <c r="C1377" t="str">
        <f>IFERROR(__xludf.DUMMYFUNCTION("GOOGLETRANSLATE(B1377, ""es"", ""en"")"),"Phenomenal recommended")</f>
        <v>Phenomenal recommended</v>
      </c>
    </row>
    <row r="1378">
      <c r="A1378" s="1">
        <v>5.0</v>
      </c>
      <c r="B1378" s="1" t="s">
        <v>1370</v>
      </c>
      <c r="C1378" t="str">
        <f>IFERROR(__xludf.DUMMYFUNCTION("GOOGLETRANSLATE(B1378, ""es"", ""en"")"),"RFID - ANTI-FRAUD Delivery time is very good. The product is what it claims to be. The cover is flexible and seems durable. I have wide edges, I imagine that will not break easily. In billfolds you narrow probably fit very fair")</f>
        <v>RFID - ANTI-FRAUD Delivery time is very good. The product is what it claims to be. The cover is flexible and seems durable. I have wide edges, I imagine that will not break easily. In billfolds you narrow probably fit very fair</v>
      </c>
    </row>
    <row r="1379">
      <c r="A1379" s="1">
        <v>5.0</v>
      </c>
      <c r="B1379" s="1" t="s">
        <v>1371</v>
      </c>
      <c r="C1379" t="str">
        <f>IFERROR(__xludf.DUMMYFUNCTION("GOOGLETRANSLATE(B1379, ""es"", ""en"")"),"Quality / Price The day I bought (September 4th. 2017), was undoubtedly the best SSD for quality / price. Not only by the speed of reading and writing, but also by the ability. It works great and gives a great speed boost to any computer that is installed"&amp;". Pros: speed, easy installation and capacity Cons: None Recommended to anyone who wants to give a speed change to your computer or laptop")</f>
        <v>Quality / Price The day I bought (September 4th. 2017), was undoubtedly the best SSD for quality / price. Not only by the speed of reading and writing, but also by the ability. It works great and gives a great speed boost to any computer that is installed. Pros: speed, easy installation and capacity Cons: None Recommended to anyone who wants to give a speed change to your computer or laptop</v>
      </c>
    </row>
    <row r="1380">
      <c r="A1380" s="1">
        <v>5.0</v>
      </c>
      <c r="B1380" s="1" t="s">
        <v>1372</v>
      </c>
      <c r="C1380" t="str">
        <f>IFERROR(__xludf.DUMMYFUNCTION("GOOGLETRANSLATE(B1380, ""es"", ""en"")"),"Good finish and very comfortable. For now very well, it meets specified in the sale of the item. Well finished working properly and very comfortable straps. you can not ask for 15 €.")</f>
        <v>Good finish and very comfortable. For now very well, it meets specified in the sale of the item. Well finished working properly and very comfortable straps. you can not ask for 15 €.</v>
      </c>
    </row>
    <row r="1381">
      <c r="A1381" s="1">
        <v>5.0</v>
      </c>
      <c r="B1381" s="1" t="s">
        <v>1373</v>
      </c>
      <c r="C1381" t="str">
        <f>IFERROR(__xludf.DUMMYFUNCTION("GOOGLETRANSLATE(B1381, ""es"", ""en"")"),"Worth buying, even 2 units !! It's just great! The mechanism is super basic, but really useful. Does the job! We bought it to clean the radiators inside wet and it's a blast !! Impeccable have stayed in a few minutes! The only thing that the radiator has "&amp;"segments with the grooves estrechitas costs more. Pure bliss !! normally aspire and at this time we usually clean the rollers with plastic hairs typical of the Chinese ... and just to pull .... NOTHING TO DO !!! It is immaculate. the washer and the next. "&amp;"3 year warranty as well!")</f>
        <v>Worth buying, even 2 units !! It's just great! The mechanism is super basic, but really useful. Does the job! We bought it to clean the radiators inside wet and it's a blast !! Impeccable have stayed in a few minutes! The only thing that the radiator has segments with the grooves estrechitas costs more. Pure bliss !! normally aspire and at this time we usually clean the rollers with plastic hairs typical of the Chinese ... and just to pull .... NOTHING TO DO !!! It is immaculate. the washer and the next. 3 year warranty as well!</v>
      </c>
    </row>
    <row r="1382">
      <c r="A1382" s="1">
        <v>5.0</v>
      </c>
      <c r="B1382" s="1" t="s">
        <v>1374</v>
      </c>
      <c r="C1382" t="str">
        <f>IFERROR(__xludf.DUMMYFUNCTION("GOOGLETRANSLATE(B1382, ""es"", ""en"")"),"BEAUTIFUL AND COMFORTABLE is prettier in the hand that you see in the photos and pictures and pretty looks, to me is the perfect size to carry the most necessary things in minimum space and very comfortable as it adapts perfectly to the body. The fabric i"&amp;"s really good quality, the truth is that is very elegant and has many details and compartments that make it perfect. I like very much")</f>
        <v>BEAUTIFUL AND COMFORTABLE is prettier in the hand that you see in the photos and pictures and pretty looks, to me is the perfect size to carry the most necessary things in minimum space and very comfortable as it adapts perfectly to the body. The fabric is really good quality, the truth is that is very elegant and has many details and compartments that make it perfect. I like very much</v>
      </c>
    </row>
    <row r="1383">
      <c r="A1383" s="1">
        <v>2.0</v>
      </c>
      <c r="B1383" s="1" t="s">
        <v>1375</v>
      </c>
      <c r="C1383" t="str">
        <f>IFERROR(__xludf.DUMMYFUNCTION("GOOGLETRANSLATE(B1383, ""es"", ""en"")"),"They give much yield a lot. You buy your size and the final will worth your boyfriend.")</f>
        <v>They give much yield a lot. You buy your size and the final will worth your boyfriend.</v>
      </c>
    </row>
    <row r="1384">
      <c r="A1384" s="1">
        <v>3.0</v>
      </c>
      <c r="B1384" s="1" t="s">
        <v>1376</v>
      </c>
      <c r="C1384" t="str">
        <f>IFERROR(__xludf.DUMMYFUNCTION("GOOGLETRANSLATE(B1384, ""es"", ""en"")"),"Wide variety hotmelt covers and sizes discharge their responsibilities, no objections")</f>
        <v>Wide variety hotmelt covers and sizes discharge their responsibilities, no objections</v>
      </c>
    </row>
    <row r="1385">
      <c r="A1385" s="1">
        <v>3.0</v>
      </c>
      <c r="B1385" s="1" t="s">
        <v>1377</v>
      </c>
      <c r="C1385" t="str">
        <f>IFERROR(__xludf.DUMMYFUNCTION("GOOGLETRANSLATE(B1385, ""es"", ""en"")"),"Acceptable passable, but it not used to crush ice, which is what he wanted her ... so little else to say ...")</f>
        <v>Acceptable passable, but it not used to crush ice, which is what he wanted her ... so little else to say ...</v>
      </c>
    </row>
    <row r="1386">
      <c r="A1386" s="1">
        <v>1.0</v>
      </c>
      <c r="B1386" s="1" t="s">
        <v>1378</v>
      </c>
      <c r="C1386" t="str">
        <f>IFERROR(__xludf.DUMMYFUNCTION("GOOGLETRANSLATE(B1386, ""es"", ""en"")"),"does not collect dust rather comfortable to use, it's nothing effective")</f>
        <v>does not collect dust rather comfortable to use, it's nothing effective</v>
      </c>
    </row>
    <row r="1387">
      <c r="A1387" s="1">
        <v>1.0</v>
      </c>
      <c r="B1387" s="1" t="s">
        <v>1379</v>
      </c>
      <c r="C1387" t="str">
        <f>IFERROR(__xludf.DUMMYFUNCTION("GOOGLETRANSLATE(B1387, ""es"", ""en"")"),"Poor quality poor quality. defective came, the temperature control did not work.")</f>
        <v>Poor quality poor quality. defective came, the temperature control did not work.</v>
      </c>
    </row>
    <row r="1388">
      <c r="A1388" s="1">
        <v>1.0</v>
      </c>
      <c r="B1388" s="1" t="s">
        <v>1380</v>
      </c>
      <c r="C1388" t="str">
        <f>IFERROR(__xludf.DUMMYFUNCTION("GOOGLETRANSLATE(B1388, ""es"", ""en"")"),"Discontent comes in a bag, without its original box I bought this product after the return of another Casio was clearly imitation without instructions and with scratched glass ... look for another option in which were certain that came with your Casio box"&amp;" and instructions and saw original photos from users that this brought them. To my surprise again, I received the item in the same way (with instructions, protective glasses and looks original, of course). Discontent receive again so why is for a gift, an"&amp;"d deliver a 12 year old girl a product seems very sad ...")</f>
        <v>Discontent comes in a bag, without its original box I bought this product after the return of another Casio was clearly imitation without instructions and with scratched glass ... look for another option in which were certain that came with your Casio box and instructions and saw original photos from users that this brought them. To my surprise again, I received the item in the same way (with instructions, protective glasses and looks original, of course). Discontent receive again so why is for a gift, and deliver a 12 year old girl a product seems very sad ...</v>
      </c>
    </row>
    <row r="1389">
      <c r="A1389" s="1">
        <v>4.0</v>
      </c>
      <c r="B1389" s="1" t="s">
        <v>1381</v>
      </c>
      <c r="C1389" t="str">
        <f>IFERROR(__xludf.DUMMYFUNCTION("GOOGLETRANSLATE(B1389, ""es"", ""en"")"),"Very useful Just what I wanted, harbors wide colossus but not overwhelmed when the weather is cool in summer. The major drawback .. large eyelets or buttons peqeños")</f>
        <v>Very useful Just what I wanted, harbors wide colossus but not overwhelmed when the weather is cool in summer. The major drawback .. large eyelets or buttons peqeños</v>
      </c>
    </row>
    <row r="1390">
      <c r="A1390" s="1">
        <v>4.0</v>
      </c>
      <c r="B1390" s="1" t="s">
        <v>1382</v>
      </c>
      <c r="C1390" t="str">
        <f>IFERROR(__xludf.DUMMYFUNCTION("GOOGLETRANSLATE(B1390, ""es"", ""en"")"),"Good reliability memory card, the brand is a guarantee of safety and reliability. Good typing speed, very good reading. Perfect for Full HD video. unbeatable price, recommended purchase 100%")</f>
        <v>Good reliability memory card, the brand is a guarantee of safety and reliability. Good typing speed, very good reading. Perfect for Full HD video. unbeatable price, recommended purchase 100%</v>
      </c>
    </row>
    <row r="1391">
      <c r="A1391" s="1">
        <v>4.0</v>
      </c>
      <c r="B1391" s="1" t="s">
        <v>1383</v>
      </c>
      <c r="C1391" t="str">
        <f>IFERROR(__xludf.DUMMYFUNCTION("GOOGLETRANSLATE(B1391, ""es"", ""en"")"),"Normal Well, I rather like jealousy coming out with more ease, not how to explain it. Those of APLI, are more thick and when the strips does not go as q but stumbled out fnoise. These are to be finite d scotch")</f>
        <v>Normal Well, I rather like jealousy coming out with more ease, not how to explain it. Those of APLI, are more thick and when the strips does not go as q but stumbled out fnoise. These are to be finite d scotch</v>
      </c>
    </row>
    <row r="1392">
      <c r="A1392" s="1">
        <v>4.0</v>
      </c>
      <c r="B1392" s="1" t="s">
        <v>1384</v>
      </c>
      <c r="C1392" t="str">
        <f>IFERROR(__xludf.DUMMYFUNCTION("GOOGLETRANSLATE(B1392, ""es"", ""en"")"),"Handsome, comfortable and good quality. They are very handsome, comfortable and good quality expected of a brand like Vans. The pille to buy reconditioned because new seem very expensive for a simple model like this.")</f>
        <v>Handsome, comfortable and good quality. They are very handsome, comfortable and good quality expected of a brand like Vans. The pille to buy reconditioned because new seem very expensive for a simple model like this.</v>
      </c>
    </row>
    <row r="1393">
      <c r="A1393" s="1">
        <v>5.0</v>
      </c>
      <c r="B1393" s="1" t="s">
        <v>1385</v>
      </c>
      <c r="C1393" t="str">
        <f>IFERROR(__xludf.DUMMYFUNCTION("GOOGLETRANSLATE(B1393, ""es"", ""en"")"),"The best ointment within its category. Sending and receiving product within the established times. I practice sport wear joints (knees etc.) and all brands and types of cream I've tasted this is the best. the heat effect is noted. Ideal for applying half "&amp;"an hour before the game.")</f>
        <v>The best ointment within its category. Sending and receiving product within the established times. I practice sport wear joints (knees etc.) and all brands and types of cream I've tasted this is the best. the heat effect is noted. Ideal for applying half an hour before the game.</v>
      </c>
    </row>
    <row r="1394">
      <c r="A1394" s="1">
        <v>5.0</v>
      </c>
      <c r="B1394" s="1" t="s">
        <v>1386</v>
      </c>
      <c r="C1394" t="str">
        <f>IFERROR(__xludf.DUMMYFUNCTION("GOOGLETRANSLATE(B1394, ""es"", ""en"")"),"New Balance just perfect")</f>
        <v>New Balance just perfect</v>
      </c>
    </row>
    <row r="1395">
      <c r="A1395" s="1">
        <v>5.0</v>
      </c>
      <c r="B1395" s="1" t="s">
        <v>1387</v>
      </c>
      <c r="C1395" t="str">
        <f>IFERROR(__xludf.DUMMYFUNCTION("GOOGLETRANSLATE(B1395, ""es"", ""en"")"),"Good design perfect quality. It is very comfortable, the perfect size (I have a 42) and size L is nailed. I have already washed and dried ultrasound. Strongly recommended for its price and quality. Repetire")</f>
        <v>Good design perfect quality. It is very comfortable, the perfect size (I have a 42) and size L is nailed. I have already washed and dried ultrasound. Strongly recommended for its price and quality. Repetire</v>
      </c>
    </row>
    <row r="1396">
      <c r="A1396" s="1">
        <v>5.0</v>
      </c>
      <c r="B1396" s="1" t="s">
        <v>1388</v>
      </c>
      <c r="C1396" t="str">
        <f>IFERROR(__xludf.DUMMYFUNCTION("GOOGLETRANSLATE(B1396, ""es"", ""en"")"),"Excellent quality / price This product is really good at a great price, various brands have used before and liked this much or even more than its competitors")</f>
        <v>Excellent quality / price This product is really good at a great price, various brands have used before and liked this much or even more than its competitors</v>
      </c>
    </row>
    <row r="1397">
      <c r="A1397" s="1">
        <v>5.0</v>
      </c>
      <c r="B1397" s="1" t="s">
        <v>1389</v>
      </c>
      <c r="C1397" t="str">
        <f>IFERROR(__xludf.DUMMYFUNCTION("GOOGLETRANSLATE(B1397, ""es"", ""en"")"),"intensive massage the product has a great advantage is that weighs very little, for any standing height can hereby approved and model 5 massage are very very comfortable, when they are massage can increase longer if you like and different power mode.")</f>
        <v>intensive massage the product has a great advantage is that weighs very little, for any standing height can hereby approved and model 5 massage are very very comfortable, when they are massage can increase longer if you like and different power mode.</v>
      </c>
    </row>
    <row r="1398">
      <c r="A1398" s="1">
        <v>5.0</v>
      </c>
      <c r="B1398" s="1" t="s">
        <v>1390</v>
      </c>
      <c r="C1398" t="str">
        <f>IFERROR(__xludf.DUMMYFUNCTION("GOOGLETRANSLATE(B1398, ""es"", ""en"")"),"As well he expected")</f>
        <v>As well he expected</v>
      </c>
    </row>
    <row r="1399">
      <c r="A1399" s="1">
        <v>5.0</v>
      </c>
      <c r="B1399" s="1" t="s">
        <v>1391</v>
      </c>
      <c r="C1399" t="str">
        <f>IFERROR(__xludf.DUMMYFUNCTION("GOOGLETRANSLATE(B1399, ""es"", ""en"")"),"10 I love quality, as they are seen in the images and I arrived early. Would buy again !! 😊")</f>
        <v>10 I love quality, as they are seen in the images and I arrived early. Would buy again !! 😊</v>
      </c>
    </row>
    <row r="1400">
      <c r="A1400" s="1">
        <v>5.0</v>
      </c>
      <c r="B1400" s="1" t="s">
        <v>1392</v>
      </c>
      <c r="C1400" t="str">
        <f>IFERROR(__xludf.DUMMYFUNCTION("GOOGLETRANSLATE(B1400, ""es"", ""en"")"),"New life for old equipment! Here was an old computer and boot it cost and do anything, but just because we want it for basic tasks (surfing the internet, watch a movie, listen to music and some office tasks) ... we did not want to invest too much in expan"&amp;"d or replace it with a more powerful one. So I decided to put an SSD .. and what a change! For € about 23 and we have a team that has nothing to do with before. Starts in a few seconds ... 20-30! and now everything is much more fluid ... If you want to re"&amp;"live some old computer (desktop or laptop) these discs are an excellent choice and this manufacturer have a quality / price FANTASTIC! Have no doubt! to one of them. Cheers!")</f>
        <v>New life for old equipment! Here was an old computer and boot it cost and do anything, but just because we want it for basic tasks (surfing the internet, watch a movie, listen to music and some office tasks) ... we did not want to invest too much in expand or replace it with a more powerful one. So I decided to put an SSD .. and what a change! For € about 23 and we have a team that has nothing to do with before. Starts in a few seconds ... 20-30! and now everything is much more fluid ... If you want to relive some old computer (desktop or laptop) these discs are an excellent choice and this manufacturer have a quality / price FANTASTIC! Have no doubt! to one of them. Cheers!</v>
      </c>
    </row>
    <row r="1401">
      <c r="A1401" s="1">
        <v>5.0</v>
      </c>
      <c r="B1401" s="1" t="s">
        <v>1393</v>
      </c>
      <c r="C1401" t="str">
        <f>IFERROR(__xludf.DUMMYFUNCTION("GOOGLETRANSLATE(B1401, ""es"", ""en"")"),"Spectacular. Needless to say that a quality product at a price that gives laughter. Shipping on time. Perfect, in a classic shoe.")</f>
        <v>Spectacular. Needless to say that a quality product at a price that gives laughter. Shipping on time. Perfect, in a classic shoe.</v>
      </c>
    </row>
    <row r="1402">
      <c r="A1402" s="1">
        <v>5.0</v>
      </c>
      <c r="B1402" s="1" t="s">
        <v>1394</v>
      </c>
      <c r="C1402" t="str">
        <f>IFERROR(__xludf.DUMMYFUNCTION("GOOGLETRANSLATE(B1402, ""es"", ""en"")"),"To my pleasant surprise firm are good sturdy and the sole is firm")</f>
        <v>To my pleasant surprise firm are good sturdy and the sole is firm</v>
      </c>
    </row>
    <row r="1403">
      <c r="A1403" s="1">
        <v>5.0</v>
      </c>
      <c r="B1403" s="1" t="s">
        <v>1395</v>
      </c>
      <c r="C1403" t="str">
        <f>IFERROR(__xludf.DUMMYFUNCTION("GOOGLETRANSLATE(B1403, ""es"", ""en"")"),"Sturdy, comfortable I have used some like these for about 6 years of constantly running and until a month ago not stopped working one of the two. I bought other peers without hesitation, 6 years of these headphones at this price seems very good investment"&amp;". They are comfortable and hear well.")</f>
        <v>Sturdy, comfortable I have used some like these for about 6 years of constantly running and until a month ago not stopped working one of the two. I bought other peers without hesitation, 6 years of these headphones at this price seems very good investment. They are comfortable and hear well.</v>
      </c>
    </row>
    <row r="1404">
      <c r="A1404" s="1">
        <v>5.0</v>
      </c>
      <c r="B1404" s="1" t="s">
        <v>1396</v>
      </c>
      <c r="C1404" t="str">
        <f>IFERROR(__xludf.DUMMYFUNCTION("GOOGLETRANSLATE(B1404, ""es"", ""en"")"),"Correct size Very good")</f>
        <v>Correct size Very good</v>
      </c>
    </row>
    <row r="1405">
      <c r="A1405" s="1">
        <v>5.0</v>
      </c>
      <c r="B1405" s="1" t="s">
        <v>1397</v>
      </c>
      <c r="C1405" t="str">
        <f>IFERROR(__xludf.DUMMYFUNCTION("GOOGLETRANSLATE(B1405, ""es"", ""en"")"),"Very comfortable The quality is in line with other brand products. They are very comfortable once set. The only thing more uncomfortable is when putting them on and taking them off, because the cords are very widespread.")</f>
        <v>Very comfortable The quality is in line with other brand products. They are very comfortable once set. The only thing more uncomfortable is when putting them on and taking them off, because the cords are very widespread.</v>
      </c>
    </row>
    <row r="1406">
      <c r="A1406" s="1">
        <v>5.0</v>
      </c>
      <c r="B1406" s="1" t="s">
        <v>1398</v>
      </c>
      <c r="C1406" t="str">
        <f>IFERROR(__xludf.DUMMYFUNCTION("GOOGLETRANSLATE(B1406, ""es"", ""en"")"),"A success The product is perfect, as is indicated in the delivery without any trouble or failure. 100% Recommended")</f>
        <v>A success The product is perfect, as is indicated in the delivery without any trouble or failure. 100% Recommended</v>
      </c>
    </row>
    <row r="1407">
      <c r="A1407" s="1">
        <v>5.0</v>
      </c>
      <c r="B1407" s="1" t="s">
        <v>1399</v>
      </c>
      <c r="C1407" t="str">
        <f>IFERROR(__xludf.DUMMYFUNCTION("GOOGLETRANSLATE(B1407, ""es"", ""en"")"),"Pretty good product I liked")</f>
        <v>Pretty good product I liked</v>
      </c>
    </row>
    <row r="1408">
      <c r="A1408" s="1">
        <v>5.0</v>
      </c>
      <c r="B1408" s="1" t="s">
        <v>1400</v>
      </c>
      <c r="C1408" t="str">
        <f>IFERROR(__xludf.DUMMYFUNCTION("GOOGLETRANSLATE(B1408, ""es"", ""en"")"),"very good is very good for ali oli mayonnaise sauces me grind my doing very well. i is very easy to use")</f>
        <v>very good is very good for ali oli mayonnaise sauces me grind my doing very well. i is very easy to use</v>
      </c>
    </row>
    <row r="1409">
      <c r="A1409" s="1">
        <v>5.0</v>
      </c>
      <c r="B1409" s="1" t="s">
        <v>1401</v>
      </c>
      <c r="C1409" t="str">
        <f>IFERROR(__xludf.DUMMYFUNCTION("GOOGLETRANSLATE(B1409, ""es"", ""en"")"),"Mopa good works well considering what it is: a mop. Collects lint and dust. Does not detect stairs, it falls for them. Each cloth can be used twice cleaning it.")</f>
        <v>Mopa good works well considering what it is: a mop. Collects lint and dust. Does not detect stairs, it falls for them. Each cloth can be used twice cleaning it.</v>
      </c>
    </row>
    <row r="1410">
      <c r="A1410" s="1">
        <v>5.0</v>
      </c>
      <c r="B1410" s="1" t="s">
        <v>1402</v>
      </c>
      <c r="C1410" t="str">
        <f>IFERROR(__xludf.DUMMYFUNCTION("GOOGLETRANSLATE(B1410, ""es"", ""en"")"),"Perfect shipping")</f>
        <v>Perfect shipping</v>
      </c>
    </row>
    <row r="1411">
      <c r="A1411" s="1">
        <v>2.0</v>
      </c>
      <c r="B1411" s="1" t="s">
        <v>1403</v>
      </c>
      <c r="C1411" t="str">
        <f>IFERROR(__xludf.DUMMYFUNCTION("GOOGLETRANSLATE(B1411, ""es"", ""en"")"),"Paper are not recommended. nothing resistant")</f>
        <v>Paper are not recommended. nothing resistant</v>
      </c>
    </row>
    <row r="1412">
      <c r="A1412" s="1">
        <v>3.0</v>
      </c>
      <c r="B1412" s="1" t="s">
        <v>1404</v>
      </c>
      <c r="C1412" t="str">
        <f>IFERROR(__xludf.DUMMYFUNCTION("GOOGLETRANSLATE(B1412, ""es"", ""en"")"),"Watch nice but not perfect This is a very nice watch, the only fault is that it comes with display, so the battery will not last 10 years the clock, both the dial and bracelet is very easily scratched and finally is made in China, nothing to do with the q"&amp;"uality of made in Japan. It is a watch that given its price is fine. I would have a special coating the sphere.")</f>
        <v>Watch nice but not perfect This is a very nice watch, the only fault is that it comes with display, so the battery will not last 10 years the clock, both the dial and bracelet is very easily scratched and finally is made in China, nothing to do with the quality of made in Japan. It is a watch that given its price is fine. I would have a special coating the sphere.</v>
      </c>
    </row>
    <row r="1413">
      <c r="A1413" s="1">
        <v>3.0</v>
      </c>
      <c r="B1413" s="1" t="s">
        <v>1405</v>
      </c>
      <c r="C1413" t="str">
        <f>IFERROR(__xludf.DUMMYFUNCTION("GOOGLETRANSLATE(B1413, ""es"", ""en"")"),"It is very effective decidedly average but fine for DIY")</f>
        <v>It is very effective decidedly average but fine for DIY</v>
      </c>
    </row>
    <row r="1414">
      <c r="A1414" s="1">
        <v>1.0</v>
      </c>
      <c r="B1414" s="1" t="s">
        <v>1406</v>
      </c>
      <c r="C1414" t="str">
        <f>IFERROR(__xludf.DUMMYFUNCTION("GOOGLETRANSLATE(B1414, ""es"", ""en"")"),"No I do not advise buying these headphones because the month I use a headset and does not work anywhere ara guarantee you answer 😠😠😠")</f>
        <v>No I do not advise buying these headphones because the month I use a headset and does not work anywhere ara guarantee you answer 😠😠😠</v>
      </c>
    </row>
    <row r="1415">
      <c r="A1415" s="1">
        <v>4.0</v>
      </c>
      <c r="B1415" s="1" t="s">
        <v>1407</v>
      </c>
      <c r="C1415" t="str">
        <f>IFERROR(__xludf.DUMMYFUNCTION("GOOGLETRANSLATE(B1415, ""es"", ""en"")"),"Adidas Good quality and I are stuck with some reservations. After many applications are still in very good quality, in short, I recommend")</f>
        <v>Adidas Good quality and I are stuck with some reservations. After many applications are still in very good quality, in short, I recommend</v>
      </c>
    </row>
    <row r="1416">
      <c r="A1416" s="1">
        <v>4.0</v>
      </c>
      <c r="B1416" s="1" t="s">
        <v>1408</v>
      </c>
      <c r="C1416" t="str">
        <f>IFERROR(__xludf.DUMMYFUNCTION("GOOGLETRANSLATE(B1416, ""es"", ""en"")"),"Perfect Bought on Friday and today picked up early Monday morning, so glad zippers work perfectly, looked at other reviews that gave problems Perfect to wear on the bike but no bulges comes not necessary")</f>
        <v>Perfect Bought on Friday and today picked up early Monday morning, so glad zippers work perfectly, looked at other reviews that gave problems Perfect to wear on the bike but no bulges comes not necessary</v>
      </c>
    </row>
    <row r="1417">
      <c r="A1417" s="1">
        <v>4.0</v>
      </c>
      <c r="B1417" s="1" t="s">
        <v>1409</v>
      </c>
      <c r="C1417" t="str">
        <f>IFERROR(__xludf.DUMMYFUNCTION("GOOGLETRANSLATE(B1417, ""es"", ""en"")"),"Good . Perfect . Watch a little cramped for my taste. Photography, seemed wider. discrete size for digital clock. Resistant. Original. Like good casio: good, nice (a few at the least), cheap. Very attentive seller who answered questions. Thank you .")</f>
        <v>Good . Perfect . Watch a little cramped for my taste. Photography, seemed wider. discrete size for digital clock. Resistant. Original. Like good casio: good, nice (a few at the least), cheap. Very attentive seller who answered questions. Thank you .</v>
      </c>
    </row>
    <row r="1418">
      <c r="A1418" s="1">
        <v>4.0</v>
      </c>
      <c r="B1418" s="1" t="s">
        <v>1410</v>
      </c>
      <c r="C1418" t="str">
        <f>IFERROR(__xludf.DUMMYFUNCTION("GOOGLETRANSLATE(B1418, ""es"", ""en"")"),"recommended Perfect")</f>
        <v>recommended Perfect</v>
      </c>
    </row>
    <row r="1419">
      <c r="A1419" s="1">
        <v>4.0</v>
      </c>
      <c r="B1419" s="1" t="s">
        <v>1411</v>
      </c>
      <c r="C1419" t="str">
        <f>IFERROR(__xludf.DUMMYFUNCTION("GOOGLETRANSLATE(B1419, ""es"", ""en"")"),"It does not correspond to the sizes. I ordered a 39, which is my size, but the sizes of Converse are misleading, since a 39 Converse equivalent to 41 European, much as in the flap of the shoe put 39 Euro.")</f>
        <v>It does not correspond to the sizes. I ordered a 39, which is my size, but the sizes of Converse are misleading, since a 39 Converse equivalent to 41 European, much as in the flap of the shoe put 39 Euro.</v>
      </c>
    </row>
    <row r="1420">
      <c r="A1420" s="1">
        <v>5.0</v>
      </c>
      <c r="B1420" s="1" t="s">
        <v>1412</v>
      </c>
      <c r="C1420" t="str">
        <f>IFERROR(__xludf.DUMMYFUNCTION("GOOGLETRANSLATE(B1420, ""es"", ""en"")"),"Cash hair mix 6 drops with aloe vera gel and leave it on the scalp to act all night. Of course does not make miracles but reversed microhair me I had a normal hairs in a few months. The secret is that much encourages circulation.")</f>
        <v>Cash hair mix 6 drops with aloe vera gel and leave it on the scalp to act all night. Of course does not make miracles but reversed microhair me I had a normal hairs in a few months. The secret is that much encourages circulation.</v>
      </c>
    </row>
    <row r="1421">
      <c r="A1421" s="1">
        <v>5.0</v>
      </c>
      <c r="B1421" s="1" t="s">
        <v>1413</v>
      </c>
      <c r="C1421" t="str">
        <f>IFERROR(__xludf.DUMMYFUNCTION("GOOGLETRANSLATE(B1421, ""es"", ""en"")"),"Good solution to combine breast and bottle already had used this bottle with my eldest son, and it was a great solution to leave it as it did take some exclusive breast-feeding. With my second child did not work as I pulled milk with the breast pump and I"&amp;" was easier other nipple. So if you buy to reconcile with his chest it is perfect. Good packaging, bottle and easy to clean and assemble and disassemble once you get the hang")</f>
        <v>Good solution to combine breast and bottle already had used this bottle with my eldest son, and it was a great solution to leave it as it did take some exclusive breast-feeding. With my second child did not work as I pulled milk with the breast pump and I was easier other nipple. So if you buy to reconcile with his chest it is perfect. Good packaging, bottle and easy to clean and assemble and disassemble once you get the hang</v>
      </c>
    </row>
    <row r="1422">
      <c r="A1422" s="1">
        <v>5.0</v>
      </c>
      <c r="B1422" s="1" t="s">
        <v>1414</v>
      </c>
      <c r="C1422" t="str">
        <f>IFERROR(__xludf.DUMMYFUNCTION("GOOGLETRANSLATE(B1422, ""es"", ""en"")"),"A good product very nice watch was a gift to the child and loved it, perfect size for a child in this case was 9 years.")</f>
        <v>A good product very nice watch was a gift to the child and loved it, perfect size for a child in this case was 9 years.</v>
      </c>
    </row>
    <row r="1423">
      <c r="A1423" s="1">
        <v>5.0</v>
      </c>
      <c r="B1423" s="1" t="s">
        <v>1415</v>
      </c>
      <c r="C1423" t="str">
        <f>IFERROR(__xludf.DUMMYFUNCTION("GOOGLETRANSLATE(B1423, ""es"", ""en"")"),"Perfect !! Good quality, suitable size and finish in good condition. All he got a new rope because it is small and too thick. But the labels are perfect !!")</f>
        <v>Perfect !! Good quality, suitable size and finish in good condition. All he got a new rope because it is small and too thick. But the labels are perfect !!</v>
      </c>
    </row>
    <row r="1424">
      <c r="A1424" s="1">
        <v>5.0</v>
      </c>
      <c r="B1424" s="1" t="s">
        <v>1416</v>
      </c>
      <c r="C1424" t="str">
        <f>IFERROR(__xludf.DUMMYFUNCTION("GOOGLETRANSLATE(B1424, ""es"", ""en"")"),"Very comfortable shape has a very good size and is very comfortable. Perfectly fits the calculator at the bottom and the rest of boligrafos ....")</f>
        <v>Very comfortable shape has a very good size and is very comfortable. Perfectly fits the calculator at the bottom and the rest of boligrafos ....</v>
      </c>
    </row>
    <row r="1425">
      <c r="A1425" s="1">
        <v>5.0</v>
      </c>
      <c r="B1425" s="1" t="s">
        <v>1417</v>
      </c>
      <c r="C1425" t="str">
        <f>IFERROR(__xludf.DUMMYFUNCTION("GOOGLETRANSLATE(B1425, ""es"", ""en"")"),"Good mixer is able to chop ice quickly fat, juicy make creams and leaving any smooth batter. the safety mechanism is very easy to clean and if you've embedded it is not magnificent")</f>
        <v>Good mixer is able to chop ice quickly fat, juicy make creams and leaving any smooth batter. the safety mechanism is very easy to clean and if you've embedded it is not magnificent</v>
      </c>
    </row>
    <row r="1426">
      <c r="A1426" s="1">
        <v>5.0</v>
      </c>
      <c r="B1426" s="1" t="s">
        <v>1418</v>
      </c>
      <c r="C1426" t="str">
        <f>IFERROR(__xludf.DUMMYFUNCTION("GOOGLETRANSLATE(B1426, ""es"", ""en"")"),"Okay fine, something big number, we know that this mark at least one number in this type less and better 2. Long ago that I, well put up the washing machine. Lost none of color.")</f>
        <v>Okay fine, something big number, we know that this mark at least one number in this type less and better 2. Long ago that I, well put up the washing machine. Lost none of color.</v>
      </c>
    </row>
    <row r="1427">
      <c r="A1427" s="1">
        <v>5.0</v>
      </c>
      <c r="B1427" s="1" t="s">
        <v>1419</v>
      </c>
      <c r="C1427" t="str">
        <f>IFERROR(__xludf.DUMMYFUNCTION("GOOGLETRANSLATE(B1427, ""es"", ""en"")"),"I bought beautiful and elegant gift and is happy. It works well. The belt is brown, not garnet as seen in the image. And the sphere is dark blue, not electric blue as in the image. It really is more beautiful in the hand image. I recommend it one hundred "&amp;"percent.")</f>
        <v>I bought beautiful and elegant gift and is happy. It works well. The belt is brown, not garnet as seen in the image. And the sphere is dark blue, not electric blue as in the image. It really is more beautiful in the hand image. I recommend it one hundred percent.</v>
      </c>
    </row>
    <row r="1428">
      <c r="A1428" s="1">
        <v>5.0</v>
      </c>
      <c r="B1428" s="1" t="s">
        <v>1420</v>
      </c>
      <c r="C1428" t="str">
        <f>IFERROR(__xludf.DUMMYFUNCTION("GOOGLETRANSLATE(B1428, ""es"", ""en"")"),"10 product is great product fulfills all my expectations was what I wanted and it works great at the beginning seems uncomfortable but as you're using is that it works comes in handy for gift. I recommend it :)")</f>
        <v>10 product is great product fulfills all my expectations was what I wanted and it works great at the beginning seems uncomfortable but as you're using is that it works comes in handy for gift. I recommend it :)</v>
      </c>
    </row>
    <row r="1429">
      <c r="A1429" s="1">
        <v>5.0</v>
      </c>
      <c r="B1429" s="1" t="s">
        <v>1421</v>
      </c>
      <c r="C1429" t="str">
        <f>IFERROR(__xludf.DUMMYFUNCTION("GOOGLETRANSLATE(B1429, ""es"", ""en"")"),"Very pretty perfect")</f>
        <v>Very pretty perfect</v>
      </c>
    </row>
    <row r="1430">
      <c r="A1430" s="1">
        <v>5.0</v>
      </c>
      <c r="B1430" s="1" t="s">
        <v>1422</v>
      </c>
      <c r="C1430" t="str">
        <f>IFERROR(__xludf.DUMMYFUNCTION("GOOGLETRANSLATE(B1430, ""es"", ""en"")"),"It looks fantastic! Feared that the cheap be out small or poor quality. But it is very good. Fits a water de1,5litros a notebook ... and it looks pretty reinforced and casual but elegant. I recommend purchase.")</f>
        <v>It looks fantastic! Feared that the cheap be out small or poor quality. But it is very good. Fits a water de1,5litros a notebook ... and it looks pretty reinforced and casual but elegant. I recommend purchase.</v>
      </c>
    </row>
    <row r="1431">
      <c r="A1431" s="1">
        <v>5.0</v>
      </c>
      <c r="B1431" s="1" t="s">
        <v>1423</v>
      </c>
      <c r="C1431" t="str">
        <f>IFERROR(__xludf.DUMMYFUNCTION("GOOGLETRANSLATE(B1431, ""es"", ""en"")"),"Fantastic value've blown away by just 2 € a mat with plastic base to prevent slipping. Comfortable and functional with the right size for the mouse and more. 100% Recommended")</f>
        <v>Fantastic value've blown away by just 2 € a mat with plastic base to prevent slipping. Comfortable and functional with the right size for the mouse and more. 100% Recommended</v>
      </c>
    </row>
    <row r="1432">
      <c r="A1432" s="1">
        <v>5.0</v>
      </c>
      <c r="B1432" s="1" t="s">
        <v>1424</v>
      </c>
      <c r="C1432" t="str">
        <f>IFERROR(__xludf.DUMMYFUNCTION("GOOGLETRANSLATE(B1432, ""es"", ""en"")"),"Comfortable and good sound I've been using various headphones days and especially the use to connect to mobile, but also use the MP4 to go jogging. They are quite comfortable and not out of the ears to the exercise. In addition listening to the music and "&amp;"sound quality fairly high.")</f>
        <v>Comfortable and good sound I've been using various headphones days and especially the use to connect to mobile, but also use the MP4 to go jogging. They are quite comfortable and not out of the ears to the exercise. In addition listening to the music and sound quality fairly high.</v>
      </c>
    </row>
    <row r="1433">
      <c r="A1433" s="1">
        <v>5.0</v>
      </c>
      <c r="B1433" s="1" t="s">
        <v>1425</v>
      </c>
      <c r="C1433" t="str">
        <f>IFERROR(__xludf.DUMMYFUNCTION("GOOGLETRANSLATE(B1433, ""es"", ""en"")"),"perfect perfect")</f>
        <v>perfect perfect</v>
      </c>
    </row>
    <row r="1434">
      <c r="A1434" s="1">
        <v>5.0</v>
      </c>
      <c r="B1434" s="1" t="s">
        <v>1426</v>
      </c>
      <c r="C1434" t="str">
        <f>IFERROR(__xludf.DUMMYFUNCTION("GOOGLETRANSLATE(B1434, ""es"", ""en"")"),"The product quality and delivery time. Perfect.")</f>
        <v>The product quality and delivery time. Perfect.</v>
      </c>
    </row>
    <row r="1435">
      <c r="A1435" s="1">
        <v>5.0</v>
      </c>
      <c r="B1435" s="1" t="s">
        <v>1427</v>
      </c>
      <c r="C1435" t="str">
        <f>IFERROR(__xludf.DUMMYFUNCTION("GOOGLETRANSLATE(B1435, ""es"", ""en"")"),"Perfectas quickly. All logos originals. Rapid")</f>
        <v>Perfectas quickly. All logos originals. Rapid</v>
      </c>
    </row>
    <row r="1436">
      <c r="A1436" s="1">
        <v>5.0</v>
      </c>
      <c r="B1436" s="1" t="s">
        <v>1428</v>
      </c>
      <c r="C1436" t="str">
        <f>IFERROR(__xludf.DUMMYFUNCTION("GOOGLETRANSLATE(B1436, ""es"", ""en"")"),"Best Converse of the market a perfect model aesthetic and comfortable, if you're a fan of Converse shoes, this model is perhaps the most discreet because you can not read the brand anywhere, you have to fix a lot to do and perhaps it is this detail that h"&amp;"ave so much charm. Not to mention the color black so great they have created. Buy VERY VERY RECOMMENDED")</f>
        <v>Best Converse of the market a perfect model aesthetic and comfortable, if you're a fan of Converse shoes, this model is perhaps the most discreet because you can not read the brand anywhere, you have to fix a lot to do and perhaps it is this detail that have so much charm. Not to mention the color black so great they have created. Buy VERY VERY RECOMMENDED</v>
      </c>
    </row>
    <row r="1437">
      <c r="A1437" s="1">
        <v>5.0</v>
      </c>
      <c r="B1437" s="1" t="s">
        <v>1429</v>
      </c>
      <c r="C1437" t="str">
        <f>IFERROR(__xludf.DUMMYFUNCTION("GOOGLETRANSLATE(B1437, ""es"", ""en"")"),"Ideal Love")</f>
        <v>Ideal Love</v>
      </c>
    </row>
    <row r="1438">
      <c r="A1438" s="1">
        <v>5.0</v>
      </c>
      <c r="B1438" s="1" t="s">
        <v>1430</v>
      </c>
      <c r="C1438" t="str">
        <f>IFERROR(__xludf.DUMMYFUNCTION("GOOGLETRANSLATE(B1438, ""es"", ""en"")"),"Boot it back. I dont like him.")</f>
        <v>Boot it back. I dont like him.</v>
      </c>
    </row>
    <row r="1439">
      <c r="A1439" s="1">
        <v>2.0</v>
      </c>
      <c r="B1439" s="1" t="s">
        <v>1431</v>
      </c>
      <c r="C1439" t="str">
        <f>IFERROR(__xludf.DUMMYFUNCTION("GOOGLETRANSLATE(B1439, ""es"", ""en"")"),"I spy recorder only records voice notes 6, each of 2 hours is not activated by voice recording has followed the pairs")</f>
        <v>I spy recorder only records voice notes 6, each of 2 hours is not activated by voice recording has followed the pairs</v>
      </c>
    </row>
    <row r="1440">
      <c r="A1440" s="1">
        <v>3.0</v>
      </c>
      <c r="B1440" s="1" t="s">
        <v>1432</v>
      </c>
      <c r="C1440" t="str">
        <f>IFERROR(__xludf.DUMMYFUNCTION("GOOGLETRANSLATE(B1440, ""es"", ""en"")"),"Seriousness met if function, but for my taste it is too weak. Nothing super shipping point came late.")</f>
        <v>Seriousness met if function, but for my taste it is too weak. Nothing super shipping point came late.</v>
      </c>
    </row>
    <row r="1441">
      <c r="A1441" s="1">
        <v>1.0</v>
      </c>
      <c r="B1441" s="1" t="s">
        <v>1433</v>
      </c>
      <c r="C1441" t="str">
        <f>IFERROR(__xludf.DUMMYFUNCTION("GOOGLETRANSLATE(B1441, ""es"", ""en"")"),"False! It seems false. I've tried and I've never worked. It is surely something original, not recommended and say're products should not be here.")</f>
        <v>False! It seems false. I've tried and I've never worked. It is surely something original, not recommended and say're products should not be here.</v>
      </c>
    </row>
    <row r="1442">
      <c r="A1442" s="1">
        <v>1.0</v>
      </c>
      <c r="B1442" s="1" t="s">
        <v>1434</v>
      </c>
      <c r="C1442" t="str">
        <f>IFERROR(__xludf.DUMMYFUNCTION("GOOGLETRANSLATE(B1442, ""es"", ""en"")"),"Product does not meet expectations somewhat different product photo The hood is very loose and all the material is very fine")</f>
        <v>Product does not meet expectations somewhat different product photo The hood is very loose and all the material is very fine</v>
      </c>
    </row>
    <row r="1443">
      <c r="A1443" s="1">
        <v>1.0</v>
      </c>
      <c r="B1443" s="1" t="s">
        <v>1435</v>
      </c>
      <c r="C1443" t="str">
        <f>IFERROR(__xludf.DUMMYFUNCTION("GOOGLETRANSLATE(B1443, ""es"", ""en"")"),"It is more a Pen Drive a Hard Disk is more a Pen Drive a Hard Disk SSD. Because of my profession I have other SSDs and I can say this, despite the brand, which was originally supposed good, is a very bad quality. When you have it in hand it seems to be ra"&amp;"ther a toy, or something bought at these stores ""All at 1 €"". The exterior is a bad material and inside also leaves much to be desired. It is already known that the greatest enemy of these, and other, computing devices, is heat; Well, this particular no"&amp;"thing warms see the computer. If you have to move large files or backups with time, be careful, because it heats quickly, and much, and consequently deteriorates and shortens its life. It is actually rather a USB, a pen drive, memory capacity and more wir"&amp;"ed, yes, but nothing HDD. Conclusion: do not recommend it, unless you whatever you want to use as Pen Drive and sporadic uses; but that this brand has other much cheaper and good quality Pen Drive devices, although with less capacity, yes. However, as har"&amp;"d drive, much better, than just heat up, with better performance and can also be found on Amazon comes formatted exFAT file, which makes it compatible with Mac and PC, but also reduces the ability storage: the SanDisk 1 Tb, on a Mac, about 100 Gigas less "&amp;"about whether what we format to the system files Apple itself. Also it brings (for Windows) application if we want to encrypt files in and keep them safe. For Mac need to download it to your web. It is quite old and poor performance, with an interface rem"&amp;"iniscent of the first computers in the 90 or so, but it does the job of keeping relatively safe files. It gives us the option (payment) to increase the level of encryption and security. Meanwhile, as always, Amazon 10 on shipping, delivery and deadlines.")</f>
        <v>It is more a Pen Drive a Hard Disk is more a Pen Drive a Hard Disk SSD. Because of my profession I have other SSDs and I can say this, despite the brand, which was originally supposed good, is a very bad quality. When you have it in hand it seems to be rather a toy, or something bought at these stores "All at 1 €". The exterior is a bad material and inside also leaves much to be desired. It is already known that the greatest enemy of these, and other, computing devices, is heat; Well, this particular nothing warms see the computer. If you have to move large files or backups with time, be careful, because it heats quickly, and much, and consequently deteriorates and shortens its life. It is actually rather a USB, a pen drive, memory capacity and more wired, yes, but nothing HDD. Conclusion: do not recommend it, unless you whatever you want to use as Pen Drive and sporadic uses; but that this brand has other much cheaper and good quality Pen Drive devices, although with less capacity, yes. However, as hard drive, much better, than just heat up, with better performance and can also be found on Amazon comes formatted exFAT file, which makes it compatible with Mac and PC, but also reduces the ability storage: the SanDisk 1 Tb, on a Mac, about 100 Gigas less about whether what we format to the system files Apple itself. Also it brings (for Windows) application if we want to encrypt files in and keep them safe. For Mac need to download it to your web. It is quite old and poor performance, with an interface reminiscent of the first computers in the 90 or so, but it does the job of keeping relatively safe files. It gives us the option (payment) to increase the level of encryption and security. Meanwhile, as always, Amazon 10 on shipping, delivery and deadlines.</v>
      </c>
    </row>
    <row r="1444">
      <c r="A1444" s="1">
        <v>4.0</v>
      </c>
      <c r="B1444" s="1" t="s">
        <v>1436</v>
      </c>
      <c r="C1444" t="str">
        <f>IFERROR(__xludf.DUMMYFUNCTION("GOOGLETRANSLATE(B1444, ""es"", ""en"")"),"Suitable appropriate. I looked at the picture smaller but still are pretty good")</f>
        <v>Suitable appropriate. I looked at the picture smaller but still are pretty good</v>
      </c>
    </row>
    <row r="1445">
      <c r="A1445" s="1">
        <v>4.0</v>
      </c>
      <c r="B1445" s="1" t="s">
        <v>1437</v>
      </c>
      <c r="C1445" t="str">
        <f>IFERROR(__xludf.DUMMYFUNCTION("GOOGLETRANSLATE(B1445, ""es"", ""en"")"),"Mila recommend more spending 2 sizes 38 and I ordered a 39 were small after-sales service well .... Acceptable")</f>
        <v>Mila recommend more spending 2 sizes 38 and I ordered a 39 were small after-sales service well .... Acceptable</v>
      </c>
    </row>
    <row r="1446">
      <c r="A1446" s="1">
        <v>4.0</v>
      </c>
      <c r="B1446" s="1" t="s">
        <v>1438</v>
      </c>
      <c r="C1446" t="str">
        <f>IFERROR(__xludf.DUMMYFUNCTION("GOOGLETRANSLATE(B1446, ""es"", ""en"")"),"great article I'm happy with this product I was doing very well")</f>
        <v>great article I'm happy with this product I was doing very well</v>
      </c>
    </row>
    <row r="1447">
      <c r="A1447" s="1">
        <v>4.0</v>
      </c>
      <c r="B1447" s="1" t="s">
        <v>1439</v>
      </c>
      <c r="C1447" t="str">
        <f>IFERROR(__xludf.DUMMYFUNCTION("GOOGLETRANSLATE(B1447, ""es"", ""en"")"),"opinion has not liked how quickly the filter is dirty., but everything else meets your expectations. Versatile and lightweight. recommended for all types of cleaning.")</f>
        <v>opinion has not liked how quickly the filter is dirty., but everything else meets your expectations. Versatile and lightweight. recommended for all types of cleaning.</v>
      </c>
    </row>
    <row r="1448">
      <c r="A1448" s="1">
        <v>4.0</v>
      </c>
      <c r="B1448" s="1" t="s">
        <v>1440</v>
      </c>
      <c r="C1448" t="str">
        <f>IFERROR(__xludf.DUMMYFUNCTION("GOOGLETRANSLATE(B1448, ""es"", ""en"")"),"Polyvalent balanced. Comfortable but not from day one. They need to shoot. I choose another number and technical socks medium thickness left me somewhat loose. Thick have not yet tried but imagine remain good but already with the sack means the wetback fo"&amp;"ot condensation temperatures of 5-10 ° C which becomes the temperature standard use, and do not usually perspire by feet. Average use for that number would be enough for me. On hard asphalt. In path they are much better. I hope not to have problems with d"&amp;"etachments sole or water leaks. Well at the moment but without exhaustive testing.")</f>
        <v>Polyvalent balanced. Comfortable but not from day one. They need to shoot. I choose another number and technical socks medium thickness left me somewhat loose. Thick have not yet tried but imagine remain good but already with the sack means the wetback foot condensation temperatures of 5-10 ° C which becomes the temperature standard use, and do not usually perspire by feet. Average use for that number would be enough for me. On hard asphalt. In path they are much better. I hope not to have problems with detachments sole or water leaks. Well at the moment but without exhaustive testing.</v>
      </c>
    </row>
    <row r="1449">
      <c r="A1449" s="1">
        <v>5.0</v>
      </c>
      <c r="B1449" s="1" t="s">
        <v>1441</v>
      </c>
      <c r="C1449" t="str">
        <f>IFERROR(__xludf.DUMMYFUNCTION("GOOGLETRANSLATE(B1449, ""es"", ""en"")"),"Seriousness Super good quality, and value.")</f>
        <v>Seriousness Super good quality, and value.</v>
      </c>
    </row>
    <row r="1450">
      <c r="A1450" s="1">
        <v>5.0</v>
      </c>
      <c r="B1450" s="1" t="s">
        <v>1442</v>
      </c>
      <c r="C1450" t="str">
        <f>IFERROR(__xludf.DUMMYFUNCTION("GOOGLETRANSLATE(B1450, ""es"", ""en"")"),"Very nice very cool, earrings are really nice, discreet with perfect size and perfect to come if prastificada box. Very happy with pearl earrings.")</f>
        <v>Very nice very cool, earrings are really nice, discreet with perfect size and perfect to come if prastificada box. Very happy with pearl earrings.</v>
      </c>
    </row>
    <row r="1451">
      <c r="A1451" s="1">
        <v>5.0</v>
      </c>
      <c r="B1451" s="1" t="s">
        <v>1443</v>
      </c>
      <c r="C1451" t="str">
        <f>IFERROR(__xludf.DUMMYFUNCTION("GOOGLETRANSLATE(B1451, ""es"", ""en"")"),"An incredible shoe is an incredible sport is perfect, and the truth q the tops of the shoe and finished are fine finishes such as anteaño, I use the perfect size 38 and ordered a 38 and I still luxury. Fortunately q did not listen to comments to ask avera"&amp;"ge number or another number xq would have been great. Buy 100% recommended. Thank you")</f>
        <v>An incredible shoe is an incredible sport is perfect, and the truth q the tops of the shoe and finished are fine finishes such as anteaño, I use the perfect size 38 and ordered a 38 and I still luxury. Fortunately q did not listen to comments to ask average number or another number xq would have been great. Buy 100% recommended. Thank you</v>
      </c>
    </row>
    <row r="1452">
      <c r="A1452" s="1">
        <v>5.0</v>
      </c>
      <c r="B1452" s="1" t="s">
        <v>1444</v>
      </c>
      <c r="C1452" t="str">
        <f>IFERROR(__xludf.DUMMYFUNCTION("GOOGLETRANSLATE(B1452, ""es"", ""en"")"),"Perfect are beautiful, very squishy pillow and work perfectly. My 2 year old son is a big deal in the tightest version but it was already expected")</f>
        <v>Perfect are beautiful, very squishy pillow and work perfectly. My 2 year old son is a big deal in the tightest version but it was already expected</v>
      </c>
    </row>
    <row r="1453">
      <c r="A1453" s="1">
        <v>5.0</v>
      </c>
      <c r="B1453" s="1" t="s">
        <v>1445</v>
      </c>
      <c r="C1453" t="str">
        <f>IFERROR(__xludf.DUMMYFUNCTION("GOOGLETRANSLATE(B1453, ""es"", ""en"")"),"Great value highly recommended are wonderful, I bought several essential oils and have very faint smell or just smell in the humidifier but they have an intense aroma without being disagreeable or too strong and leave a pleasant and lasting scent. Six sma"&amp;"ll boats come and smell great all")</f>
        <v>Great value highly recommended are wonderful, I bought several essential oils and have very faint smell or just smell in the humidifier but they have an intense aroma without being disagreeable or too strong and leave a pleasant and lasting scent. Six small boats come and smell great all</v>
      </c>
    </row>
    <row r="1454">
      <c r="A1454" s="1">
        <v>5.0</v>
      </c>
      <c r="B1454" s="1" t="s">
        <v>1446</v>
      </c>
      <c r="C1454" t="str">
        <f>IFERROR(__xludf.DUMMYFUNCTION("GOOGLETRANSLATE(B1454, ""es"", ""en"")"),"Product quality and price have good patience I could not use it we'll see with using the result and quality")</f>
        <v>Product quality and price have good patience I could not use it we'll see with using the result and quality</v>
      </c>
    </row>
    <row r="1455">
      <c r="A1455" s="1">
        <v>5.0</v>
      </c>
      <c r="B1455" s="1" t="s">
        <v>1447</v>
      </c>
      <c r="C1455" t="str">
        <f>IFERROR(__xludf.DUMMYFUNCTION("GOOGLETRANSLATE(B1455, ""es"", ""en"")"),"Cable ok all good and meets the description of the announcement of quality materials for at least 100x100 recommended selling price the first shipment was lost on the way but the seller quickly solved the problem by sending another")</f>
        <v>Cable ok all good and meets the description of the announcement of quality materials for at least 100x100 recommended selling price the first shipment was lost on the way but the seller quickly solved the problem by sending another</v>
      </c>
    </row>
    <row r="1456">
      <c r="A1456" s="1">
        <v>5.0</v>
      </c>
      <c r="B1456" s="1" t="s">
        <v>1448</v>
      </c>
      <c r="C1456" t="str">
        <f>IFERROR(__xludf.DUMMYFUNCTION("GOOGLETRANSLATE(B1456, ""es"", ""en"")"),"Increasingly obsolete but good brand and product is one of the best known brands in the market and does not disappoint, the problem is that mobiles do not allow to pass all apps to the microSD")</f>
        <v>Increasingly obsolete but good brand and product is one of the best known brands in the market and does not disappoint, the problem is that mobiles do not allow to pass all apps to the microSD</v>
      </c>
    </row>
    <row r="1457">
      <c r="A1457" s="1">
        <v>5.0</v>
      </c>
      <c r="B1457" s="1" t="s">
        <v>1449</v>
      </c>
      <c r="C1457" t="str">
        <f>IFERROR(__xludf.DUMMYFUNCTION("GOOGLETRANSLATE(B1457, ""es"", ""en"")"),"Massager neck, shoulder, back. Very good product, I recommend you use the whole family, you can attach to any chair to the height you want.")</f>
        <v>Massager neck, shoulder, back. Very good product, I recommend you use the whole family, you can attach to any chair to the height you want.</v>
      </c>
    </row>
    <row r="1458">
      <c r="A1458" s="1">
        <v>5.0</v>
      </c>
      <c r="B1458" s="1" t="s">
        <v>1450</v>
      </c>
      <c r="C1458" t="str">
        <f>IFERROR(__xludf.DUMMYFUNCTION("GOOGLETRANSLATE(B1458, ""es"", ""en"")"),"Very nice very nice, like the description, ideal size and is very thin. It comes beautifully presented in a jewelry box and suede. Both for yourself and for gift is perfect!")</f>
        <v>Very nice very nice, like the description, ideal size and is very thin. It comes beautifully presented in a jewelry box and suede. Both for yourself and for gift is perfect!</v>
      </c>
    </row>
    <row r="1459">
      <c r="A1459" s="1">
        <v>5.0</v>
      </c>
      <c r="B1459" s="1" t="s">
        <v>1451</v>
      </c>
      <c r="C1459" t="str">
        <f>IFERROR(__xludf.DUMMYFUNCTION("GOOGLETRANSLATE(B1459, ""es"", ""en"")"),"everything is fine")</f>
        <v>everything is fine</v>
      </c>
    </row>
    <row r="1460">
      <c r="A1460" s="1">
        <v>5.0</v>
      </c>
      <c r="B1460" s="1" t="s">
        <v>1452</v>
      </c>
      <c r="C1460" t="str">
        <f>IFERROR(__xludf.DUMMYFUNCTION("GOOGLETRANSLATE(B1460, ""es"", ""en"")"),"It came very fast, and smooth Bluetooth connection and battery life came very fast, and smooth Bluetooth connection and now complaints about the battery life. To see if you have a good life. I say poque had another brand before I worked very well until it"&amp;" broke one of the audio cables weakness, in my opinion, the structural aurculares that the end was indeed final.")</f>
        <v>It came very fast, and smooth Bluetooth connection and battery life came very fast, and smooth Bluetooth connection and now complaints about the battery life. To see if you have a good life. I say poque had another brand before I worked very well until it broke one of the audio cables weakness, in my opinion, the structural aurculares that the end was indeed final.</v>
      </c>
    </row>
    <row r="1461">
      <c r="A1461" s="1">
        <v>5.0</v>
      </c>
      <c r="B1461" s="1" t="s">
        <v>1453</v>
      </c>
      <c r="C1461" t="str">
        <f>IFERROR(__xludf.DUMMYFUNCTION("GOOGLETRANSLATE(B1461, ""es"", ""en"")"),"Good quality purchase. big enough for what I needed without being ostentatious. Very good quality")</f>
        <v>Good quality purchase. big enough for what I needed without being ostentatious. Very good quality</v>
      </c>
    </row>
    <row r="1462">
      <c r="A1462" s="1">
        <v>5.0</v>
      </c>
      <c r="B1462" s="1" t="s">
        <v>1454</v>
      </c>
      <c r="C1462" t="str">
        <f>IFERROR(__xludf.DUMMYFUNCTION("GOOGLETRANSLATE(B1462, ""es"", ""en"")"),"and 2 years and 2 years and are perfect even thinking that you put two girls and are delighted, thank you very much,")</f>
        <v>and 2 years and 2 years and are perfect even thinking that you put two girls and are delighted, thank you very much,</v>
      </c>
    </row>
    <row r="1463">
      <c r="A1463" s="1">
        <v>5.0</v>
      </c>
      <c r="B1463" s="1" t="s">
        <v>1455</v>
      </c>
      <c r="C1463" t="str">
        <f>IFERROR(__xludf.DUMMYFUNCTION("GOOGLETRANSLATE(B1463, ""es"", ""en"")"),"I have several spectacular glass bottles ... where do I put milk vegetable gazpacho and other beverages. With limpiaplatos and bleach is what I used to clean and not fit. Now I put a drop of friegaplatos ... a tad of water and balls ... remuevo few second"&amp;"s and the glass is bright and undefiled.")</f>
        <v>I have several spectacular glass bottles ... where do I put milk vegetable gazpacho and other beverages. With limpiaplatos and bleach is what I used to clean and not fit. Now I put a drop of friegaplatos ... a tad of water and balls ... remuevo few seconds and the glass is bright and undefiled.</v>
      </c>
    </row>
    <row r="1464">
      <c r="A1464" s="1">
        <v>5.0</v>
      </c>
      <c r="B1464" s="1" t="s">
        <v>1456</v>
      </c>
      <c r="C1464" t="str">
        <f>IFERROR(__xludf.DUMMYFUNCTION("GOOGLETRANSLATE(B1464, ""es"", ""en"")"),"Very comfortable is fine entretiempo I bought for my daughter and loves very comfortable and good genre")</f>
        <v>Very comfortable is fine entretiempo I bought for my daughter and loves very comfortable and good genre</v>
      </c>
    </row>
    <row r="1465">
      <c r="A1465" s="1">
        <v>5.0</v>
      </c>
      <c r="B1465" s="1" t="s">
        <v>1457</v>
      </c>
      <c r="C1465" t="str">
        <f>IFERROR(__xludf.DUMMYFUNCTION("GOOGLETRANSLATE(B1465, ""es"", ""en"")"),"Fantastico hello I bought these Skechers wonderful and I are great comfortable and easy to use as recomando, size is exactly what it says .... greetings")</f>
        <v>Fantastico hello I bought these Skechers wonderful and I are great comfortable and easy to use as recomando, size is exactly what it says .... greetings</v>
      </c>
    </row>
    <row r="1466">
      <c r="A1466" s="1">
        <v>5.0</v>
      </c>
      <c r="B1466" s="1" t="s">
        <v>1458</v>
      </c>
      <c r="C1466" t="str">
        <f>IFERROR(__xludf.DUMMYFUNCTION("GOOGLETRANSLATE(B1466, ""es"", ""en"")"),"Impeccable. I arrived two days earlier. Perfect. I no longer remove the I can. It is quite spacious although it seems not. The truth impossible to ask for more money.")</f>
        <v>Impeccable. I arrived two days earlier. Perfect. I no longer remove the I can. It is quite spacious although it seems not. The truth impossible to ask for more money.</v>
      </c>
    </row>
    <row r="1467">
      <c r="A1467" s="1">
        <v>5.0</v>
      </c>
      <c r="B1467" s="1" t="s">
        <v>1459</v>
      </c>
      <c r="C1467" t="str">
        <f>IFERROR(__xludf.DUMMYFUNCTION("GOOGLETRANSLATE(B1467, ""es"", ""en"")"),"Sizing great, good product The sizing is something big, I had to change them and ask least one number. They are very comfortable, are already my favorite.")</f>
        <v>Sizing great, good product The sizing is something big, I had to change them and ask least one number. They are very comfortable, are already my favorite.</v>
      </c>
    </row>
    <row r="1468">
      <c r="A1468" s="1">
        <v>2.0</v>
      </c>
      <c r="B1468" s="1" t="s">
        <v>1460</v>
      </c>
      <c r="C1468" t="str">
        <f>IFERROR(__xludf.DUMMYFUNCTION("GOOGLETRANSLATE(B1468, ""es"", ""en"")"),"Normal tracksuit pants. Trousers tracksuit ordinary, average thickness, does not harbor much, perfect for spring. The color is identical to the photo, but gives a lot of size, I ordered an S and I have very great. I use a 36/38 pant normally.")</f>
        <v>Normal tracksuit pants. Trousers tracksuit ordinary, average thickness, does not harbor much, perfect for spring. The color is identical to the photo, but gives a lot of size, I ordered an S and I have very great. I use a 36/38 pant normally.</v>
      </c>
    </row>
    <row r="1469">
      <c r="A1469" s="1">
        <v>3.0</v>
      </c>
      <c r="B1469" s="1" t="s">
        <v>1461</v>
      </c>
      <c r="C1469" t="str">
        <f>IFERROR(__xludf.DUMMYFUNCTION("GOOGLETRANSLATE(B1469, ""es"", ""en"")"),"They are practical problems I encounter mechanical noise. Demasiadl button is pressed too apparent and easily. For example when you put the head on the pillow.")</f>
        <v>They are practical problems I encounter mechanical noise. Demasiadl button is pressed too apparent and easily. For example when you put the head on the pillow.</v>
      </c>
    </row>
    <row r="1470">
      <c r="A1470" s="1">
        <v>3.0</v>
      </c>
      <c r="B1470" s="1" t="s">
        <v>1462</v>
      </c>
      <c r="C1470" t="str">
        <f>IFERROR(__xludf.DUMMYFUNCTION("GOOGLETRANSLATE(B1470, ""es"", ""en"")"),"I wrinkled templates in a week of use very comfortable, but one week of use are crumpling the templates on the part of the heel, I do not know if they will crumpling or stays so use that I give is a totally normal or rather little use ... hopefully not co"&amp;"ntinue to deteriorate ...")</f>
        <v>I wrinkled templates in a week of use very comfortable, but one week of use are crumpling the templates on the part of the heel, I do not know if they will crumpling or stays so use that I give is a totally normal or rather little use ... hopefully not continue to deteriorate ...</v>
      </c>
    </row>
    <row r="1471">
      <c r="A1471" s="1">
        <v>3.0</v>
      </c>
      <c r="B1471" s="1" t="s">
        <v>1463</v>
      </c>
      <c r="C1471" t="str">
        <f>IFERROR(__xludf.DUMMYFUNCTION("GOOGLETRANSLATE(B1471, ""es"", ""en"")"),"Laura sneakers are fine, carved right but the laces broke a week after the release, tube to buy others.")</f>
        <v>Laura sneakers are fine, carved right but the laces broke a week after the release, tube to buy others.</v>
      </c>
    </row>
    <row r="1472">
      <c r="A1472" s="1">
        <v>1.0</v>
      </c>
      <c r="B1472" s="1" t="s">
        <v>1464</v>
      </c>
      <c r="C1472" t="str">
        <f>IFERROR(__xludf.DUMMYFUNCTION("GOOGLETRANSLATE(B1472, ""es"", ""en"")"),"if you move the jack stops working microphone adapter the work product correctly as long as you find the position of the jack male metes, if not, does not detect the microphone, usually buy ugreen for quality but this seems to be a bad unit, back and wait"&amp;"ing for a new unit")</f>
        <v>if you move the jack stops working microphone adapter the work product correctly as long as you find the position of the jack male metes, if not, does not detect the microphone, usually buy ugreen for quality but this seems to be a bad unit, back and waiting for a new unit</v>
      </c>
    </row>
    <row r="1473">
      <c r="A1473" s="1">
        <v>1.0</v>
      </c>
      <c r="B1473" s="1" t="s">
        <v>1465</v>
      </c>
      <c r="C1473" t="str">
        <f>IFERROR(__xludf.DUMMYFUNCTION("GOOGLETRANSLATE(B1473, ""es"", ""en"")"),"I'm not happy with the purchase I'm a repeat buyer Adidas, I have about 10 pairs of shoes of the brand and these have been the only ones that hurt me in heels. I have the same model in another color and the same size and has never hurt me. But I've been w"&amp;"ith these 3 weeks and still do the same damage as the first day ........... me makes me think if they really are true or the product is faulty. In addition, it has already been taken off a little rubber heel when attached to the skin of the back, come bac"&amp;"k to me what to think.")</f>
        <v>I'm not happy with the purchase I'm a repeat buyer Adidas, I have about 10 pairs of shoes of the brand and these have been the only ones that hurt me in heels. I have the same model in another color and the same size and has never hurt me. But I've been with these 3 weeks and still do the same damage as the first day ........... me makes me think if they really are true or the product is faulty. In addition, it has already been taken off a little rubber heel when attached to the skin of the back, come back to me what to think.</v>
      </c>
    </row>
    <row r="1474">
      <c r="A1474" s="1">
        <v>4.0</v>
      </c>
      <c r="B1474" s="1" t="s">
        <v>1466</v>
      </c>
      <c r="C1474" t="str">
        <f>IFERROR(__xludf.DUMMYFUNCTION("GOOGLETRANSLATE(B1474, ""es"", ""en"")"),"Use old work best brand in my previous child as anti-colic system is great. But the new valve system goes wrong. often milk leaves the mouthpiece of the thread. Old worked better")</f>
        <v>Use old work best brand in my previous child as anti-colic system is great. But the new valve system goes wrong. often milk leaves the mouthpiece of the thread. Old worked better</v>
      </c>
    </row>
    <row r="1475">
      <c r="A1475" s="1">
        <v>4.0</v>
      </c>
      <c r="B1475" s="1" t="s">
        <v>1467</v>
      </c>
      <c r="C1475" t="str">
        <f>IFERROR(__xludf.DUMMYFUNCTION("GOOGLETRANSLATE(B1475, ""es"", ""en"")"),"Well, nice and cheap I bought it for storing documents of an association and that's what hace.No is a Ferrari fast, but it is very slow.")</f>
        <v>Well, nice and cheap I bought it for storing documents of an association and that's what hace.No is a Ferrari fast, but it is very slow.</v>
      </c>
    </row>
    <row r="1476">
      <c r="A1476" s="1">
        <v>4.0</v>
      </c>
      <c r="B1476" s="1" t="s">
        <v>1468</v>
      </c>
      <c r="C1476" t="str">
        <f>IFERROR(__xludf.DUMMYFUNCTION("GOOGLETRANSLATE(B1476, ""es"", ""en"")"),"Practical solution for my kitchen I chose this product so I found a balance between quality and price and I think I was right: - It hangs easily on the wall (in my case with cuelgafácil) - The rolls are installed without complication. - The cut of the fil"&amp;"m paper is perfect but in my case the foil have to press a little or not cut and that is why not give it 5 stars (not big hassle). - The design is discreet and looks good in the kitchen")</f>
        <v>Practical solution for my kitchen I chose this product so I found a balance between quality and price and I think I was right: - It hangs easily on the wall (in my case with cuelgafácil) - The rolls are installed without complication. - The cut of the film paper is perfect but in my case the foil have to press a little or not cut and that is why not give it 5 stars (not big hassle). - The design is discreet and looks good in the kitchen</v>
      </c>
    </row>
    <row r="1477">
      <c r="A1477" s="1">
        <v>4.0</v>
      </c>
      <c r="B1477" s="1" t="s">
        <v>1469</v>
      </c>
      <c r="C1477" t="str">
        <f>IFERROR(__xludf.DUMMYFUNCTION("GOOGLETRANSLATE(B1477, ""es"", ""en"")"),"Good Fast Delivery. The clock is nice, the belt has two-tone glossy and matte. The only but is that receiving the watch, it was already running. Otherwise good buy")</f>
        <v>Good Fast Delivery. The clock is nice, the belt has two-tone glossy and matte. The only but is that receiving the watch, it was already running. Otherwise good buy</v>
      </c>
    </row>
    <row r="1478">
      <c r="A1478" s="1">
        <v>4.0</v>
      </c>
      <c r="B1478" s="1" t="s">
        <v>1470</v>
      </c>
      <c r="C1478" t="str">
        <f>IFERROR(__xludf.DUMMYFUNCTION("GOOGLETRANSLATE(B1478, ""es"", ""en"")"),"Good choice good choice if you take the bike occasionally and want to enjoy the advantages of clipless pedals")</f>
        <v>Good choice good choice if you take the bike occasionally and want to enjoy the advantages of clipless pedals</v>
      </c>
    </row>
    <row r="1479">
      <c r="A1479" s="1">
        <v>5.0</v>
      </c>
      <c r="B1479" s="1" t="s">
        <v>1471</v>
      </c>
      <c r="C1479" t="str">
        <f>IFERROR(__xludf.DUMMYFUNCTION("GOOGLETRANSLATE(B1479, ""es"", ""en"")"),"The perfect purchase first G-Shock to buy and not be the last. PROS: - It's big, strong and not heavy. It fits perfectly to my wrist. - Functions: just what I needed. Alarms (4 normal and 1 alarm clock) with sound and light or vibration warning hour, coun"&amp;"tdown (the best of this is that you can start it with time display without having to go to the menu) and timer. World time also. - The negative screen makes it original. - The second hands above and indicator functions radar plan give a touch. CONS: - The"&amp;" only ""catch"" is that I put to him that gives me the feeling that the alarm is a bit low.")</f>
        <v>The perfect purchase first G-Shock to buy and not be the last. PROS: - It's big, strong and not heavy. It fits perfectly to my wrist. - Functions: just what I needed. Alarms (4 normal and 1 alarm clock) with sound and light or vibration warning hour, countdown (the best of this is that you can start it with time display without having to go to the menu) and timer. World time also. - The negative screen makes it original. - The second hands above and indicator functions radar plan give a touch. CONS: - The only "catch" is that I put to him that gives me the feeling that the alarm is a bit low.</v>
      </c>
    </row>
    <row r="1480">
      <c r="A1480" s="1">
        <v>5.0</v>
      </c>
      <c r="B1480" s="1" t="s">
        <v>1472</v>
      </c>
      <c r="C1480" t="str">
        <f>IFERROR(__xludf.DUMMYFUNCTION("GOOGLETRANSLATE(B1480, ""es"", ""en"")"),"Great just what was sought")</f>
        <v>Great just what was sought</v>
      </c>
    </row>
    <row r="1481">
      <c r="A1481" s="1">
        <v>5.0</v>
      </c>
      <c r="B1481" s="1" t="s">
        <v>1473</v>
      </c>
      <c r="C1481" t="str">
        <f>IFERROR(__xludf.DUMMYFUNCTION("GOOGLETRANSLATE(B1481, ""es"", ""en"")"),"Incredible came early, is built in metal, with an unthinkable quality to be a product of such an amazingly low price. Quite surprised with the quality of the product and can record the sound. Highly recommended!")</f>
        <v>Incredible came early, is built in metal, with an unthinkable quality to be a product of such an amazingly low price. Quite surprised with the quality of the product and can record the sound. Highly recommended!</v>
      </c>
    </row>
    <row r="1482">
      <c r="A1482" s="1">
        <v>5.0</v>
      </c>
      <c r="B1482" s="1" t="s">
        <v>1474</v>
      </c>
      <c r="C1482" t="str">
        <f>IFERROR(__xludf.DUMMYFUNCTION("GOOGLETRANSLATE(B1482, ""es"", ""en"")"),"It works well Very good quality could improve volume controller. It has little tour")</f>
        <v>It works well Very good quality could improve volume controller. It has little tour</v>
      </c>
    </row>
    <row r="1483">
      <c r="A1483" s="1">
        <v>5.0</v>
      </c>
      <c r="B1483" s="1" t="s">
        <v>1475</v>
      </c>
      <c r="C1483" t="str">
        <f>IFERROR(__xludf.DUMMYFUNCTION("GOOGLETRANSLATE(B1483, ""es"", ""en"")"),"Good buy, perfect gift is a gift that I bought my niece and would not never takes ,, is 13 years old is delighted with him adjust brightness and has very pretty colors, the chain is not silver but neither loses brightness and takes stains or darken or any"&amp;"thing like that")</f>
        <v>Good buy, perfect gift is a gift that I bought my niece and would not never takes ,, is 13 years old is delighted with him adjust brightness and has very pretty colors, the chain is not silver but neither loses brightness and takes stains or darken or anything like that</v>
      </c>
    </row>
    <row r="1484">
      <c r="A1484" s="1">
        <v>5.0</v>
      </c>
      <c r="B1484" s="1" t="s">
        <v>1476</v>
      </c>
      <c r="C1484" t="str">
        <f>IFERROR(__xludf.DUMMYFUNCTION("GOOGLETRANSLATE(B1484, ""es"", ""en"")"),"As such appears as shown in the description. Works correctly. It seems strong.")</f>
        <v>As such appears as shown in the description. Works correctly. It seems strong.</v>
      </c>
    </row>
    <row r="1485">
      <c r="A1485" s="1">
        <v>5.0</v>
      </c>
      <c r="B1485" s="1" t="s">
        <v>1477</v>
      </c>
      <c r="C1485" t="str">
        <f>IFERROR(__xludf.DUMMYFUNCTION("GOOGLETRANSLATE(B1485, ""es"", ""en"")"),"Super Eco Good for all cleaning")</f>
        <v>Super Eco Good for all cleaning</v>
      </c>
    </row>
    <row r="1486">
      <c r="A1486" s="1">
        <v>5.0</v>
      </c>
      <c r="B1486" s="1" t="s">
        <v>990</v>
      </c>
      <c r="C1486" t="str">
        <f>IFERROR(__xludf.DUMMYFUNCTION("GOOGLETRANSLATE(B1486, ""es"", ""en"")"),"Everything Perfect Perfect")</f>
        <v>Everything Perfect Perfect</v>
      </c>
    </row>
    <row r="1487">
      <c r="A1487" s="1">
        <v>5.0</v>
      </c>
      <c r="B1487" s="1" t="s">
        <v>1478</v>
      </c>
      <c r="C1487" t="str">
        <f>IFERROR(__xludf.DUMMYFUNCTION("GOOGLETRANSLATE(B1487, ""es"", ""en"")"),"Fast and as expected I ordered the shoes I use often but half size too. I became great and changed. At the next day I had new home. The shoes are classic Vans lifetime you comfortable once the have worked. For summer, perfect.")</f>
        <v>Fast and as expected I ordered the shoes I use often but half size too. I became great and changed. At the next day I had new home. The shoes are classic Vans lifetime you comfortable once the have worked. For summer, perfect.</v>
      </c>
    </row>
    <row r="1488">
      <c r="A1488" s="1">
        <v>5.0</v>
      </c>
      <c r="B1488" s="1" t="s">
        <v>1479</v>
      </c>
      <c r="C1488" t="str">
        <f>IFERROR(__xludf.DUMMYFUNCTION("GOOGLETRANSLATE(B1488, ""es"", ""en"")"),"I hooked on the labeling is one of the tapes he'll stay and encganchada and had to finish MUHC pulling it with force. This has not happened with the original. For the rest are tapes that do their job and they deserve it. In addition to communication with "&amp;"the supplier it has been good and even wanted me to return the amount of the order or send me back the tapes")</f>
        <v>I hooked on the labeling is one of the tapes he'll stay and encganchada and had to finish MUHC pulling it with force. This has not happened with the original. For the rest are tapes that do their job and they deserve it. In addition to communication with the supplier it has been good and even wanted me to return the amount of the order or send me back the tapes</v>
      </c>
    </row>
    <row r="1489">
      <c r="A1489" s="1">
        <v>5.0</v>
      </c>
      <c r="B1489" s="1" t="s">
        <v>1480</v>
      </c>
      <c r="C1489" t="str">
        <f>IFERROR(__xludf.DUMMYFUNCTION("GOOGLETRANSLATE(B1489, ""es"", ""en"")"),"This very well priced The truth is that I got an elephant instead of the cat, but just as nice.")</f>
        <v>This very well priced The truth is that I got an elephant instead of the cat, but just as nice.</v>
      </c>
    </row>
    <row r="1490">
      <c r="A1490" s="1">
        <v>5.0</v>
      </c>
      <c r="B1490" s="1" t="s">
        <v>1481</v>
      </c>
      <c r="C1490" t="str">
        <f>IFERROR(__xludf.DUMMYFUNCTION("GOOGLETRANSLATE(B1490, ""es"", ""en"")"),"Look like hands &lt;div id = ""video-block-R1WUQVMA1HOQOX"" class = ""a-section a-spacing-small a-spacing-top mini video-block""&gt; &lt;div tabindex = ""0"" class = ""airy airy-svg vmin-supported airy-skin-beacon ""style ="" background-color: rgb (0, 0, 0) positi"&amp;"on: relative; width: 100%; height: 100%; font-size: 0px; overflow: hidden; outline : none; ""&gt; &lt;div class ="" airy-renderer-container ""style ="" position: relative; height: 100%; width: 100%; ""&gt; &lt;video id ="" 47 ""preload ="" auto ""src ="" https://imag"&amp;"es-eu.ssl-images-amazon.com/images/I/91uK+SdTrKS.mp4 ""style ="" position: absolute; left: 0px; top: 0px; overflow: hidden; height: 1px; width : 1px; ""&gt; &lt;/ video&gt; &lt;/ div&gt; &lt;div id ="" airy-slate-preload ""style ="" background-color: rgb (0, 0, 0); backgro"&amp;"und-image: url (&amp; quot; https: //images-eu.ssl-images-amazon.com/images/I/91fNxMTGbUS.png&amp;quot;); background-size: Contain; background-position: center center; background-repeat: no-repeat; position: absolute; top : 0px; left: 0px; visibility: visible; wi"&amp;"dth: 100%; height: 100%; ""&gt; &lt;/ div&gt; &lt;iframe scrolling ="" n or ""frameborder ="" 0 ""src ="" about: blank ""style ="" display: none; ""&gt; &lt;/ iframe&gt; &lt;div tabindex ="" - 1 ""class ="" airy-controls-container ""style ="" opacity: 0 ; visibility: hidden; ""&gt;"&amp;" &lt;div tabindex ="" - 1 ""class ="" airy-screen-size-toggle airy-fullscreen ""&gt; &lt;/ div&gt; &lt;div tabindex ="" - 1 ""class ="" airy-container-bottom "" &gt; &lt;div tabindex = ""- 1"" class = ""airy-track-bar-spacer-left"" style = ""width: 11px;""&gt; &lt;/ div&gt; &lt;div tabin"&amp;"dex = ""- 1"" class = ""airy-play- airy toggle-play ""style ="" width: 12px; margin-right: 12px; ""&gt; &lt;/ div&gt; &lt;div tabindex ="" - 1 ""class ="" airy-audio-elements ""style ="" float: right; width: 34px; ""&gt; &lt;div tabindex ="" - 1 ""class ="" airy-audio-togg"&amp;"le airy-on ""&gt; &lt;/ div&gt; &lt;div tabindex ="" - 1 ""class ="" airy-audio-container ""style = ""opacity: 0; visibility: hidden; ""&gt; &lt;div tabindex ="" - 1 ""class ="" airy-audio-track-bar ""style ="" height: 80%; ""&gt; &lt;div tabindex ="" - 1 ""class ="" airy-audio-"&amp;" Scrubber-bar ""style ="" height: 85%; ""&gt; &lt;/ div&gt; &lt;div tabindex ="" - 1 ""class ="" airy-audio-scrubber ""style ="" height: 12px; bottom 85% ""&gt; &lt;/ div&gt; &lt;/ div&gt; &lt;/ div&gt; &lt;/ div&gt; &lt;div tabindex ="" - 1 ""class ="" airy-duration-label ""style ="" float: righ"&amp;"t; width: 26px; margin-right: 4px; text-align: center; ""&gt; 0:00 &lt;/ div&gt; &lt;div tabindex ="" - 1 ""class ="" airy-track-bar-spacer-right ""style ="" float: right; width: 11px; ""&gt; &lt;/ div&gt; &lt;div tabindex ="" - 1 ""class ="" airy-track-bar-container ""style ="""&amp;" margin-left: 35px; margin-right: 75px; ""&gt; &lt;div tabindex ="" - 1 ""class ="" airy-airy-track-bar vertically-centering-table ""&gt; &lt;div tabindex ="" - 1 ""class ="" airy-Vertical-centering- table-cell ""&gt; &lt;div tabindex ="" - 1 ""class ="" airy-track-bar-ele"&amp;"ments ""&gt; &lt;div tabindex ="" - 1 ""class ="" airy-progress-bar ""&gt; &lt;/ div&gt; &lt;div tabindex = ""- 1"" class = ""airy-scrubber-bar""&gt; &lt;/ div&gt; &lt;div tabindex = ""- 1"" class = ""airy-scrubber""&gt; &lt;div tabindex = ""- 1"" class = ""airy-scrubber- icon ""&gt; &lt;/ div&gt; &lt;"&amp;"div tabindex ="" - 1 ""class ="" airy-adjusted-AUI-tooltip ""style ="" opacity: 0; visibility: hidden; ""&gt; &lt;div tabindex ="" - 1 ""class ="" airy-adjusted-aui-tooltip-inner ""&gt; &lt;div tabindex ="" - 1 ""class ="" airy-current-time-label ""&gt; 0: 00 &lt;/ div&gt; &lt;/"&amp;" div&gt; &lt;div tabindex = ""- 1"" class = ""airy-adjusted-AUI-arrow-border""&gt; &lt;div tabindex = ""- 1"" class = ""airy-adjusted-AUI-arrow"" &gt; &lt;/ div&gt; &lt;/ div&gt; &lt;/ div&gt; &lt;/ div&gt; &lt;/ div&gt; &lt;/ div&gt; &lt;/ div&gt; &lt;/ div&gt; &lt;/ div&gt; &lt;/ div&gt; &lt;div tabindex = ""- 1"" class = ""airy-"&amp;"age-gate airy-stage airy-Vertical-centering-table airy-dialog"" style = ""opacity: 0; visibility: hidden; ""&gt; &lt;div tabindex ="" - 1 ""class ="" airy-age-gate-Vertical-centering-table-cell airy-Vertical-centering-table-cell ""&gt; &lt;div tabindex ="" - 1 ""clas"&amp;"s = ""airy-Vertical-centering-wrapper airy-age-gate-elements-wrapper""&gt; &lt;div tabindex = ""- 1"" class = ""airy-age-gate-elements airy-dialog-elements""&gt; &lt;div tabindex = "" -1 ""class ="" airy-age-gate-prompt ""&gt; This video is not Intended for all audience"&amp;"s What date were you born &lt;/ div&gt; &lt;div tabindex =.?"" - 1 ""class ="" airy-age-gate -inputs airy-dialog-inner-elements ""&gt; &lt;select tabindex ="" - 1 ""class ="" airy-age-gate-month ""&gt; &lt;option value ="" 1 ""&gt; January &lt;/ option&gt; &lt;option value ="" 2 ""&gt; Febr"&amp;"uary &lt;/ option&gt; &lt;option value ="" 3 ""&gt; March &lt;/ option&gt; &lt;option value ="" 4 ""&gt; April &lt;/ option&gt; &lt;option value ="" 5 ""&gt; May &lt;/ option&gt; &lt;option value = ""6""&gt; June &lt;/ option&gt; &lt;option value = ""7""&gt; July &lt;/ option&gt; &lt;option value = ""8""&gt; August &lt;/ option&gt;"&amp;" &lt;option value = ""9""&gt; September &lt;/ option&gt; &lt;option value = ""10""&gt; October &lt;/ option&gt; &lt;option value = ""11""&gt; November &lt;/ option&gt; &lt;option value = ""12""&gt; December &lt;/ option&gt; &lt;/ select&gt; &lt;select tabindex = ""- 1"" class = ""airy-age-gate-day""&gt; &lt;opti on v"&amp;"alue = ""1""&gt; 1 &lt;/ option&gt; &lt;option value = ""2""&gt; 2 &lt;/ option&gt; &lt;option value = ""3""&gt; 3 &lt;/ option&gt; &lt;option value = ""4""&gt; 4 &lt;/ option &gt; &lt;option value = ""5""&gt; 5 &lt;/ option&gt; &lt;option value = ""6""&gt; 6 &lt;/ option&gt; &lt;option value = ""7""&gt; 7 &lt;/ option&gt; &lt;option val"&amp;"ue = ""8""&gt; 8 &lt; / option&gt; &lt;option value = ""9""&gt; 9 &lt;/ option&gt; &lt;option value = ""10""&gt; 10 &lt;/ option&gt; &lt;option value = ""11""&gt; 11 &lt;/ option&gt; &lt;option value = ""12""&gt; 12 &lt;/ option&gt; &lt;option value = ""13""&gt; 13 &lt;/ option&gt; &lt;option value = ""14""&gt; 14 &lt;/ option&gt; &lt;op"&amp;"tion value = ""15""&gt; 15 &lt;/ option&gt; &lt;option value = ""16 ""&gt; 16 &lt;/ option&gt; &lt;option value ="" 17 ""&gt; 17 &lt;/ option&gt; &lt;option value ="" 18 ""&gt; 18 &lt;/ option&gt; &lt;option value ="" 19 ""&gt; 19 &lt;/ option&gt; &lt;option value = ""20""&gt; 20 &lt;/ option&gt; &lt;option value = ""21""&gt; 21"&amp;" &lt;/ option&gt; &lt;option value = ""22""&gt; 22 &lt;/ option&gt; &lt;option value = ""23""&gt; 23 &lt;/ option&gt; &lt;option value = ""24""&gt; 24 &lt;/ option&gt; &lt;option value = ""25""&gt; 25 &lt;/ option&gt; &lt;option value = ""26""&gt; 26 &lt;/ option&gt; &lt;option value = ""27""&gt; 27 &lt;/ option&gt; &lt;option value ="&amp;" ""28""&gt; 28 &lt;/ option&gt; &lt;option value = ""29""&gt; 29 &lt;/ option&gt; &lt;option value = ""30""&gt; 30 &lt;/ option&gt; &lt;option value = ""31""&gt; 31 &lt;/ option&gt; &lt;/ select&gt; &lt;select tabindex = ""- 1"" class = ""airy-age-gate-year""&gt; &lt;option value = ""2019""&gt; 2019 &lt;/ option&gt; &lt; opti"&amp;"on value = ""2018""&gt; 2018 &lt;/ option&gt; &lt;option value = ""2017""&gt; 2017 &lt;/ option&gt; &lt;option value = ""2016""&gt; ​​2016 &lt;/ option&gt; &lt;option value = ""2015""&gt; 2015 &lt;/ option &gt; &lt;option value = ""2014""&gt; 2014 &lt;/ option&gt; &lt;option value = ""2013""&gt; 2013 &lt;/ option&gt; &lt;opti"&amp;"on value = ""2012""&gt; 2012 &lt;/ option&gt; &lt;option value = ""2011""&gt; 2011 &lt; / option&gt; &lt;option value = ""2010""&gt; 2010 &lt;/ option&gt; &lt;option value = ""2009""&gt; 2009 &lt;/ option&gt; &lt;option value = ""2008""&gt; 2008 &lt;/ option&gt; &lt;option value = ""2007""&gt; 2007 &lt;/ option&gt; &lt;option"&amp;" value = ""2006""&gt; 2006 &lt;/ option&gt; &lt;option value = ""2005""&gt; 2005 &lt;/ option&gt; &lt;option value = ""2004""&gt; 2004 &lt;/ option&gt; &lt;option value = ""2003 ""&gt; 2003 &lt;/ option&gt; &lt;option value ="" 2002 ""&gt; 2002 &lt;/ option&gt; &lt;option value ="" 2001 ""&gt; 2001 &lt;/ option&gt; &lt;option"&amp;" value ="" 2000 ""&gt; 2000 &lt;/ option&gt; &lt;option value = ""1999""&gt; 1999 &lt;/ option&gt; &lt;option value = ""1998""&gt; 1998 &lt;/ option&gt; &lt;option value = ""1997""&gt; 1997 &lt;/ option&gt; &lt;option value = ""1996""&gt; 1996 &lt;/ option&gt; &lt;option value = ""1995""&gt; 1995 &lt;/ option&gt; &lt;option v"&amp;"alue = ""1994""&gt; 1994 &lt;/ option&gt; &lt;option value = ""1993""&gt; 1993 &lt;/ option&gt; &lt;option value = ""1992""&gt; 1992 &lt;/ option&gt; &lt;option value = ""1991""&gt; 1991 &lt;/ option&gt; &lt;option value = ""1990""&gt; 1990 &lt;/ option&gt; &lt;option value = "" 1989 ""&gt; 1989 &lt;/ option&gt; &lt;option va"&amp;"lue ="" 1988 ""&gt; 1988 &lt;/ option&gt; &lt;option value ="" 1987 ""&gt; 1987 &lt;/ option&gt; &lt;option value ="" 1986 ""&gt; 1986 &lt;/ option&gt; &lt;value option = ""1985""&gt; 1985 &lt;/ option&gt; &lt;option value = ""1984""&gt; 1984 &lt;/ option&gt; &lt;option value = ""1983""&gt; 1983 &lt;/ option&gt; &lt;option va"&amp;"lue = ""1982""&gt; 1982 &lt;/ option&gt; &lt; option value = ""1981""&gt; 1981 &lt;/ option&gt; &lt;option value = ""1980""&gt; 1980 &lt;/ option&gt; &lt;option value = ""1979""&gt; 1979 &lt;/ option&gt; &lt;option value = ""1978""&gt; 1978 &lt;/ option &gt; &lt;option value = ""1977""&gt; 1977 &lt;/ option&gt; &lt;option val"&amp;"ue = ""1976""&gt; 1976 &lt;/ option&gt; &lt;option value = ""1975""&gt; 1975 &lt;/ option&gt; &lt;option value = ""1974""&gt; 1974 &lt; / option&gt; &lt;option value = ""1973""&gt; 1973 &lt;/ option&gt; &lt;option value = ""1972""&gt; 1972 &lt;/ option&gt; &lt;option value = ""1971""&gt; 1971 &lt;/ option&gt; &lt;option value"&amp;" = ""1970""&gt; 1970 &lt;/ option&gt; &lt;option value = ""1969""&gt; 1969 &lt;/ option&gt; &lt;option value = ""1968""&gt; 1968 &lt;/ option&gt; &lt;option value = ""1967""&gt; 1967 &lt;/ option&gt; &lt;option value = ""1966 ""&gt; 1966 &lt;/ option&gt; &lt;option value ="" 1965 ""&gt; 1965 &lt;/ option&gt; &lt;option value "&amp;"="" 1964 ""&gt; 1964 &lt;/ option&gt; &lt;option value ="" 1963 ""&gt; 1963 &lt;/ option&gt; &lt;option value = ""1962""&gt; 1962 &lt;/ option&gt; &lt;option value = ""1961""&gt; 1961 &lt;/ option&gt; &lt;option value = ""1960""&gt; 1960 &lt;/ op tion&gt; &lt;option value = ""1959""&gt; 1959 &lt;/ option&gt; &lt;option value "&amp;"= ""1958""&gt; 1958 &lt;/ option&gt; &lt;option value = ""1957""&gt; 1957 &lt;/ option&gt; &lt;option value = ""1956""&gt; 1956 &lt;/ option&gt; &lt;option value = ""1955""&gt; 1955 &lt;/ option&gt; &lt;option value = ""1954""&gt; 1954 &lt;/ option&gt; &lt;option value = ""1953""&gt; 1953 &lt;/ option&gt; &lt;option value = "&amp;"""1952"" &gt; 1952 &lt;/ option&gt; &lt;option value = ""1951""&gt; 1951 &lt;/ option&gt; &lt;option value = ""1950""&gt; 1950 &lt;/ option&gt; &lt;option value = ""1949""&gt; 1949 &lt;/ option&gt; &lt;option value = "" 1948 ""&gt; 1948 &lt;/ option&gt; &lt;option value ="" 1947 ""&gt; 1947 &lt;/ option&gt; &lt;option value ="&amp;""" 1946 ""&gt; 1946 &lt;/ option&gt; &lt;option value ="" 1945 ""&gt; 1945 &lt;/ option&gt; &lt;value option = ""1944""&gt; 1944 &lt;/ option&gt; &lt;option value = ""1943""&gt; 1943 &lt;/ option&gt; &lt;option value = ""1942""&gt; 1942 &lt;/ option&gt; &lt;option value = ""1941""&gt; 1941 &lt;/ option&gt; &lt; option value ="&amp;" ""1940""&gt; 1940 &lt;/ option&gt; &lt;option value = ""1939""&gt; 1939 &lt;/ option&gt; &lt;option value = ""1938""&gt; 1938 &lt;/ option&gt; &lt;option value = ""1937""&gt; 1937 &lt;/ option &gt; &lt;option value = ""1936""&gt; 1936 &lt;/ option&gt; &lt;option value = ""1935""&gt; 1935 &lt;/ option&gt; &lt;option value = "&amp;"""1934""&gt; 1934 &lt;/ option&gt; &lt;option value = ""1933""&gt; 1933 &lt; / option&gt; &lt;option value = ""1932""&gt; 1932 &lt;/ option&gt; &lt;option value = ""1931""&gt; 1931 &lt;/ option&gt; &lt;option v alue = ""1930""&gt; 1930 &lt;/ option&gt; &lt;option value = ""1929""&gt; 1929 &lt;/ option&gt; &lt;option value = "&amp;"""1928""&gt; 1928 &lt;/ option&gt; &lt;option value = ""1927""&gt; 1927 &lt;/ option&gt; &lt;option value = ""1926""&gt; 1926 &lt;/ option&gt; &lt;option value = ""1925""&gt; 1925 &lt;/ option&gt; &lt;option value = ""1924""&gt; 1924 &lt;/ option&gt; &lt;option value = ""1923""&gt; 1923 &lt;/ option&gt; &lt;option value = ""1"&amp;"922""&gt; 1922 &lt;/ option&gt; &lt;option value = ""1921""&gt; 1921 &lt;/ option&gt; &lt;option value = ""1920""&gt; 1920 &lt;/ option&gt; &lt;option value = ""1919""&gt; 1919 &lt;/ option&gt; &lt;option value = ""1918""&gt; 1918 &lt;/ option&gt; &lt;option value = ""1917""&gt; 1917 &lt;/ option&gt; &lt;option value = ""1916"&amp;"""&gt; 1916 &lt;/ option&gt; &lt;option value = ""1915"" &gt; 1915 &lt;/ option&gt; &lt;option value = ""1914""&gt; 1914 &lt;/ option&gt; &lt;option value = ""1913""&gt; 1913 &lt;/ option&gt; &lt;option value = ""1912""&gt; 1912 &lt;/ option&gt; &lt;option value = "" 1911 ""&gt; 1911 &lt;/ option&gt; &lt;option value ="" 1910"&amp;" ""&gt; 1910 &lt;/ option&gt; &lt;option value ="" 1909 ""&gt; 1909 &lt;/ option&gt; &lt;option value ="" 1908 ""&gt; 1908 &lt;/ option&gt; &lt;value option = ""1907""&gt; 1907 &lt;/ option&gt; &lt;option value = ""1906""&gt; 1906 &lt;/ option&gt; &lt;option value = ""1905""&gt; 1905 &lt;/ option&gt; &lt;option value = ""1904"&amp;"""&gt; 1904 &lt;/ option&gt; &lt; option value = ""1903""&gt; 1903 &lt;/ option&gt; &lt;option value = ""1902""&gt; 1902 &lt;/ option&gt; &lt;option value = ""1901""&gt; 19 01 &lt;/ option&gt; &lt;option value = ""1900""&gt; 1900 &lt;/ option&gt; &lt;/ select&gt; &lt;div tabindex = ""- 1"" class = ""airy-age-gate-submit"&amp;" airy-submit-button airy airy-submit- disabled ""&gt; Submit &lt;/ div&gt; &lt;/ div&gt; &lt;/ div&gt; &lt;/ div&gt; &lt;/ div&gt; &lt;/ div&gt; &lt;div tabindex ="" - 1 ""class ="" airy-install-flash-dialog airy-stage airy -vertical-centering-table-dialog airy airy-denied ""style ="" opacity: 0;"&amp;" visibility: hidden; ""&gt; &lt;div tabindex ="" - 1 ""class ="" airy-install-flash-Vertical-centering-table-cell airy-Vertical-centering-table-cell ""&gt; &lt;div tabindex ="" - 1 ""class = ""airy-Vertical-centering-wrapper airy-install-flash-elements-wrapper""&gt; &lt;di"&amp;"v tabindex = ""- 1"" class = ""airy-install-flash-elements airy-dialog-elements""&gt; &lt;div tabindex = "" -1 ""class ="" airy-install-flash-prompt ""&gt; Adobe Flash Player is required to watch this video &lt;/ div&gt; &lt;div tabindex =."" - 1 ""class ="" airy-install-f"&amp;"lash-button-wrapper airy -dialog-inner-elements ""&gt; &lt;div tabindex ="" - 1 ""class ="" airy-install-flash-button airy-button ""&gt; install Flash Player &lt;/ div&gt; &lt;/ div&gt; &lt;/ div&gt; &lt;/ div&gt; &lt;/ div&gt; &lt;/ div&gt; &lt;div tabindex = ""- 1"" class = ""airy-video-unsupported-d"&amp;"ialog airy-stage airy-Vertical-centering-table airy-dialog airy-denied"" style = ""opacity: 0; visibility: hidden; ""&gt; &lt;div tabindex ="" - 1 ""class ="" airy-video-unsupported-Vertical-centering-table-cell airy-Vertical-centering-table-cell ""&gt; &lt;div tabin"&amp;"dex ="" - 1 ""class = ""airy-Vertical-centering-wrapper airy-video-unsupported-elements-wrapper""&gt; &lt;div tabindex = ""- 1"" class = ""airy-video-unsupported-elements airy-dialog-elements""&gt; &lt;div tabindex = "" -1 ""class ="" airy-video-unsupported-prompt """&amp;"&gt; &lt;/ div&gt; &lt;/ div&gt; &lt;/ div&gt; &lt;/ div&gt; &lt;/ div&gt; &lt;div tabindex ="" - 1 ""class ="" airy-loading- spinner-stage airy-stage ""&gt; &lt;div tabindex ="" - 1 ""class ="" airy-loading-spinner-Vertical-centering-table-cell airy-Vertical-centering-table-cell ""&gt; &lt;div tabinde"&amp;"x ="" - 1 ""class ="" airy-loading-spinner-container airy-scalable-hint-container ""&gt; &lt;div tabindex ="" - 1 ""class ="" airy-loading-spinner-dummy airy-scalable-dummy ""&gt; &lt;/ div&gt; &lt; div tabindex = ""- 1"" class = ""airy-loading-spinner airy-hint"" style = "&amp;"""visibility: hidden;""&gt; &lt;/ div&gt; &lt;/ div&gt; &lt;/ div&gt; &lt;/ div&gt; &lt;div tabindex = ""- 1 ""class ="" airy-ads-screen-size-toggle airy-screen-size-toggle-fullscreen airy ""style ="" visibility: hidden; ""&gt; &lt;/ div&gt; &lt;div tabindex = ""-1"" class = ""airy-ad-prompt-cont"&amp;"ainer"" style = ""visibility: hidden;""&gt; &lt;div tabindex = ""- 1"" class = ""airy-ad-prompt-Vertical-centering-table-vertically airy centering-table ""&gt; &lt;div tabindex ="" - 1 ""class ="" airy-ad-prompt-Vertical-centering-table-cell airy-Vertical-centering-t"&amp;"able-cell ""&gt; &lt;div tabindex ="" - 1 ""class = ""airy-ad-prompt-label""&gt; &lt;/ div&gt; &lt;/ div&gt; &lt;/ div&gt; &lt;/ div&gt; &lt;div tabindex = ""- 1"" class = ""airy-ads-controls-container"" style = ""visibility: hidden; ""&gt; &lt;div tabindex ="" - 1 ""class ="" airy-ads-audio-togg"&amp;"le airy-audio-toggle airy-on ""style ="" visibility: hidden; ""&gt; &lt;/ div&gt; &lt;div tabindex ="" - 1 ""class ="" airy-time-remaining-label-container ""&gt; &lt;div tabindex ="" - 1 ""class ="" airy-time-remaining-Vertical-centering-table airy-Vertical-centering-table"&amp;" ""&gt; &lt;div tabindex = ""- 1"" class = ""airy-time-remaining-Vertical-centering-table-cell airy-Vertical-centering-table-cell""&gt; &lt;div tabindex = ""- 1"" class = ""airy-Vertical-centering-wrapper airy-time-remaining-label-wrapper ""&gt; &lt;div tabindex ="" - 1 """&amp;"class ="" airy-time-remaining-label ""style ="" visibility: hidden; ""&gt; &lt;/ div&gt; &lt;div tabi ndex = ""- 1"" class = ""airy-ad-skip"" style = ""visibility: hidden;""&gt; &lt;/ div&gt; &lt;div tabindex = ""- 1"" class = ""airy-ad-end"" style = ""visibility: hidden ""&gt; &lt;/ "&amp;"div&gt; &lt;/ div&gt; &lt;/ div&gt; &lt;/ div&gt; &lt;/ div&gt; &lt;div tabindex ="" - 1 ""class ="" airy-learn-more ""style ="" visibility: hidden; ""&gt; &lt;/ div&gt; &lt;/ div&gt; &lt;div tabindex = ""- 1"" class = ""airy-play-toggle-hint-stage airy-stage airy-cursor""&gt; &lt;div tabindex = ""- 1"" clas"&amp;"s = ""airy-play -toggle-hint-Vertical-centering-table-cell airy-Vertical-centering-table-cell airy-cursor ""&gt; &lt;div tabindex ="" - 1 ""class ="" airy-play-toggle-hint-container airy-scalable- Hint-container ""&gt; &lt;div tabindex ="" - 1 ""class ="" airy-play-t"&amp;"oggle-hint-dummy airy-scalable-dummy ""&gt; &lt;/ div&gt; &lt;div tabindex ="" - 1 ""class ="" airy-play -toggle-hint hint airy-airy-play-hint ""style ="" opacity: 1; visibility: visible; ""&gt; &lt;/ div&gt; &lt;/ div&gt; &lt;/ div&gt; &lt;/ div&gt; &lt;div tabindex ="" - 1 ""class ="" airy-repl"&amp;"ay-hint-stage airy-stage ""style ="" visibility: hidden ; ""&gt; &lt;div tabindex ="" - 1 ""class ="" airy-replay-hint-Vertical-centering-table-cell airy-Vertical-centering-table-cell airy-cursor ""&gt; &lt;div tabindex ="" - 1 ""class = ""airy-replay-hint-container "&amp;"airy-scalable-hint-container""&gt; &lt;div tabindex = ""- 1"" class = ""airy-replay-hint-dummy airy-scalable-dummy""&gt; &lt;/ div&gt; &lt;div tabindex = ""- 1"" class = ""airy-replay-hint airy-hint""&gt; &lt;/ div&gt; &lt;/ div&gt; &lt;/ div&gt; &lt;/ div&gt; &lt;div tabindex = ""- 1"" class = ""airy-"&amp;"autoplay-hint -stage airy-stage ""style ="" visibility: hidden; ""&gt; &lt;div tabindex ="" - 1 ""class ="" airy-autoplay-hint-Vertical-centering-table-cell airy-Vertical-centering-table-cell airy- cursor ""&gt; &lt;div tabindex ="" - 1 ""class ="" autoplay airy-airy"&amp;"-hint-container-scalable-hint-container ""&gt; &lt;div tabindex ="" - 1 ""class ="" airy-autoplay-hint-dummy airy- scalable-dummy ""&gt; &lt;/ div&gt; &lt;/ div&gt; &lt;/ div&gt; &lt;/ div&gt; &lt;/ div&gt; &lt;/ div&gt; &lt;input type ="" hidden ""name ="" ""value ="" https: // images-eu .ssl-images-a"&amp;"mazon.com / images / I / 91uK + SdTrKS.mp4 ""Class ="" video-url ""&gt; &lt;input type ="" hidden ""name ="" ""value ="" https://images-eu.ssl-images-amazon.com/images/I/91fNxMTGbUS.png ""class ="" video-slate-img-url ""&gt; &amp; nbsp; Hello, this massager cushion ha"&amp;"s been a good buy, so good that it is always busy, or has my wife or children have, the truth is that it is fine, they seem a hands that make you massage, if you press twice heat activates the function, I recommend")</f>
        <v>Look like hands &lt;div id = "video-block-R1WUQVMA1HOQOX" class = "a-section a-spacing-small a-spacing-top mini video-block"&gt; &lt;div tabindex = "0" class = "airy airy-svg vmin-supported airy-skin-beacon "style =" background-color: rgb (0, 0, 0) position: relative; width: 100%; height: 100%; font-size: 0px; overflow: hidden; outline : none; "&gt; &lt;div class =" airy-renderer-container "style =" position: relative; height: 100%; width: 100%; "&gt; &lt;video id =" 47 "preload =" auto "src =" https://images-eu.ssl-images-amazon.com/images/I/91uK+SdTrKS.mp4 "style =" position: absolute; left: 0px; top: 0px; overflow: hidden; height: 1px; width : 1px; "&gt; &lt;/ video&gt; &lt;/ div&gt; &lt;div id =" airy-slate-preload "style =" background-color: rgb (0, 0, 0); background-image: url (&amp; quot; https: //images-eu.ssl-images-amazon.com/images/I/91fNxMTGbUS.png&amp;quot;); background-size: Contain; background-position: center center; background-repeat: no-repeat; position: absolute; top : 0px; left: 0px; visibility: visible; width: 100%; height: 100%; "&gt; &lt;/ div&gt; &lt;iframe scrolling =" n or "frameborder =" 0 "src =" about: blank "style =" display: none; "&gt; &lt;/ iframe&gt; &lt;div tabindex =" - 1 "class =" airy-controls-container "style =" opacity: 0 ; visibility: hidden; "&gt; &lt;div tabindex =" - 1 "class =" airy-screen-size-toggle airy-fullscreen "&gt; &lt;/ div&gt; &lt;div tabindex =" - 1 "class =" airy-container-bottom " &gt; &lt;div tabindex = "- 1" class = "airy-track-bar-spacer-left" style = "width: 11px;"&gt; &lt;/ div&gt; &lt;div tabindex = "- 1" class = "airy-play- airy toggle-play "style =" width: 12px; margin-right: 12px; "&gt; &lt;/ div&gt; &lt;div tabindex =" - 1 "class =" airy-audio-elements "style =" float: right; width: 34px; "&gt; &lt;div tabindex =" - 1 "class =" airy-audio-toggle airy-on "&gt; &lt;/ div&gt; &lt;div tabindex =" - 1 "class =" airy-audio-container "style = "opacity: 0; visibility: hidden; "&gt; &lt;div tabindex =" - 1 "class =" airy-audio-track-bar "style =" height: 80%; "&gt; &lt;div tabindex =" - 1 "class =" airy-audio- Scrubber-bar "style =" height: 85%; "&gt; &lt;/ div&gt; &lt;div tabindex =" - 1 "class =" airy-audio-scrubber "style =" height: 12px; bottom 85% "&gt; &lt;/ div&gt; &lt;/ div&gt; &lt;/ div&gt; &lt;/ div&gt; &lt;div tabindex =" - 1 "class =" airy-duration-label "style =" float: right; width: 26px; margin-right: 4px; text-align: center; "&gt; 0:00 &lt;/ div&gt; &lt;div tabindex =" - 1 "class =" airy-track-bar-spacer-right "style =" float: right; width: 11px; "&gt; &lt;/ div&gt; &lt;div tabindex =" - 1 "class =" airy-track-bar-container "style =" margin-left: 35px; margin-right: 75px; "&gt; &lt;div tabindex =" - 1 "class =" airy-airy-track-bar vertically-centering-table "&gt; &lt;div tabindex =" - 1 "class =" airy-Vertical-centering- table-cell "&gt; &lt;div tabindex =" - 1 "class =" airy-track-bar-elements "&gt; &lt;div tabindex =" - 1 "class =" airy-progress-bar "&gt; &lt;/ div&gt; &lt;div tabindex = "- 1" class = "airy-scrubber-bar"&gt; &lt;/ div&gt; &lt;div tabindex = "- 1" class = "airy-scrubber"&gt; &lt;div tabindex = "- 1" class = "airy-scrubber- icon "&gt; &lt;/ div&gt; &lt;div tabindex =" - 1 "class =" airy-adjusted-AUI-tooltip "style =" opacity: 0; visibility: hidden; "&gt; &lt;div tabindex =" - 1 "class =" airy-adjusted-aui-tooltip-inner "&gt; &lt;div tabindex =" - 1 "class =" airy-current-time-label "&gt; 0: 00 &lt;/ div&gt; &lt;/ div&gt; &lt;div tabindex = "- 1" class = "airy-adjusted-AUI-arrow-border"&gt; &lt;div tabindex = "- 1" class = "airy-adjusted-AUI-arrow" &gt; &lt;/ div&gt; &lt;/ div&gt; &lt;/ div&gt; &lt;/ div&gt; &lt;/ div&gt; &lt;/ div&gt; &lt;/ div&gt; &lt;/ div&gt; &lt;/ div&gt; &lt;/ div&gt; &lt;div tabindex = "- 1" class = "airy-age-gate airy-stage airy-Vertical-centering-table airy-dialog" style = "opacity: 0; visibility: hidden; "&gt; &lt;div tabindex =" - 1 "class =" airy-age-gate-Vertical-centering-table-cell airy-Vertical-centering-table-cell "&gt; &lt;div tabindex =" - 1 "class = "airy-Vertical-centering-wrapper airy-age-gate-elements-wrapper"&gt; &lt;div tabindex = "- 1" class = "airy-age-gate-elements airy-dialog-elements"&gt; &lt;div tabindex = " -1 "class =" airy-age-gate-prompt "&gt; This video is not Intended for all audiences What date were you born &lt;/ div&gt; &lt;div tabindex =.?" - 1 "class =" airy-age-gate -inputs airy-dialog-inner-elements "&gt; &lt;select tabindex =" - 1 "class =" airy-age-gate-month "&gt; &lt;option value =" 1 "&gt; January &lt;/ option&gt; &lt;option value =" 2 "&gt; February &lt;/ option&gt; &lt;option value =" 3 "&gt; March &lt;/ option&gt; &lt;option value =" 4 "&gt; April &lt;/ option&gt; &lt;option value =" 5 "&gt; May &lt;/ option&gt; &lt;option value = "6"&gt; June &lt;/ option&gt; &lt;option value = "7"&gt; July &lt;/ option&gt; &lt;option value = "8"&gt; August &lt;/ option&gt; &lt;option value = "9"&gt; September &lt;/ option&gt; &lt;option value = "10"&gt; October &lt;/ option&gt; &lt;option value = "11"&gt; November &lt;/ option&gt; &lt;option value = "12"&gt; December &lt;/ option&gt; &lt;/ select&gt; &lt;select tabindex = "- 1" class = "airy-age-gate-day"&gt; &lt;opti on value = "1"&gt; 1 &lt;/ option&gt; &lt;option value = "2"&gt; 2 &lt;/ option&gt; &lt;option value = "3"&gt; 3 &lt;/ option&gt; &lt;option value = "4"&gt; 4 &lt;/ option &gt; &lt;option value = "5"&gt; 5 &lt;/ option&gt; &lt;option value = "6"&gt; 6 &lt;/ option&gt; &lt;option value = "7"&gt; 7 &lt;/ option&gt; &lt;option value = "8"&gt; 8 &lt; / option&gt; &lt;option value = "9"&gt; 9 &lt;/ option&gt; &lt;option value = "10"&gt; 10 &lt;/ option&gt; &lt;option value = "11"&gt; 11 &lt;/ option&gt; &lt;option value = "12"&gt; 12 &lt;/ option&gt; &lt;option value = "13"&gt; 13 &lt;/ option&gt; &lt;option value = "14"&gt; 14 &lt;/ option&gt; &lt;option value = "15"&gt; 15 &lt;/ option&gt; &lt;option value = "16 "&gt; 16 &lt;/ option&gt; &lt;option value =" 17 "&gt; 17 &lt;/ option&gt; &lt;option value =" 18 "&gt; 18 &lt;/ option&gt; &lt;option value =" 19 "&gt; 19 &lt;/ option&gt; &lt;option value = "20"&gt; 20 &lt;/ option&gt; &lt;option value = "21"&gt; 21 &lt;/ option&gt; &lt;option value = "22"&gt; 22 &lt;/ option&gt; &lt;option value = "23"&gt; 23 &lt;/ option&gt; &lt;option value = "24"&gt; 24 &lt;/ option&gt; &lt;option value = "25"&gt; 25 &lt;/ option&gt; &lt;option value = "26"&gt; 26 &lt;/ option&gt; &lt;option value = "27"&gt; 27 &lt;/ option&gt; &lt;option value = "28"&gt; 28 &lt;/ option&gt; &lt;option value = "29"&gt; 29 &lt;/ option&gt; &lt;option value = "30"&gt; 30 &lt;/ option&gt; &lt;option value = "31"&gt; 31 &lt;/ option&gt; &lt;/ select&gt; &lt;select tabindex = "- 1" class = "airy-age-gate-year"&gt; &lt;option value = "2019"&gt; 2019 &lt;/ option&gt; &lt; option value = "2018"&gt; 2018 &lt;/ option&gt; &lt;option value = "2017"&gt; 2017 &lt;/ option&gt; &lt;option value = "2016"&gt; ​​2016 &lt;/ option&gt; &lt;option value = "2015"&gt; 2015 &lt;/ option &gt; &lt;option value = "2014"&gt; 2014 &lt;/ option&gt; &lt;option value = "2013"&gt; 2013 &lt;/ option&gt; &lt;option value = "2012"&gt; 2012 &lt;/ option&gt; &lt;option value = "2011"&gt; 2011 &lt; / option&gt; &lt;option value = "2010"&gt; 2010 &lt;/ option&gt; &lt;option value = "2009"&gt; 2009 &lt;/ option&gt; &lt;option value = "2008"&gt; 2008 &lt;/ option&gt; &lt;option value = "2007"&gt; 2007 &lt;/ option&gt; &lt;option value = "2006"&gt; 2006 &lt;/ option&gt; &lt;option value = "2005"&gt; 2005 &lt;/ option&gt; &lt;option value = "2004"&gt; 2004 &lt;/ option&gt; &lt;option value = "2003 "&gt; 2003 &lt;/ option&gt; &lt;option value =" 2002 "&gt; 2002 &lt;/ option&gt; &lt;option value =" 2001 "&gt; 2001 &lt;/ option&gt; &lt;option value =" 2000 "&gt; 2000 &lt;/ option&gt; &lt;option value = "1999"&gt; 1999 &lt;/ option&gt; &lt;option value = "1998"&gt; 1998 &lt;/ option&gt; &lt;option value = "1997"&gt; 1997 &lt;/ option&gt; &lt;option value = "1996"&gt; 1996 &lt;/ option&gt; &lt;option value = "1995"&gt; 1995 &lt;/ option&gt; &lt;option value = "1994"&gt; 1994 &lt;/ option&gt; &lt;option value = "1993"&gt; 1993 &lt;/ option&gt; &lt;option value = "1992"&gt; 1992 &lt;/ option&gt; &lt;option value = "1991"&gt; 1991 &lt;/ option&gt; &lt;option value = "1990"&gt; 1990 &lt;/ option&gt; &lt;option value = " 1989 "&gt; 1989 &lt;/ option&gt; &lt;option value =" 1988 "&gt; 1988 &lt;/ option&gt; &lt;option value =" 1987 "&gt; 1987 &lt;/ option&gt; &lt;option value =" 1986 "&gt; 1986 &lt;/ option&gt; &lt;value option = "1985"&gt; 1985 &lt;/ option&gt; &lt;option value = "1984"&gt; 1984 &lt;/ option&gt; &lt;option value = "1983"&gt; 1983 &lt;/ option&gt; &lt;option value = "1982"&gt; 1982 &lt;/ option&gt; &lt; option value = "1981"&gt; 1981 &lt;/ option&gt; &lt;option value = "1980"&gt; 1980 &lt;/ option&gt; &lt;option value = "1979"&gt; 1979 &lt;/ option&gt; &lt;option value = "1978"&gt; 1978 &lt;/ option &gt; &lt;option value = "1977"&gt; 1977 &lt;/ option&gt; &lt;option value = "1976"&gt; 1976 &lt;/ option&gt; &lt;option value = "1975"&gt; 1975 &lt;/ option&gt; &lt;option value = "1974"&gt; 1974 &lt; / option&gt; &lt;option value = "1973"&gt; 1973 &lt;/ option&gt; &lt;option value = "1972"&gt; 1972 &lt;/ option&gt; &lt;option value = "1971"&gt; 1971 &lt;/ option&gt; &lt;option value = "1970"&gt; 1970 &lt;/ option&gt; &lt;option value = "1969"&gt; 1969 &lt;/ option&gt; &lt;option value = "1968"&gt; 1968 &lt;/ option&gt; &lt;option value = "1967"&gt; 1967 &lt;/ option&gt; &lt;option value = "1966 "&gt; 1966 &lt;/ option&gt; &lt;option value =" 1965 "&gt; 1965 &lt;/ option&gt; &lt;option value =" 1964 "&gt; 1964 &lt;/ option&gt; &lt;option value =" 1963 "&gt; 1963 &lt;/ option&gt; &lt;option value = "1962"&gt; 1962 &lt;/ option&gt; &lt;option value = "1961"&gt; 1961 &lt;/ option&gt; &lt;option value = "1960"&gt; 1960 &lt;/ op tion&gt; &lt;option value = "1959"&gt; 1959 &lt;/ option&gt; &lt;option value = "1958"&gt; 1958 &lt;/ option&gt; &lt;option value = "1957"&gt; 1957 &lt;/ option&gt; &lt;option value = "1956"&gt; 1956 &lt;/ option&gt; &lt;option value = "1955"&gt; 1955 &lt;/ option&gt; &lt;option value = "1954"&gt; 1954 &lt;/ option&gt; &lt;option value = "1953"&gt; 1953 &lt;/ option&gt; &lt;option value = "1952" &gt; 1952 &lt;/ option&gt; &lt;option value = "1951"&gt; 1951 &lt;/ option&gt; &lt;option value = "1950"&gt; 1950 &lt;/ option&gt; &lt;option value = "1949"&gt; 1949 &lt;/ option&gt; &lt;option value = " 1948 "&gt; 1948 &lt;/ option&gt; &lt;option value =" 1947 "&gt; 1947 &lt;/ option&gt; &lt;option value =" 1946 "&gt; 1946 &lt;/ option&gt; &lt;option value =" 1945 "&gt; 1945 &lt;/ option&gt; &lt;value option = "1944"&gt; 1944 &lt;/ option&gt; &lt;option value = "1943"&gt; 1943 &lt;/ option&gt; &lt;option value = "1942"&gt; 1942 &lt;/ option&gt; &lt;option value = "1941"&gt; 1941 &lt;/ option&gt; &lt; option value = "1940"&gt; 1940 &lt;/ option&gt; &lt;option value = "1939"&gt; 1939 &lt;/ option&gt; &lt;option value = "1938"&gt; 1938 &lt;/ option&gt; &lt;option value = "1937"&gt; 1937 &lt;/ option &gt; &lt;option value = "1936"&gt; 1936 &lt;/ option&gt; &lt;option value = "1935"&gt; 1935 &lt;/ option&gt; &lt;option value = "1934"&gt; 1934 &lt;/ option&gt; &lt;option value = "1933"&gt; 1933 &lt; / option&gt; &lt;option value = "1932"&gt; 1932 &lt;/ option&gt; &lt;option value = "1931"&gt; 1931 &lt;/ option&gt; &lt;option v alue = "1930"&gt; 1930 &lt;/ option&gt; &lt;option value = "1929"&gt; 1929 &lt;/ option&gt; &lt;option value = "1928"&gt; 1928 &lt;/ option&gt; &lt;option value = "1927"&gt; 1927 &lt;/ option&gt; &lt;option value = "1926"&gt; 1926 &lt;/ option&gt; &lt;option value = "1925"&gt; 1925 &lt;/ option&gt; &lt;option value = "1924"&gt; 1924 &lt;/ option&gt; &lt;option value = "1923"&gt; 1923 &lt;/ option&gt; &lt;option value = "1922"&gt; 1922 &lt;/ option&gt; &lt;option value = "1921"&gt; 1921 &lt;/ option&gt; &lt;option value = "1920"&gt; 1920 &lt;/ option&gt; &lt;option value = "1919"&gt; 1919 &lt;/ option&gt; &lt;option value = "1918"&gt; 1918 &lt;/ option&gt; &lt;option value = "1917"&gt; 1917 &lt;/ option&gt; &lt;option value = "1916"&gt; 1916 &lt;/ option&gt; &lt;option value = "1915" &gt; 1915 &lt;/ option&gt; &lt;option value = "1914"&gt; 1914 &lt;/ option&gt; &lt;option value = "1913"&gt; 1913 &lt;/ option&gt; &lt;option value = "1912"&gt; 1912 &lt;/ option&gt; &lt;option value = " 1911 "&gt; 1911 &lt;/ option&gt; &lt;option value =" 1910 "&gt; 1910 &lt;/ option&gt; &lt;option value =" 1909 "&gt; 1909 &lt;/ option&gt; &lt;option value =" 1908 "&gt; 1908 &lt;/ option&gt; &lt;value option = "1907"&gt; 1907 &lt;/ option&gt; &lt;option value = "1906"&gt; 1906 &lt;/ option&gt; &lt;option value = "1905"&gt; 1905 &lt;/ option&gt; &lt;option value = "1904"&gt; 1904 &lt;/ option&gt; &lt; option value = "1903"&gt; 1903 &lt;/ option&gt; &lt;option value = "1902"&gt; 1902 &lt;/ option&gt; &lt;option value = "1901"&gt; 19 01 &lt;/ option&gt; &lt;option value = "1900"&gt; 1900 &lt;/ option&gt; &lt;/ select&gt; &lt;div tabindex = "- 1" class = "airy-age-gate-submit airy-submit-button airy airy-submit- disabled "&gt; Submit &lt;/ div&gt; &lt;/ div&gt; &lt;/ div&gt; &lt;/ div&gt; &lt;/ div&gt; &lt;/ div&gt; &lt;div tabindex =" - 1 "class =" airy-install-flash-dialog airy-stage airy -vertical-centering-table-dialog airy airy-denied "style =" opacity: 0; visibility: hidden; "&gt; &lt;div tabindex =" - 1 "class =" airy-install-flash-Vertical-centering-table-cell airy-Vertical-centering-table-cell "&gt; &lt;div tabindex =" - 1 "class = "airy-Vertical-centering-wrapper airy-install-flash-elements-wrapper"&gt; &lt;div tabindex = "- 1" class = "airy-install-flash-elements airy-dialog-elements"&gt; &lt;div tabindex = " -1 "class =" airy-install-flash-prompt "&gt; Adobe Flash Player is required to watch this video &lt;/ div&gt; &lt;div tabindex =." - 1 "class =" airy-install-flash-button-wrapper airy -dialog-inner-elements "&gt; &lt;div tabindex =" - 1 "class =" airy-install-flash-button airy-button "&gt; install Flash Player &lt;/ div&gt; &lt;/ div&gt; &lt;/ div&gt; &lt;/ div&gt; &lt;/ div&gt; &lt;/ div&gt; &lt;div tabindex = "- 1" class = "airy-video-unsupported-dialog airy-stage airy-Vertical-centering-table airy-dialog airy-denied" style = "opacity: 0; visibility: hidden; "&gt; &lt;div tabindex =" - 1 "class =" airy-video-unsupported-Vertical-centering-table-cell airy-Vertical-centering-table-cell "&gt; &lt;div tabindex =" - 1 "class = "airy-Vertical-centering-wrapper airy-video-unsupported-elements-wrapper"&gt; &lt;div tabindex = "- 1" class = "airy-video-unsupported-elements airy-dialog-elements"&gt; &lt;div tabindex = " -1 "class =" airy-video-unsupported-prompt "&gt; &lt;/ div&gt; &lt;/ div&gt; &lt;/ div&gt; &lt;/ div&gt; &lt;/ div&gt; &lt;div tabindex =" - 1 "class =" airy-loading- spinner-stage airy-stage "&gt; &lt;div tabindex =" - 1 "class =" airy-loading-spinner-Vertical-centering-table-cell airy-Vertical-centering-table-cell "&gt; &lt;div tabindex =" - 1 "class =" airy-loading-spinner-container airy-scalable-hint-container "&gt; &lt;div tabindex =" - 1 "class =" airy-loading-spinner-dummy airy-scalable-dummy "&gt; &lt;/ div&gt; &lt; div tabindex = "- 1" class = "airy-loading-spinner airy-hint" style = "visibility: hidden;"&gt; &lt;/ div&gt; &lt;/ div&gt; &lt;/ div&gt; &lt;/ div&gt; &lt;div tabindex = "- 1 "class =" airy-ads-screen-size-toggle airy-screen-size-toggle-fullscreen airy "style =" visibility: hidden; "&gt; &lt;/ div&gt; &lt;div tabindex = "-1" class = "airy-ad-prompt-container" style = "visibility: hidden;"&gt; &lt;div tabindex = "- 1" class = "airy-ad-prompt-Vertical-centering-table-vertically airy centering-table "&gt; &lt;div tabindex =" - 1 "class =" airy-ad-prompt-Vertical-centering-table-cell airy-Vertical-centering-table-cell "&gt; &lt;div tabindex =" - 1 "class = "airy-ad-prompt-label"&gt; &lt;/ div&gt; &lt;/ div&gt; &lt;/ div&gt; &lt;/ div&gt; &lt;div tabindex = "- 1" class = "airy-ads-controls-container" style = "visibility: hidden; "&gt; &lt;div tabindex =" - 1 "class =" airy-ads-audio-toggle airy-audio-toggle airy-on "style =" visibility: hidden; "&gt; &lt;/ div&gt; &lt;div tabindex =" - 1 "class =" airy-time-remaining-label-container "&gt; &lt;div tabindex =" - 1 "class =" airy-time-remaining-Vertical-centering-table airy-Vertical-centering-table "&gt; &lt;div tabindex = "- 1" class = "airy-time-remaining-Vertical-centering-table-cell airy-Vertical-centering-table-cell"&gt; &lt;div tabindex = "- 1" class = "airy-Vertical-centering-wrapper airy-time-remaining-label-wrapper "&gt; &lt;div tabindex =" - 1 "class =" airy-time-remaining-label "style =" visibility: hidden; "&gt; &lt;/ div&gt; &lt;div tabi ndex = "- 1" class = "airy-ad-skip" style = "visibility: hidden;"&gt; &lt;/ div&gt; &lt;div tabindex = "- 1" class = "airy-ad-end" style = "visibility: hidden "&gt; &lt;/ div&gt; &lt;/ div&gt; &lt;/ div&gt; &lt;/ div&gt; &lt;/ div&gt; &lt;div tabindex =" - 1 "class =" airy-learn-more "style =" visibility: hidden; "&gt; &lt;/ div&gt; &lt;/ div&gt; &lt;div tabindex = "- 1" class = "airy-play-toggle-hint-stage airy-stage airy-cursor"&gt; &lt;div tabindex = "- 1" class = "airy-play -toggle-hint-Vertical-centering-table-cell airy-Vertical-centering-table-cell airy-cursor "&gt; &lt;div tabindex =" - 1 "class =" airy-play-toggle-hint-container airy-scalable- Hint-container "&gt; &lt;div tabindex =" - 1 "class =" airy-play-toggle-hint-dummy airy-scalable-dummy "&gt; &lt;/ div&gt; &lt;div tabindex =" - 1 "class =" airy-play -toggle-hint hint airy-airy-play-hint "style =" opacity: 1; visibility: visible; "&gt; &lt;/ div&gt; &lt;/ div&gt; &lt;/ div&gt; &lt;/ div&gt; &lt;div tabindex =" - 1 "class =" airy-replay-hint-stage airy-stage "style =" visibility: hidden ; "&gt; &lt;div tabindex =" - 1 "class =" airy-replay-hint-Vertical-centering-table-cell airy-Vertical-centering-table-cell airy-cursor "&gt; &lt;div tabindex =" - 1 "class = "airy-replay-hint-container airy-scalable-hint-container"&gt; &lt;div tabindex = "- 1" class = "airy-replay-hint-dummy airy-scalable-dummy"&gt; &lt;/ div&gt; &lt;div tabindex = "- 1" class = "airy-replay-hint airy-hint"&gt; &lt;/ div&gt; &lt;/ div&gt; &lt;/ div&gt; &lt;/ div&gt; &lt;div tabindex = "- 1" class = "airy-autoplay-hint -stage airy-stage "style =" visibility: hidden; "&gt; &lt;div tabindex =" - 1 "class =" airy-autoplay-hint-Vertical-centering-table-cell airy-Vertical-centering-table-cell airy- cursor "&gt; &lt;div tabindex =" - 1 "class =" autoplay airy-airy-hint-container-scalable-hint-container "&gt; &lt;div tabindex =" - 1 "class =" airy-autoplay-hint-dummy airy- scalable-dummy "&gt; &lt;/ div&gt; &lt;/ div&gt; &lt;/ div&gt; &lt;/ div&gt; &lt;/ div&gt; &lt;/ div&gt; &lt;input type =" hidden "name =" "value =" https: // images-eu .ssl-images-amazon.com / images / I / 91uK + SdTrKS.mp4 "Class =" video-url "&gt; &lt;input type =" hidden "name =" "value =" https://images-eu.ssl-images-amazon.com/images/I/91fNxMTGbUS.png "class =" video-slate-img-url "&gt; &amp; nbsp; Hello, this massager cushion has been a good buy, so good that it is always busy, or has my wife or children have, the truth is that it is fine, they seem a hands that make you massage, if you press twice heat activates the function, I recommend</v>
      </c>
    </row>
    <row r="1491">
      <c r="A1491" s="1">
        <v>5.0</v>
      </c>
      <c r="B1491" s="1" t="s">
        <v>1482</v>
      </c>
      <c r="C1491" t="str">
        <f>IFERROR(__xludf.DUMMYFUNCTION("GOOGLETRANSLATE(B1491, ""es"", ""en"")"),"A large microphone. Certainly a great microphone at a great price (I must also say that I bought it during the Black Friday to 99.99 €). He planned to buy the snowball (you can put omnidirectional as it is a pattern I need) when I found this a little more"&amp;" so I decided to buy it and do not regret. But I have to say to the normal price (between 150 € and € 160) if you do not need different recording modes and you used only with cardioid, the snowball is a much cheaper option to consider, that if a quality a"&amp;"udio slightly lower (very bottom).")</f>
        <v>A large microphone. Certainly a great microphone at a great price (I must also say that I bought it during the Black Friday to 99.99 €). He planned to buy the snowball (you can put omnidirectional as it is a pattern I need) when I found this a little more so I decided to buy it and do not regret. But I have to say to the normal price (between 150 € and € 160) if you do not need different recording modes and you used only with cardioid, the snowball is a much cheaper option to consider, that if a quality audio slightly lower (very bottom).</v>
      </c>
    </row>
    <row r="1492">
      <c r="A1492" s="1">
        <v>5.0</v>
      </c>
      <c r="B1492" s="1" t="s">
        <v>1483</v>
      </c>
      <c r="C1492" t="str">
        <f>IFERROR(__xludf.DUMMYFUNCTION("GOOGLETRANSLATE(B1492, ""es"", ""en"")"),"excellent Buenisimos")</f>
        <v>excellent Buenisimos</v>
      </c>
    </row>
    <row r="1493">
      <c r="A1493" s="1">
        <v>5.0</v>
      </c>
      <c r="B1493" s="1" t="s">
        <v>1484</v>
      </c>
      <c r="C1493" t="str">
        <f>IFERROR(__xludf.DUMMYFUNCTION("GOOGLETRANSLATE(B1493, ""es"", ""en"")"),"Good sound. Have a nice design, they are small, comfy and fit great ears. The sound is very good quality and sharpness. The battery is long-lasting, indicating what remains of battery in the charging case through a screen. The connector for charging the c"&amp;"assette is type C cable. They are matched quickly and easily with the device. Respond to touch, with a soft touch, allowing you to control music and calls. In manual biene including Spanish.")</f>
        <v>Good sound. Have a nice design, they are small, comfy and fit great ears. The sound is very good quality and sharpness. The battery is long-lasting, indicating what remains of battery in the charging case through a screen. The connector for charging the cassette is type C cable. They are matched quickly and easily with the device. Respond to touch, with a soft touch, allowing you to control music and calls. In manual biene including Spanish.</v>
      </c>
    </row>
    <row r="1494">
      <c r="A1494" s="1">
        <v>5.0</v>
      </c>
      <c r="B1494" s="1" t="s">
        <v>1485</v>
      </c>
      <c r="C1494" t="str">
        <f>IFERROR(__xludf.DUMMYFUNCTION("GOOGLETRANSLATE(B1494, ""es"", ""en"")"),"Ideal for winter Great product, easy to use, and add warm water inside. Very soft, lovely design. I lay in bed and sleep 1h before me is great.")</f>
        <v>Ideal for winter Great product, easy to use, and add warm water inside. Very soft, lovely design. I lay in bed and sleep 1h before me is great.</v>
      </c>
    </row>
    <row r="1495">
      <c r="A1495" s="1">
        <v>5.0</v>
      </c>
      <c r="B1495" s="1" t="s">
        <v>1486</v>
      </c>
      <c r="C1495" t="str">
        <f>IFERROR(__xludf.DUMMYFUNCTION("GOOGLETRANSLATE(B1495, ""es"", ""en"")"),"Bons per a MBF MBF Fem i ens work to Perfection")</f>
        <v>Bons per a MBF MBF Fem i ens work to Perfection</v>
      </c>
    </row>
    <row r="1496">
      <c r="A1496" s="1">
        <v>5.0</v>
      </c>
      <c r="B1496" s="1" t="s">
        <v>1487</v>
      </c>
      <c r="C1496" t="str">
        <f>IFERROR(__xludf.DUMMYFUNCTION("GOOGLETRANSLATE(B1496, ""es"", ""en"")"),"Perfect measures confined spaces perfect for tight spaces")</f>
        <v>Perfect measures confined spaces perfect for tight spaces</v>
      </c>
    </row>
    <row r="1497">
      <c r="A1497" s="1">
        <v>2.0</v>
      </c>
      <c r="B1497" s="1" t="s">
        <v>1488</v>
      </c>
      <c r="C1497" t="str">
        <f>IFERROR(__xludf.DUMMYFUNCTION("GOOGLETRANSLATE(B1497, ""es"", ""en"")"),"Low quality were broken by the tip a few months. Puma is lowering the quality of its products.")</f>
        <v>Low quality were broken by the tip a few months. Puma is lowering the quality of its products.</v>
      </c>
    </row>
    <row r="1498">
      <c r="A1498" s="1">
        <v>3.0</v>
      </c>
      <c r="B1498" s="1" t="s">
        <v>1489</v>
      </c>
      <c r="C1498" t="str">
        <f>IFERROR(__xludf.DUMMYFUNCTION("GOOGLETRANSLATE(B1498, ""es"", ""en"")"),"I bought a small size 43 and my son uses a 41, and are very fair, so I recommend you buy two sizes larger than normal. They are good quality and are soft, but they are not anything special, I have washed and have already gone some little balls, but retain"&amp;" the kind .....")</f>
        <v>I bought a small size 43 and my son uses a 41, and are very fair, so I recommend you buy two sizes larger than normal. They are good quality and are soft, but they are not anything special, I have washed and have already gone some little balls, but retain the kind .....</v>
      </c>
    </row>
    <row r="1499">
      <c r="A1499" s="1">
        <v>1.0</v>
      </c>
      <c r="B1499" s="1" t="s">
        <v>1490</v>
      </c>
      <c r="C1499" t="str">
        <f>IFERROR(__xludf.DUMMYFUNCTION("GOOGLETRANSLATE(B1499, ""es"", ""en"")"),"Not what I expected I've returned because it comes without battery sealed without warranty.")</f>
        <v>Not what I expected I've returned because it comes without battery sealed without warranty.</v>
      </c>
    </row>
    <row r="1500">
      <c r="A1500" s="1">
        <v>1.0</v>
      </c>
      <c r="B1500" s="1" t="s">
        <v>1491</v>
      </c>
      <c r="C1500" t="str">
        <f>IFERROR(__xludf.DUMMYFUNCTION("GOOGLETRANSLATE(B1500, ""es"", ""en"")"),"Half and half fabric leaves much to be desired.")</f>
        <v>Half and half fabric leaves much to be desired.</v>
      </c>
    </row>
    <row r="1501">
      <c r="A1501" s="1">
        <v>1.0</v>
      </c>
      <c r="B1501" s="1" t="s">
        <v>1492</v>
      </c>
      <c r="C1501" t="str">
        <f>IFERROR(__xludf.DUMMYFUNCTION("GOOGLETRANSLATE(B1501, ""es"", ""en"")"),"Michelangelo did not serve because they do not fit well in the ear. They will not fall off the ear, but he did not fit well in the ear, let too much noise outside, so it is up the volume to listen too (tested in the gym). They are also uncomfortable on th"&amp;"e ear because they have pads. I wanted to try these because I have some in-ear headphones cheap that I release to the run. Solution: buy other in-ear better quality and pads of different sizes.")</f>
        <v>Michelangelo did not serve because they do not fit well in the ear. They will not fall off the ear, but he did not fit well in the ear, let too much noise outside, so it is up the volume to listen too (tested in the gym). They are also uncomfortable on the ear because they have pads. I wanted to try these because I have some in-ear headphones cheap that I release to the run. Solution: buy other in-ear better quality and pads of different sizes.</v>
      </c>
    </row>
    <row r="1502">
      <c r="A1502" s="1">
        <v>4.0</v>
      </c>
      <c r="B1502" s="1" t="s">
        <v>1493</v>
      </c>
      <c r="C1502" t="str">
        <f>IFERROR(__xludf.DUMMYFUNCTION("GOOGLETRANSLATE(B1502, ""es"", ""en"")"),"As expected money's worth average, if you want hardback have to spend more money")</f>
        <v>As expected money's worth average, if you want hardback have to spend more money</v>
      </c>
    </row>
    <row r="1503">
      <c r="A1503" s="1">
        <v>4.0</v>
      </c>
      <c r="B1503" s="1" t="s">
        <v>1494</v>
      </c>
      <c r="C1503" t="str">
        <f>IFERROR(__xludf.DUMMYFUNCTION("GOOGLETRANSLATE(B1503, ""es"", ""en"")"),"Quality Excellent quality, allows you to place an organized all cables from home. Very satisfied")</f>
        <v>Quality Excellent quality, allows you to place an organized all cables from home. Very satisfied</v>
      </c>
    </row>
    <row r="1504">
      <c r="A1504" s="1">
        <v>4.0</v>
      </c>
      <c r="B1504" s="1" t="s">
        <v>1495</v>
      </c>
      <c r="C1504" t="str">
        <f>IFERROR(__xludf.DUMMYFUNCTION("GOOGLETRANSLATE(B1504, ""es"", ""en"")"),"For off-road microphone after almost a year to say that it is indestructible, and although it is not a Shure SM58, also costs 5 times less, fulfills its role perfectly in place.")</f>
        <v>For off-road microphone after almost a year to say that it is indestructible, and although it is not a Shure SM58, also costs 5 times less, fulfills its role perfectly in place.</v>
      </c>
    </row>
    <row r="1505">
      <c r="A1505" s="1">
        <v>4.0</v>
      </c>
      <c r="B1505" s="1" t="s">
        <v>1496</v>
      </c>
      <c r="C1505" t="str">
        <f>IFERROR(__xludf.DUMMYFUNCTION("GOOGLETRANSLATE(B1505, ""es"", ""en"")"),"Man shoulder bag with zipper care are somewhat fragile. But otherwise meets")</f>
        <v>Man shoulder bag with zipper care are somewhat fragile. But otherwise meets</v>
      </c>
    </row>
    <row r="1506">
      <c r="A1506" s="1">
        <v>5.0</v>
      </c>
      <c r="B1506" s="1" t="s">
        <v>1497</v>
      </c>
      <c r="C1506" t="str">
        <f>IFERROR(__xludf.DUMMYFUNCTION("GOOGLETRANSLATE(B1506, ""es"", ""en"")"),"recommended ring. Phenomenal for the original.Recomendable.Llegó precio.Igual before the estimated time, arrived in very good condition, well protected and is of very good quality.")</f>
        <v>recommended ring. Phenomenal for the original.Recomendable.Llegó precio.Igual before the estimated time, arrived in very good condition, well protected and is of very good quality.</v>
      </c>
    </row>
    <row r="1507">
      <c r="A1507" s="1">
        <v>5.0</v>
      </c>
      <c r="B1507" s="1" t="s">
        <v>1498</v>
      </c>
      <c r="C1507" t="str">
        <f>IFERROR(__xludf.DUMMYFUNCTION("GOOGLETRANSLATE(B1507, ""es"", ""en"")"),"Great! We have tried several bottles of different brands and losTommee Tippee are by far the ones we like to us and our baby.")</f>
        <v>Great! We have tried several bottles of different brands and losTommee Tippee are by far the ones we like to us and our baby.</v>
      </c>
    </row>
    <row r="1508">
      <c r="A1508" s="1">
        <v>5.0</v>
      </c>
      <c r="B1508" s="1" t="s">
        <v>1499</v>
      </c>
      <c r="C1508" t="str">
        <f>IFERROR(__xludf.DUMMYFUNCTION("GOOGLETRANSLATE(B1508, ""es"", ""en"")"),"Very good article for the winter season. Very comfortable. original product that met my expectations 100%")</f>
        <v>Very good article for the winter season. Very comfortable. original product that met my expectations 100%</v>
      </c>
    </row>
    <row r="1509">
      <c r="A1509" s="1">
        <v>5.0</v>
      </c>
      <c r="B1509" s="1" t="s">
        <v>1500</v>
      </c>
      <c r="C1509" t="str">
        <f>IFERROR(__xludf.DUMMYFUNCTION("GOOGLETRANSLATE(B1509, ""es"", ""en"")"),"Just as I imagined. Great buy. Nice, hard and big without being exaggerated even in narrow wrists. I was surprised how light it is. The combination of colors I love. Casio quality, everything is said. Recommended.")</f>
        <v>Just as I imagined. Great buy. Nice, hard and big without being exaggerated even in narrow wrists. I was surprised how light it is. The combination of colors I love. Casio quality, everything is said. Recommended.</v>
      </c>
    </row>
    <row r="1510">
      <c r="A1510" s="1">
        <v>5.0</v>
      </c>
      <c r="B1510" s="1" t="s">
        <v>1501</v>
      </c>
      <c r="C1510" t="str">
        <f>IFERROR(__xludf.DUMMYFUNCTION("GOOGLETRANSLATE(B1510, ""es"", ""en"")"),"No complaints Very nice black mouse pad. You can wash it if it gets dirty and does not break or anything.")</f>
        <v>No complaints Very nice black mouse pad. You can wash it if it gets dirty and does not break or anything.</v>
      </c>
    </row>
    <row r="1511">
      <c r="A1511" s="1">
        <v>5.0</v>
      </c>
      <c r="B1511" s="1" t="s">
        <v>1502</v>
      </c>
      <c r="C1511" t="str">
        <f>IFERROR(__xludf.DUMMYFUNCTION("GOOGLETRANSLATE(B1511, ""es"", ""en"")"),"Japanese tea ceremony kit with very good price.")</f>
        <v>Japanese tea ceremony kit with very good price.</v>
      </c>
    </row>
    <row r="1512">
      <c r="A1512" s="1">
        <v>5.0</v>
      </c>
      <c r="B1512" s="1" t="s">
        <v>1503</v>
      </c>
      <c r="C1512" t="str">
        <f>IFERROR(__xludf.DUMMYFUNCTION("GOOGLETRANSLATE(B1512, ""es"", ""en"")"),"It lacks a good micro LED to indicate battery status")</f>
        <v>It lacks a good micro LED to indicate battery status</v>
      </c>
    </row>
    <row r="1513">
      <c r="A1513" s="1">
        <v>5.0</v>
      </c>
      <c r="B1513" s="1" t="s">
        <v>1504</v>
      </c>
      <c r="C1513" t="str">
        <f>IFERROR(__xludf.DUMMYFUNCTION("GOOGLETRANSLATE(B1513, ""es"", ""en"")"),"Super Memory Card reputable manufacturer. Super Memory Card reputable manufacturer. With it you can expand the capacity of your mobile device or tablet and not worry about how many photos or music you go poking into 32 gb go far. In addition it is categor"&amp;"y 10 and that gives rates of read and write very good card and of course much higher than those of the same cards in capacity but of category 4. In my view worth buying the category 10 vs. the category 4. the manufacturer is a renowned supplier of devices"&amp;" RAM, SSDs, memory cards, etc. For me a very wise choice.")</f>
        <v>Super Memory Card reputable manufacturer. Super Memory Card reputable manufacturer. With it you can expand the capacity of your mobile device or tablet and not worry about how many photos or music you go poking into 32 gb go far. In addition it is category 10 and that gives rates of read and write very good card and of course much higher than those of the same cards in capacity but of category 4. In my view worth buying the category 10 vs. the category 4. the manufacturer is a renowned supplier of devices RAM, SSDs, memory cards, etc. For me a very wise choice.</v>
      </c>
    </row>
    <row r="1514">
      <c r="A1514" s="1">
        <v>5.0</v>
      </c>
      <c r="B1514" s="1" t="s">
        <v>1505</v>
      </c>
      <c r="C1514" t="str">
        <f>IFERROR(__xludf.DUMMYFUNCTION("GOOGLETRANSLATE(B1514, ""es"", ""en"")"),"They genial have arrived earlier than expected. Very happy because it was for a gift. They are very original and the quality is pretty good for the money you have.")</f>
        <v>They genial have arrived earlier than expected. Very happy because it was for a gift. They are very original and the quality is pretty good for the money you have.</v>
      </c>
    </row>
    <row r="1515">
      <c r="A1515" s="1">
        <v>5.0</v>
      </c>
      <c r="B1515" s="1" t="s">
        <v>1506</v>
      </c>
      <c r="C1515" t="str">
        <f>IFERROR(__xludf.DUMMYFUNCTION("GOOGLETRANSLATE(B1515, ""es"", ""en"")"),"Good product All good")</f>
        <v>Good product All good</v>
      </c>
    </row>
    <row r="1516">
      <c r="A1516" s="1">
        <v>5.0</v>
      </c>
      <c r="B1516" s="1" t="s">
        <v>1507</v>
      </c>
      <c r="C1516" t="str">
        <f>IFERROR(__xludf.DUMMYFUNCTION("GOOGLETRANSLATE(B1516, ""es"", ""en"")"),"They are genuine fur. authentic sports. Are the originals. Skin. My daughter used 37, 37.5 and asked are perfect. She has the narrow foot so that means more number will suffice. Calzan something small so you have to ask means or another number. Delighted "&amp;"with purchase. He arrived earlier than expected.")</f>
        <v>They are genuine fur. authentic sports. Are the originals. Skin. My daughter used 37, 37.5 and asked are perfect. She has the narrow foot so that means more number will suffice. Calzan something small so you have to ask means or another number. Delighted with purchase. He arrived earlier than expected.</v>
      </c>
    </row>
    <row r="1517">
      <c r="A1517" s="1">
        <v>5.0</v>
      </c>
      <c r="B1517" s="1" t="s">
        <v>1508</v>
      </c>
      <c r="C1517" t="str">
        <f>IFERROR(__xludf.DUMMYFUNCTION("GOOGLETRANSLATE(B1517, ""es"", ""en"")"),"It fits the description Good quality product.")</f>
        <v>It fits the description Good quality product.</v>
      </c>
    </row>
    <row r="1518">
      <c r="A1518" s="1">
        <v>5.0</v>
      </c>
      <c r="B1518" s="1" t="s">
        <v>1509</v>
      </c>
      <c r="C1518" t="str">
        <f>IFERROR(__xludf.DUMMYFUNCTION("GOOGLETRANSLATE(B1518, ""es"", ""en"")"),"Precious gift I loved both me and my wife. It has a good size, not too big or small. The finishes are good and beautiful, when light reflects crystals, very cool shines. Everything seems good quality I am very happy to buy it and my wife for the gift.")</f>
        <v>Precious gift I loved both me and my wife. It has a good size, not too big or small. The finishes are good and beautiful, when light reflects crystals, very cool shines. Everything seems good quality I am very happy to buy it and my wife for the gift.</v>
      </c>
    </row>
    <row r="1519">
      <c r="A1519" s="1">
        <v>5.0</v>
      </c>
      <c r="B1519" s="1" t="s">
        <v>1510</v>
      </c>
      <c r="C1519" t="str">
        <f>IFERROR(__xludf.DUMMYFUNCTION("GOOGLETRANSLATE(B1519, ""es"", ""en"")"),"All perfect! Super nice. Slightly thicker fabric that classic converse. I took my number and I had to change one less. He arrived earlier than expected. Very happy!")</f>
        <v>All perfect! Super nice. Slightly thicker fabric that classic converse. I took my number and I had to change one less. He arrived earlier than expected. Very happy!</v>
      </c>
    </row>
    <row r="1520">
      <c r="A1520" s="1">
        <v>5.0</v>
      </c>
      <c r="B1520" s="1" t="s">
        <v>1511</v>
      </c>
      <c r="C1520" t="str">
        <f>IFERROR(__xludf.DUMMYFUNCTION("GOOGLETRANSLATE(B1520, ""es"", ""en"")"),"Very good quality, great adhesiveness")</f>
        <v>Very good quality, great adhesiveness</v>
      </c>
    </row>
    <row r="1521">
      <c r="A1521" s="1">
        <v>5.0</v>
      </c>
      <c r="B1521" s="1" t="s">
        <v>1512</v>
      </c>
      <c r="C1521" t="str">
        <f>IFERROR(__xludf.DUMMYFUNCTION("GOOGLETRANSLATE(B1521, ""es"", ""en"")"),"Very good. Good product displays clean me well and leaves a good smell. Immediately dried quickly and efficiently. The only downside is that something came open and the bag came a little wet.")</f>
        <v>Very good. Good product displays clean me well and leaves a good smell. Immediately dried quickly and efficiently. The only downside is that something came open and the bag came a little wet.</v>
      </c>
    </row>
    <row r="1522">
      <c r="A1522" s="1">
        <v>5.0</v>
      </c>
      <c r="B1522" s="1" t="s">
        <v>1513</v>
      </c>
      <c r="C1522" t="str">
        <f>IFERROR(__xludf.DUMMYFUNCTION("GOOGLETRANSLATE(B1522, ""es"", ""en"")"),"Perfect A great and very quality product at a good price.")</f>
        <v>Perfect A great and very quality product at a good price.</v>
      </c>
    </row>
    <row r="1523">
      <c r="A1523" s="1">
        <v>5.0</v>
      </c>
      <c r="B1523" s="1" t="s">
        <v>1514</v>
      </c>
      <c r="C1523" t="str">
        <f>IFERROR(__xludf.DUMMYFUNCTION("GOOGLETRANSLATE(B1523, ""es"", ""en"")"),"VERY VERY NICE BONITTOS SUGGEST ask one size smaller to make them JUST AND NOT COME OUT IN THE WATER.")</f>
        <v>VERY VERY NICE BONITTOS SUGGEST ask one size smaller to make them JUST AND NOT COME OUT IN THE WATER.</v>
      </c>
    </row>
    <row r="1524">
      <c r="A1524" s="1">
        <v>5.0</v>
      </c>
      <c r="B1524" s="1" t="s">
        <v>1515</v>
      </c>
      <c r="C1524" t="str">
        <f>IFERROR(__xludf.DUMMYFUNCTION("GOOGLETRANSLATE(B1524, ""es"", ""en"")"),"Right size for what I needed is fine. Size large or small Mu. just enough")</f>
        <v>Right size for what I needed is fine. Size large or small Mu. just enough</v>
      </c>
    </row>
    <row r="1525">
      <c r="A1525" s="1">
        <v>2.0</v>
      </c>
      <c r="B1525" s="1" t="s">
        <v>1516</v>
      </c>
      <c r="C1525" t="str">
        <f>IFERROR(__xludf.DUMMYFUNCTION("GOOGLETRANSLATE(B1525, ""es"", ""en"")"),"He leaves much to be desired return the device because the battery begins to fail in its second week. Just clean a room and you clean the following costs so the meters cleaning promised in my case have not been met. Regarding scrubbing itself leaves much "&amp;"to be desired the same as other devices that have much cheaper Chinese origin because they both lack intensity scrubbing is not enough to pass a damp cloth to descale dirt I fear that still needed to to have a good automatic floor cleaner for residential.")</f>
        <v>He leaves much to be desired return the device because the battery begins to fail in its second week. Just clean a room and you clean the following costs so the meters cleaning promised in my case have not been met. Regarding scrubbing itself leaves much to be desired the same as other devices that have much cheaper Chinese origin because they both lack intensity scrubbing is not enough to pass a damp cloth to descale dirt I fear that still needed to to have a good automatic floor cleaner for residential.</v>
      </c>
    </row>
    <row r="1526">
      <c r="A1526" s="1">
        <v>3.0</v>
      </c>
      <c r="B1526" s="1" t="s">
        <v>1517</v>
      </c>
      <c r="C1526" t="str">
        <f>IFERROR(__xludf.DUMMYFUNCTION("GOOGLETRANSLATE(B1526, ""es"", ""en"")"),"Practical, without being exceptional good value for money")</f>
        <v>Practical, without being exceptional good value for money</v>
      </c>
    </row>
    <row r="1527">
      <c r="A1527" s="1">
        <v>3.0</v>
      </c>
      <c r="B1527" s="1" t="s">
        <v>1518</v>
      </c>
      <c r="C1527" t="str">
        <f>IFERROR(__xludf.DUMMYFUNCTION("GOOGLETRANSLATE(B1527, ""es"", ""en"")"),"Comodo Very warm")</f>
        <v>Comodo Very warm</v>
      </c>
    </row>
    <row r="1528">
      <c r="A1528" s="1">
        <v>3.0</v>
      </c>
      <c r="B1528" s="1" t="s">
        <v>1519</v>
      </c>
      <c r="C1528" t="str">
        <f>IFERROR(__xludf.DUMMYFUNCTION("GOOGLETRANSLATE(B1528, ""es"", ""en"")"),"I notice no improvement expected over the product, I took a week and I have not noticed much improvement, I used flogoprofen and felt more relief from neck pain")</f>
        <v>I notice no improvement expected over the product, I took a week and I have not noticed much improvement, I used flogoprofen and felt more relief from neck pain</v>
      </c>
    </row>
    <row r="1529">
      <c r="A1529" s="1">
        <v>1.0</v>
      </c>
      <c r="B1529" s="1" t="s">
        <v>1520</v>
      </c>
      <c r="C1529" t="str">
        <f>IFERROR(__xludf.DUMMYFUNCTION("GOOGLETRANSLATE(B1529, ""es"", ""en"")"),"I drive failure has lasted eight months has begun to disk errors or formatting it again and again has to be fixed. Let disaster.")</f>
        <v>I drive failure has lasted eight months has begun to disk errors or formatting it again and again has to be fixed. Let disaster.</v>
      </c>
    </row>
    <row r="1530">
      <c r="A1530" s="1">
        <v>4.0</v>
      </c>
      <c r="B1530" s="1" t="s">
        <v>1521</v>
      </c>
      <c r="C1530" t="str">
        <f>IFERROR(__xludf.DUMMYFUNCTION("GOOGLETRANSLATE(B1530, ""es"", ""en"")"),"Good hard drive. I have quite liked this hard drive is my mother and works well, she uses it to store photos, documents, etc. for professional use is not very good data transfer could be better but overall pretty good.")</f>
        <v>Good hard drive. I have quite liked this hard drive is my mother and works well, she uses it to store photos, documents, etc. for professional use is not very good data transfer could be better but overall pretty good.</v>
      </c>
    </row>
    <row r="1531">
      <c r="A1531" s="1">
        <v>4.0</v>
      </c>
      <c r="B1531" s="1" t="s">
        <v>1522</v>
      </c>
      <c r="C1531" t="str">
        <f>IFERROR(__xludf.DUMMYFUNCTION("GOOGLETRANSLATE(B1531, ""es"", ""en"")"),"I liked the requested sweatshirt as expected and better than has gone before")</f>
        <v>I liked the requested sweatshirt as expected and better than has gone before</v>
      </c>
    </row>
    <row r="1532">
      <c r="A1532" s="1">
        <v>4.0</v>
      </c>
      <c r="B1532" s="1" t="s">
        <v>1523</v>
      </c>
      <c r="C1532" t="str">
        <f>IFERROR(__xludf.DUMMYFUNCTION("GOOGLETRANSLATE(B1532, ""es"", ""en"")"),"Nice watch must admit that the picture looks better. Yet the clock is very nice, good quality shows. I recommend it.")</f>
        <v>Nice watch must admit that the picture looks better. Yet the clock is very nice, good quality shows. I recommend it.</v>
      </c>
    </row>
    <row r="1533">
      <c r="A1533" s="1">
        <v>4.0</v>
      </c>
      <c r="B1533" s="1" t="s">
        <v>1524</v>
      </c>
      <c r="C1533" t="str">
        <f>IFERROR(__xludf.DUMMYFUNCTION("GOOGLETRANSLATE(B1533, ""es"", ""en"")"),"Very easy to assemble practical")</f>
        <v>Very easy to assemble practical</v>
      </c>
    </row>
    <row r="1534">
      <c r="A1534" s="1">
        <v>4.0</v>
      </c>
      <c r="B1534" s="1" t="s">
        <v>1525</v>
      </c>
      <c r="C1534" t="str">
        <f>IFERROR(__xludf.DUMMYFUNCTION("GOOGLETRANSLATE(B1534, ""es"", ""en"")"),"We see very well Bibis was for a gift")</f>
        <v>We see very well Bibis was for a gift</v>
      </c>
    </row>
    <row r="1535">
      <c r="A1535" s="1">
        <v>5.0</v>
      </c>
      <c r="B1535" s="1" t="s">
        <v>1526</v>
      </c>
      <c r="C1535" t="str">
        <f>IFERROR(__xludf.DUMMYFUNCTION("GOOGLETRANSLATE(B1535, ""es"", ""en"")"),"Supercomoda comfort, I am delighted")</f>
        <v>Supercomoda comfort, I am delighted</v>
      </c>
    </row>
    <row r="1536">
      <c r="A1536" s="1">
        <v>5.0</v>
      </c>
      <c r="B1536" s="1" t="s">
        <v>1527</v>
      </c>
      <c r="C1536" t="str">
        <f>IFERROR(__xludf.DUMMYFUNCTION("GOOGLETRANSLATE(B1536, ""es"", ""en"")"),"Highly recommended. For comments, I had no doubt buy it. I bought my girlfriend exporadico to make it a gift, and I loved it. You know nothing see box full well that it is a very good product.")</f>
        <v>Highly recommended. For comments, I had no doubt buy it. I bought my girlfriend exporadico to make it a gift, and I loved it. You know nothing see box full well that it is a very good product.</v>
      </c>
    </row>
    <row r="1537">
      <c r="A1537" s="1">
        <v>5.0</v>
      </c>
      <c r="B1537" s="1" t="s">
        <v>1528</v>
      </c>
      <c r="C1537" t="str">
        <f>IFERROR(__xludf.DUMMYFUNCTION("GOOGLETRANSLATE(B1537, ""es"", ""en"")"),"Fantastica Meets my expectations. Hot on different levels and hot well. the size is right and touch is super nice, also carries a cover. I recommend it")</f>
        <v>Fantastica Meets my expectations. Hot on different levels and hot well. the size is right and touch is super nice, also carries a cover. I recommend it</v>
      </c>
    </row>
    <row r="1538">
      <c r="A1538" s="1">
        <v>5.0</v>
      </c>
      <c r="B1538" s="1" t="s">
        <v>1529</v>
      </c>
      <c r="C1538" t="str">
        <f>IFERROR(__xludf.DUMMYFUNCTION("GOOGLETRANSLATE(B1538, ""es"", ""en"")"),"GREAT!!! SOUND is spectacular and is very complete. I LOVE!!")</f>
        <v>GREAT!!! SOUND is spectacular and is very complete. I LOVE!!</v>
      </c>
    </row>
    <row r="1539">
      <c r="A1539" s="1">
        <v>5.0</v>
      </c>
      <c r="B1539" s="1" t="s">
        <v>1530</v>
      </c>
      <c r="C1539" t="str">
        <f>IFERROR(__xludf.DUMMYFUNCTION("GOOGLETRANSLATE(B1539, ""es"", ""en"")"),"For this price unbeatable price can not ask for more. Sony basic headphones highly recommended a price. Well what already folded so do not take up hardly any space. Pillows not fully occupy the ears, but for a while it's what I use, I suffice.")</f>
        <v>For this price unbeatable price can not ask for more. Sony basic headphones highly recommended a price. Well what already folded so do not take up hardly any space. Pillows not fully occupy the ears, but for a while it's what I use, I suffice.</v>
      </c>
    </row>
    <row r="1540">
      <c r="A1540" s="1">
        <v>5.0</v>
      </c>
      <c r="B1540" s="1" t="s">
        <v>1531</v>
      </c>
      <c r="C1540" t="str">
        <f>IFERROR(__xludf.DUMMYFUNCTION("GOOGLETRANSLATE(B1540, ""es"", ""en"")"),"Simple, comfortable and durable are the second to buy because the former were simply perfect, in a few years buy a third pair. Perfect")</f>
        <v>Simple, comfortable and durable are the second to buy because the former were simply perfect, in a few years buy a third pair. Perfect</v>
      </c>
    </row>
    <row r="1541">
      <c r="A1541" s="1">
        <v>5.0</v>
      </c>
      <c r="B1541" s="1" t="s">
        <v>1532</v>
      </c>
      <c r="C1541" t="str">
        <f>IFERROR(__xludf.DUMMYFUNCTION("GOOGLETRANSLATE(B1541, ""es"", ""en"")"),"It is very well was a gift, I was right full. It's very good product")</f>
        <v>It is very well was a gift, I was right full. It's very good product</v>
      </c>
    </row>
    <row r="1542">
      <c r="A1542" s="1">
        <v>5.0</v>
      </c>
      <c r="B1542" s="1" t="s">
        <v>1533</v>
      </c>
      <c r="C1542" t="str">
        <f>IFERROR(__xludf.DUMMYFUNCTION("GOOGLETRANSLATE(B1542, ""es"", ""en"")"),"Perfect Such a find! My son did not want any Bibi and if it takes ... this is 5 months")</f>
        <v>Perfect Such a find! My son did not want any Bibi and if it takes ... this is 5 months</v>
      </c>
    </row>
    <row r="1543">
      <c r="A1543" s="1">
        <v>5.0</v>
      </c>
      <c r="B1543" s="1" t="s">
        <v>1534</v>
      </c>
      <c r="C1543" t="str">
        <f>IFERROR(__xludf.DUMMYFUNCTION("GOOGLETRANSLATE(B1543, ""es"", ""en"")"),"My daughter is delighted Original product, delivery sooner than expected, number chosen correctly (advise view the size charts and guided by the length of the foot in centimeters: it is the only reliable way to know equivalences between different brands o"&amp;"f shoes). Very nice.")</f>
        <v>My daughter is delighted Original product, delivery sooner than expected, number chosen correctly (advise view the size charts and guided by the length of the foot in centimeters: it is the only reliable way to know equivalences between different brands of shoes). Very nice.</v>
      </c>
    </row>
    <row r="1544">
      <c r="A1544" s="1">
        <v>5.0</v>
      </c>
      <c r="B1544" s="1" t="s">
        <v>1535</v>
      </c>
      <c r="C1544" t="str">
        <f>IFERROR(__xludf.DUMMYFUNCTION("GOOGLETRANSLATE(B1544, ""es"", ""en"")"),"Great hospitality, a 10! Terrific. Quality, treatment of the seller, the detail of the box with Barbs also adding a nice touch aesthetic 1UE never hurts. 10!")</f>
        <v>Great hospitality, a 10! Terrific. Quality, treatment of the seller, the detail of the box with Barbs also adding a nice touch aesthetic 1UE never hurts. 10!</v>
      </c>
    </row>
    <row r="1545">
      <c r="A1545" s="1">
        <v>5.0</v>
      </c>
      <c r="B1545" s="1" t="s">
        <v>1536</v>
      </c>
      <c r="C1545" t="str">
        <f>IFERROR(__xludf.DUMMYFUNCTION("GOOGLETRANSLATE(B1545, ""es"", ""en"")"),"fine jersey for fine cotton jersey entretiempo for summer or halftime, very happy time with your purchase")</f>
        <v>fine jersey for fine cotton jersey entretiempo for summer or halftime, very happy time with your purchase</v>
      </c>
    </row>
    <row r="1546">
      <c r="A1546" s="1">
        <v>5.0</v>
      </c>
      <c r="B1546" s="1" t="s">
        <v>1537</v>
      </c>
      <c r="C1546" t="str">
        <f>IFERROR(__xludf.DUMMYFUNCTION("GOOGLETRANSLATE(B1546, ""es"", ""en"")"),"The comfort I liked .. It is as expected good quality and super comfortable")</f>
        <v>The comfort I liked .. It is as expected good quality and super comfortable</v>
      </c>
    </row>
    <row r="1547">
      <c r="A1547" s="1">
        <v>5.0</v>
      </c>
      <c r="B1547" s="1" t="s">
        <v>1538</v>
      </c>
      <c r="C1547" t="str">
        <f>IFERROR(__xludf.DUMMYFUNCTION("GOOGLETRANSLATE(B1547, ""es"", ""en"")"),"Pepe Jeans black colored shoulder bag Elegant and comfortable for men. Management has many pockets. Highly recommended to carry everything organized.")</f>
        <v>Pepe Jeans black colored shoulder bag Elegant and comfortable for men. Management has many pockets. Highly recommended to carry everything organized.</v>
      </c>
    </row>
    <row r="1548">
      <c r="A1548" s="1">
        <v>5.0</v>
      </c>
      <c r="B1548" s="1" t="s">
        <v>1539</v>
      </c>
      <c r="C1548" t="str">
        <f>IFERROR(__xludf.DUMMYFUNCTION("GOOGLETRANSLATE(B1548, ""es"", ""en"")"),"Vanessa Very good quality and very good size. Personally the product is better than the picture and the colors very nice")</f>
        <v>Vanessa Very good quality and very good size. Personally the product is better than the picture and the colors very nice</v>
      </c>
    </row>
    <row r="1549">
      <c r="A1549" s="1">
        <v>5.0</v>
      </c>
      <c r="B1549" s="1" t="s">
        <v>1540</v>
      </c>
      <c r="C1549" t="str">
        <f>IFERROR(__xludf.DUMMYFUNCTION("GOOGLETRANSLATE(B1549, ""es"", ""en"")"),"The value for money the only thing more problematic with respect to the original is the greatest difficulty in removing the protective paper from the adhesive rubber, but the price is worth that little effort and quality of the plastic is good and very go"&amp;"od white , adhesiveness is perfect. Just need to check that no darkening over time. I hope not and I have no reason to think so.")</f>
        <v>The value for money the only thing more problematic with respect to the original is the greatest difficulty in removing the protective paper from the adhesive rubber, but the price is worth that little effort and quality of the plastic is good and very good white , adhesiveness is perfect. Just need to check that no darkening over time. I hope not and I have no reason to think so.</v>
      </c>
    </row>
    <row r="1550">
      <c r="A1550" s="1">
        <v>5.0</v>
      </c>
      <c r="B1550" s="1" t="s">
        <v>1541</v>
      </c>
      <c r="C1550" t="str">
        <f>IFERROR(__xludf.DUMMYFUNCTION("GOOGLETRANSLATE(B1550, ""es"", ""en"")"),"The money Everything perfect")</f>
        <v>The money Everything perfect</v>
      </c>
    </row>
    <row r="1551">
      <c r="A1551" s="1">
        <v>5.0</v>
      </c>
      <c r="B1551" s="1" t="s">
        <v>1542</v>
      </c>
      <c r="C1551" t="str">
        <f>IFERROR(__xludf.DUMMYFUNCTION("GOOGLETRANSLATE(B1551, ""es"", ""en"")"),"Rings Item accurate, very nice")</f>
        <v>Rings Item accurate, very nice</v>
      </c>
    </row>
    <row r="1552">
      <c r="A1552" s="1">
        <v>5.0</v>
      </c>
      <c r="B1552" s="1" t="s">
        <v>1543</v>
      </c>
      <c r="C1552" t="str">
        <f>IFERROR(__xludf.DUMMYFUNCTION("GOOGLETRANSLATE(B1552, ""es"", ""en"")"),"Super comfortable, and surprisingly light Super comfortable, and surprisingly light")</f>
        <v>Super comfortable, and surprisingly light Super comfortable, and surprisingly light</v>
      </c>
    </row>
    <row r="1553">
      <c r="A1553" s="1">
        <v>5.0</v>
      </c>
      <c r="B1553" s="1" t="s">
        <v>1544</v>
      </c>
      <c r="C1553" t="str">
        <f>IFERROR(__xludf.DUMMYFUNCTION("GOOGLETRANSLATE(B1553, ""es"", ""en"")"),"It works very well expected no problems")</f>
        <v>It works very well expected no problems</v>
      </c>
    </row>
    <row r="1554">
      <c r="A1554" s="1">
        <v>2.0</v>
      </c>
      <c r="B1554" s="1" t="s">
        <v>1545</v>
      </c>
      <c r="C1554" t="str">
        <f>IFERROR(__xludf.DUMMYFUNCTION("GOOGLETRANSLATE(B1554, ""es"", ""en"")"),"Missing parts. Thought being managed by Amazon and several people that were missing pending on the set having already complained, would have been more careful and have looked not missing anything, but I lacked a pair of earrings. Shame. I have returned wi"&amp;"th no problem.")</f>
        <v>Missing parts. Thought being managed by Amazon and several people that were missing pending on the set having already complained, would have been more careful and have looked not missing anything, but I lacked a pair of earrings. Shame. I have returned with no problem.</v>
      </c>
    </row>
    <row r="1555">
      <c r="A1555" s="1">
        <v>3.0</v>
      </c>
      <c r="B1555" s="1" t="s">
        <v>1546</v>
      </c>
      <c r="C1555" t="str">
        <f>IFERROR(__xludf.DUMMYFUNCTION("GOOGLETRANSLATE(B1555, ""es"", ""en"")"),"Not worth the money seem jewelry are very small and close your remain loose me that if I do not stay without Christmas present but are expensive for what they are.")</f>
        <v>Not worth the money seem jewelry are very small and close your remain loose me that if I do not stay without Christmas present but are expensive for what they are.</v>
      </c>
    </row>
    <row r="1556">
      <c r="A1556" s="1">
        <v>1.0</v>
      </c>
      <c r="B1556" s="1" t="s">
        <v>1547</v>
      </c>
      <c r="C1556" t="str">
        <f>IFERROR(__xludf.DUMMYFUNCTION("GOOGLETRANSLATE(B1556, ""es"", ""en"")"),"No defective product or the computer detected the camera and that probe on multiple computers, the operator told me that Amazon is certainly more was defective")</f>
        <v>No defective product or the computer detected the camera and that probe on multiple computers, the operator told me that Amazon is certainly more was defective</v>
      </c>
    </row>
    <row r="1557">
      <c r="A1557" s="1">
        <v>1.0</v>
      </c>
      <c r="B1557" s="1" t="s">
        <v>1548</v>
      </c>
      <c r="C1557" t="str">
        <f>IFERROR(__xludf.DUMMYFUNCTION("GOOGLETRANSLATE(B1557, ""es"", ""en"")"),"Good afternoon password does not work, we have been trying to close it and open it with the password that comes in manual and does not work, I need to know if there is any chance to fix it or ask for the return of the product. I look forward.")</f>
        <v>Good afternoon password does not work, we have been trying to close it and open it with the password that comes in manual and does not work, I need to know if there is any chance to fix it or ask for the return of the product. I look forward.</v>
      </c>
    </row>
    <row r="1558">
      <c r="A1558" s="1">
        <v>1.0</v>
      </c>
      <c r="B1558" s="1" t="s">
        <v>1549</v>
      </c>
      <c r="C1558" t="str">
        <f>IFERROR(__xludf.DUMMYFUNCTION("GOOGLETRANSLATE(B1558, ""es"", ""en"")"),"After 8 months has stopped working The truth was going well, but was a month that was heard worse, and has already stopped working, just I hear a continuous buzz. Amazon but I do not see how I fix it.")</f>
        <v>After 8 months has stopped working The truth was going well, but was a month that was heard worse, and has already stopped working, just I hear a continuous buzz. Amazon but I do not see how I fix it.</v>
      </c>
    </row>
    <row r="1559">
      <c r="A1559" s="1">
        <v>4.0</v>
      </c>
      <c r="B1559" s="1" t="s">
        <v>1550</v>
      </c>
      <c r="C1559" t="str">
        <f>IFERROR(__xludf.DUMMYFUNCTION("GOOGLETRANSLATE(B1559, ""es"", ""en"")"),"Very good price An essential oil is convenient to numerous conditions, size is quite large 120 ml, keep it in mind that it is the cheapest you can find. It also has a practical dispenser drops.")</f>
        <v>Very good price An essential oil is convenient to numerous conditions, size is quite large 120 ml, keep it in mind that it is the cheapest you can find. It also has a practical dispenser drops.</v>
      </c>
    </row>
    <row r="1560">
      <c r="A1560" s="1">
        <v>4.0</v>
      </c>
      <c r="B1560" s="1" t="s">
        <v>1551</v>
      </c>
      <c r="C1560" t="str">
        <f>IFERROR(__xludf.DUMMYFUNCTION("GOOGLETRANSLATE(B1560, ""es"", ""en"")"),"Nice very nice, I love them. But despite taking a larger than usual, at the beginning, size until they are done to your foot, they push a little. Then already pretty good with staff very comfortable.")</f>
        <v>Nice very nice, I love them. But despite taking a larger than usual, at the beginning, size until they are done to your foot, they push a little. Then already pretty good with staff very comfortable.</v>
      </c>
    </row>
    <row r="1561">
      <c r="A1561" s="1">
        <v>4.0</v>
      </c>
      <c r="B1561" s="1" t="s">
        <v>1552</v>
      </c>
      <c r="C1561" t="str">
        <f>IFERROR(__xludf.DUMMYFUNCTION("GOOGLETRANSLATE(B1561, ""es"", ""en"")"),"Good sleep aid Very pleased with the product, I help me at times I wake up in the middle of the night when going to bed. The focus on breathing and prevents follow his pace put yourself mulling over his head ... at the moment I'm using more times cycles 8"&amp;" minutes than 20, but once I took more account in sleep and I had to extend the time. Makes no noise, small footprint and light is suitable as not to disturb your partner")</f>
        <v>Good sleep aid Very pleased with the product, I help me at times I wake up in the middle of the night when going to bed. The focus on breathing and prevents follow his pace put yourself mulling over his head ... at the moment I'm using more times cycles 8 minutes than 20, but once I took more account in sleep and I had to extend the time. Makes no noise, small footprint and light is suitable as not to disturb your partner</v>
      </c>
    </row>
    <row r="1562">
      <c r="A1562" s="1">
        <v>4.0</v>
      </c>
      <c r="B1562" s="1" t="s">
        <v>1553</v>
      </c>
      <c r="C1562" t="str">
        <f>IFERROR(__xludf.DUMMYFUNCTION("GOOGLETRANSLATE(B1562, ""es"", ""en"")"),"Good gift for women The product came fast and well, it's nice. Good gift for couples or family.")</f>
        <v>Good gift for women The product came fast and well, it's nice. Good gift for couples or family.</v>
      </c>
    </row>
    <row r="1563">
      <c r="A1563" s="1">
        <v>4.0</v>
      </c>
      <c r="B1563" s="1" t="s">
        <v>1554</v>
      </c>
      <c r="C1563" t="str">
        <f>IFERROR(__xludf.DUMMYFUNCTION("GOOGLETRANSLATE(B1563, ""es"", ""en"")"),"Watch good value Good value for money. As always Casio does not disappoint. Watch diver type demure size, robust appearance. The belt looks good too. The numbers have lumen enough to see in the dark. The indicator of the day of the day of the birthday mon"&amp;"th. As a negative maybe I see a little tad, lack of light to the Timex style and not having indicator of the day.")</f>
        <v>Watch good value Good value for money. As always Casio does not disappoint. Watch diver type demure size, robust appearance. The belt looks good too. The numbers have lumen enough to see in the dark. The indicator of the day of the day of the birthday month. As a negative maybe I see a little tad, lack of light to the Timex style and not having indicator of the day.</v>
      </c>
    </row>
    <row r="1564">
      <c r="A1564" s="1">
        <v>5.0</v>
      </c>
      <c r="B1564" s="1" t="s">
        <v>1555</v>
      </c>
      <c r="C1564" t="str">
        <f>IFERROR(__xludf.DUMMYFUNCTION("GOOGLETRANSLATE(B1564, ""es"", ""en"")"),"Very comfortable and good quality materials are of very good quality, I really guatan colors. Although just they left me a little are very comfortable.")</f>
        <v>Very comfortable and good quality materials are of very good quality, I really guatan colors. Although just they left me a little are very comfortable.</v>
      </c>
    </row>
    <row r="1565">
      <c r="A1565" s="1">
        <v>5.0</v>
      </c>
      <c r="B1565" s="1" t="s">
        <v>1556</v>
      </c>
      <c r="C1565" t="str">
        <f>IFERROR(__xludf.DUMMYFUNCTION("GOOGLETRANSLATE(B1565, ""es"", ""en"")"),"Z Top tudo perfeito")</f>
        <v>Z Top tudo perfeito</v>
      </c>
    </row>
    <row r="1566">
      <c r="A1566" s="1">
        <v>5.0</v>
      </c>
      <c r="B1566" s="1" t="s">
        <v>1557</v>
      </c>
      <c r="C1566" t="str">
        <f>IFERROR(__xludf.DUMMYFUNCTION("GOOGLETRANSLATE(B1566, ""es"", ""en"")"),"Fast I bought to replace the HDD of a notebook with 10 years (celeron processor) and the truth is much improved, looks like another. Obviously it not becomes a i7, but for office and internet gives a very acceptable result.")</f>
        <v>Fast I bought to replace the HDD of a notebook with 10 years (celeron processor) and the truth is much improved, looks like another. Obviously it not becomes a i7, but for office and internet gives a very acceptable result.</v>
      </c>
    </row>
    <row r="1567">
      <c r="A1567" s="1">
        <v>5.0</v>
      </c>
      <c r="B1567" s="1" t="s">
        <v>1558</v>
      </c>
      <c r="C1567" t="str">
        <f>IFERROR(__xludf.DUMMYFUNCTION("GOOGLETRANSLATE(B1567, ""es"", ""en"")"),"Compas best I've had I usually used the Standler of life but by God to change the east use. First tip when clavas is not going to move or with an earthquake of magnitude 9 and second the system to make the largest circle is very accurate")</f>
        <v>Compas best I've had I usually used the Standler of life but by God to change the east use. First tip when clavas is not going to move or with an earthquake of magnitude 9 and second the system to make the largest circle is very accurate</v>
      </c>
    </row>
    <row r="1568">
      <c r="A1568" s="1">
        <v>5.0</v>
      </c>
      <c r="B1568" s="1" t="s">
        <v>1559</v>
      </c>
      <c r="C1568" t="str">
        <f>IFERROR(__xludf.DUMMYFUNCTION("GOOGLETRANSLATE(B1568, ""es"", ""en"")"),"Good product I liked ... helps me clear my iPhone and is not always full .... tb as a portable hard drive for documents etc .....")</f>
        <v>Good product I liked ... helps me clear my iPhone and is not always full .... tb as a portable hard drive for documents etc .....</v>
      </c>
    </row>
    <row r="1569">
      <c r="A1569" s="1">
        <v>5.0</v>
      </c>
      <c r="B1569" s="1" t="s">
        <v>1560</v>
      </c>
      <c r="C1569" t="str">
        <f>IFERROR(__xludf.DUMMYFUNCTION("GOOGLETRANSLATE(B1569, ""es"", ""en"")"),"cheap Comodas")</f>
        <v>cheap Comodas</v>
      </c>
    </row>
    <row r="1570">
      <c r="A1570" s="1">
        <v>5.0</v>
      </c>
      <c r="B1570" s="1" t="s">
        <v>1561</v>
      </c>
      <c r="C1570" t="str">
        <f>IFERROR(__xludf.DUMMYFUNCTION("GOOGLETRANSLATE(B1570, ""es"", ""en"")"),"Pasa very accomplished perfectly by an original one not notice the difference from the others.")</f>
        <v>Pasa very accomplished perfectly by an original one not notice the difference from the others.</v>
      </c>
    </row>
    <row r="1571">
      <c r="A1571" s="1">
        <v>5.0</v>
      </c>
      <c r="B1571" s="1" t="s">
        <v>1562</v>
      </c>
      <c r="C1571" t="str">
        <f>IFERROR(__xludf.DUMMYFUNCTION("GOOGLETRANSLATE(B1571, ""es"", ""en"")"),"Great bag'm happy with the purchase, the bag is very soft genuine leather and with many very profitable departments. I recommend purchase.")</f>
        <v>Great bag'm happy with the purchase, the bag is very soft genuine leather and with many very profitable departments. I recommend purchase.</v>
      </c>
    </row>
    <row r="1572">
      <c r="A1572" s="1">
        <v>5.0</v>
      </c>
      <c r="B1572" s="1" t="s">
        <v>1563</v>
      </c>
      <c r="C1572" t="str">
        <f>IFERROR(__xludf.DUMMYFUNCTION("GOOGLETRANSLATE(B1572, ""es"", ""en"")"),"excellent lightweight boot with good grip, very warm, has a very good quality and does not look very mountain so for a rainy day and walk around the city looks good, is quite thin and light which at first impression I gave a bad impression accustomed to h"&amp;"eavy and thick boots, now I've bought since the testing them constantly in the autumn English and Polish and so far resisted perfectly.")</f>
        <v>excellent lightweight boot with good grip, very warm, has a very good quality and does not look very mountain so for a rainy day and walk around the city looks good, is quite thin and light which at first impression I gave a bad impression accustomed to heavy and thick boots, now I've bought since the testing them constantly in the autumn English and Polish and so far resisted perfectly.</v>
      </c>
    </row>
    <row r="1573">
      <c r="A1573" s="1">
        <v>5.0</v>
      </c>
      <c r="B1573" s="1" t="s">
        <v>1564</v>
      </c>
      <c r="C1573" t="str">
        <f>IFERROR(__xludf.DUMMYFUNCTION("GOOGLETRANSLATE(B1573, ""es"", ""en"")"),"Do not disappoint I have been using it almost daily for months at work and I can not recommend them more. They are comfortable, not slippery, perfectly fit the foot and are almost like the first day. A perfect shopping")</f>
        <v>Do not disappoint I have been using it almost daily for months at work and I can not recommend them more. They are comfortable, not slippery, perfectly fit the foot and are almost like the first day. A perfect shopping</v>
      </c>
    </row>
    <row r="1574">
      <c r="A1574" s="1">
        <v>5.0</v>
      </c>
      <c r="B1574" s="1" t="s">
        <v>1565</v>
      </c>
      <c r="C1574" t="str">
        <f>IFERROR(__xludf.DUMMYFUNCTION("GOOGLETRANSLATE(B1574, ""es"", ""en"")"),"As he expected. For my taste value is a great buy. A versatile, beautiful and with many functions clock. The only fault we can find is the light (the digital display is not backlit), which does not bother me personally.")</f>
        <v>As he expected. For my taste value is a great buy. A versatile, beautiful and with many functions clock. The only fault we can find is the light (the digital display is not backlit), which does not bother me personally.</v>
      </c>
    </row>
    <row r="1575">
      <c r="A1575" s="1">
        <v>5.0</v>
      </c>
      <c r="B1575" s="1" t="s">
        <v>1566</v>
      </c>
      <c r="C1575" t="str">
        <f>IFERROR(__xludf.DUMMYFUNCTION("GOOGLETRANSLATE(B1575, ""es"", ""en"")"),"Good connection and transmission speed. Memòria versatile, ideal for files between the phone and the computer. Both the mobile and the PC without problem and recognize it at first. The transmission speed is good. I personally use it to download YouTube vi"&amp;"deos for my son and watch them on TV smoothly.")</f>
        <v>Good connection and transmission speed. Memòria versatile, ideal for files between the phone and the computer. Both the mobile and the PC without problem and recognize it at first. The transmission speed is good. I personally use it to download YouTube videos for my son and watch them on TV smoothly.</v>
      </c>
    </row>
    <row r="1576">
      <c r="A1576" s="1">
        <v>5.0</v>
      </c>
      <c r="B1576" s="1" t="s">
        <v>1567</v>
      </c>
      <c r="C1576" t="str">
        <f>IFERROR(__xludf.DUMMYFUNCTION("GOOGLETRANSLATE(B1576, ""es"", ""en"")"),"Easy installation as easy installation was put the batteries, giving the power button and perfectly hear the TV without connecting any kind. It also has enough quality audución")</f>
        <v>Easy installation as easy installation was put the batteries, giving the power button and perfectly hear the TV without connecting any kind. It also has enough quality audución</v>
      </c>
    </row>
    <row r="1577">
      <c r="A1577" s="1">
        <v>5.0</v>
      </c>
      <c r="B1577" s="1" t="s">
        <v>1568</v>
      </c>
      <c r="C1577" t="str">
        <f>IFERROR(__xludf.DUMMYFUNCTION("GOOGLETRANSLATE(B1577, ""es"", ""en"")"),"Good bottle and nice Very nice and durable, the truth that we like, we always used glass bottles and plastic, but that we like, my little loves, the size is fine although would improve with various sizes would be perfect, the bottle is 180ml, does not lea"&amp;"ve a drop of liquid on him down, would definitely buy.")</f>
        <v>Good bottle and nice Very nice and durable, the truth that we like, we always used glass bottles and plastic, but that we like, my little loves, the size is fine although would improve with various sizes would be perfect, the bottle is 180ml, does not leave a drop of liquid on him down, would definitely buy.</v>
      </c>
    </row>
    <row r="1578">
      <c r="A1578" s="1">
        <v>5.0</v>
      </c>
      <c r="B1578" s="1" t="s">
        <v>1569</v>
      </c>
      <c r="C1578" t="str">
        <f>IFERROR(__xludf.DUMMYFUNCTION("GOOGLETRANSLATE(B1578, ""es"", ""en"")"),"Boiling water in just a few minutes &lt;div id = ""video-block-R3NL85M06KDYKI"" class = ""a-section a-spacing-small a-spacing-top mini video-block""&gt; &lt;/ div&gt; &lt;input type = "" hidden ""name ="" ""value ="" https://images-eu.ssl-images-amazon.com/images/I/B1oJ"&amp;"Qy2+e0S.mp4 ""class ="" video-url ""&gt; &lt;input type ="" hidden "" name = """" value = ""https://images-eu.ssl-images-amazon.com/images/I/716m71steWS.png"" class = ""video-slate-img-url""&gt; &amp; nbsp; I bought this kettle mainly to heat water to make mate. It ha"&amp;"s a large capacity (just over 1 liter and a half), and is made of stainless steel. It can be seen clearly that it is very good quality. I use it daily for water mate, you do not have to reach the boiling point. But I have also prepared infusions and the g"&amp;"ood news is that water boils in just a few minutes. It is easy to maintain and also can extend your warranty to three years.")</f>
        <v>Boiling water in just a few minutes &lt;div id = "video-block-R3NL85M06KDYKI" class = "a-section a-spacing-small a-spacing-top mini video-block"&gt; &lt;/ div&gt; &lt;input type = " hidden "name =" "value =" https://images-eu.ssl-images-amazon.com/images/I/B1oJQy2+e0S.mp4 "class =" video-url "&gt; &lt;input type =" hidden " name = "" value = "https://images-eu.ssl-images-amazon.com/images/I/716m71steWS.png" class = "video-slate-img-url"&gt; &amp; nbsp; I bought this kettle mainly to heat water to make mate. It has a large capacity (just over 1 liter and a half), and is made of stainless steel. It can be seen clearly that it is very good quality. I use it daily for water mate, you do not have to reach the boiling point. But I have also prepared infusions and the good news is that water boils in just a few minutes. It is easy to maintain and also can extend your warranty to three years.</v>
      </c>
    </row>
    <row r="1579">
      <c r="A1579" s="1">
        <v>5.0</v>
      </c>
      <c r="B1579" s="1" t="s">
        <v>1570</v>
      </c>
      <c r="C1579" t="str">
        <f>IFERROR(__xludf.DUMMYFUNCTION("GOOGLETRANSLATE(B1579, ""es"", ""en"")"),"David perfect works and different heat levels are well staggered. To wash the inner sleeve is a plus hygiene. Perhaps the only downside (to seek something) is that the cable is a little short for my taste considering that at the foot of the chair usually "&amp;"does not have an outlet nearby.")</f>
        <v>David perfect works and different heat levels are well staggered. To wash the inner sleeve is a plus hygiene. Perhaps the only downside (to seek something) is that the cable is a little short for my taste considering that at the foot of the chair usually does not have an outlet nearby.</v>
      </c>
    </row>
    <row r="1580">
      <c r="A1580" s="1">
        <v>5.0</v>
      </c>
      <c r="B1580" s="1" t="s">
        <v>1571</v>
      </c>
      <c r="C1580" t="str">
        <f>IFERROR(__xludf.DUMMYFUNCTION("GOOGLETRANSLATE(B1580, ""es"", ""en"")"),"Precious watch. Aesthetically beautiful, looks great with sportswear and even some shirts, a watch is quite striking. Following the instructions is not difficult to set the time. I totally recommend and I'm already looking for another G-Schock in white.")</f>
        <v>Precious watch. Aesthetically beautiful, looks great with sportswear and even some shirts, a watch is quite striking. Following the instructions is not difficult to set the time. I totally recommend and I'm already looking for another G-Schock in white.</v>
      </c>
    </row>
    <row r="1581">
      <c r="A1581" s="1">
        <v>5.0</v>
      </c>
      <c r="B1581" s="1" t="s">
        <v>1572</v>
      </c>
      <c r="C1581" t="str">
        <f>IFERROR(__xludf.DUMMYFUNCTION("GOOGLETRANSLATE(B1581, ""es"", ""en"")"),"good product I asked for cleaning windows and shower door, the truth is I'm happy with but I do not think it makes much difference to other cheaper, mentioning that I found it cheaper in a neighborhood store the same brand, although only one we cents so I"&amp;" was not worth making return or refund request.")</f>
        <v>good product I asked for cleaning windows and shower door, the truth is I'm happy with but I do not think it makes much difference to other cheaper, mentioning that I found it cheaper in a neighborhood store the same brand, although only one we cents so I was not worth making return or refund request.</v>
      </c>
    </row>
    <row r="1582">
      <c r="A1582" s="1">
        <v>2.0</v>
      </c>
      <c r="B1582" s="1" t="s">
        <v>1573</v>
      </c>
      <c r="C1582" t="str">
        <f>IFERROR(__xludf.DUMMYFUNCTION("GOOGLETRANSLATE(B1582, ""es"", ""en"")"),"While hard little hard without breaking, perfect and comfortable. As all of this style, good performance but lousy material, which lasts one month. the plastic ring is broken by the boards with headphones and who no longer use. More of the same.")</f>
        <v>While hard little hard without breaking, perfect and comfortable. As all of this style, good performance but lousy material, which lasts one month. the plastic ring is broken by the boards with headphones and who no longer use. More of the same.</v>
      </c>
    </row>
    <row r="1583">
      <c r="A1583" s="1">
        <v>3.0</v>
      </c>
      <c r="B1583" s="1" t="s">
        <v>1574</v>
      </c>
      <c r="C1583" t="str">
        <f>IFERROR(__xludf.DUMMYFUNCTION("GOOGLETRANSLATE(B1583, ""es"", ""en"")"),"Too big I had to return, not tune any problem with the seller")</f>
        <v>Too big I had to return, not tune any problem with the seller</v>
      </c>
    </row>
    <row r="1584">
      <c r="A1584" s="1">
        <v>3.0</v>
      </c>
      <c r="B1584" s="1" t="s">
        <v>1575</v>
      </c>
      <c r="C1584" t="str">
        <f>IFERROR(__xludf.DUMMYFUNCTION("GOOGLETRANSLATE(B1584, ""es"", ""en"")"),"Little to add the truth and knew what he bought for all your opinions, USB OTG all that I tried the same thing happens, read well and write fatal .. therefore gives the format used fat32, nFSt, both exfat .. the PC and the smartphone to the poor does not "&amp;"like to write. In the CrystalDiskMark does not get bad numbers but when the truth ..")</f>
        <v>Little to add the truth and knew what he bought for all your opinions, USB OTG all that I tried the same thing happens, read well and write fatal .. therefore gives the format used fat32, nFSt, both exfat .. the PC and the smartphone to the poor does not like to write. In the CrystalDiskMark does not get bad numbers but when the truth ..</v>
      </c>
    </row>
    <row r="1585">
      <c r="A1585" s="1">
        <v>1.0</v>
      </c>
      <c r="B1585" s="1" t="s">
        <v>1576</v>
      </c>
      <c r="C1585" t="str">
        <f>IFERROR(__xludf.DUMMYFUNCTION("GOOGLETRANSLATE(B1585, ""es"", ""en"")"),"Very upset with buying After one year of use strangely clock stopped working")</f>
        <v>Very upset with buying After one year of use strangely clock stopped working</v>
      </c>
    </row>
    <row r="1586">
      <c r="A1586" s="1">
        <v>1.0</v>
      </c>
      <c r="B1586" s="1" t="s">
        <v>1577</v>
      </c>
      <c r="C1586" t="str">
        <f>IFERROR(__xludf.DUMMYFUNCTION("GOOGLETRANSLATE(B1586, ""es"", ""en"")"),"Small Too Small")</f>
        <v>Small Too Small</v>
      </c>
    </row>
    <row r="1587">
      <c r="A1587" s="1">
        <v>4.0</v>
      </c>
      <c r="B1587" s="1" t="s">
        <v>1578</v>
      </c>
      <c r="C1587" t="str">
        <f>IFERROR(__xludf.DUMMYFUNCTION("GOOGLETRANSLATE(B1587, ""es"", ""en"")"),"Value very good shipping fast and cleaner does its function, pleased with purchase.")</f>
        <v>Value very good shipping fast and cleaner does its function, pleased with purchase.</v>
      </c>
    </row>
    <row r="1588">
      <c r="A1588" s="1">
        <v>4.0</v>
      </c>
      <c r="B1588" s="1" t="s">
        <v>1579</v>
      </c>
      <c r="C1588" t="str">
        <f>IFERROR(__xludf.DUMMYFUNCTION("GOOGLETRANSLATE(B1588, ""es"", ""en"")"),"opnion money, perfect")</f>
        <v>opnion money, perfect</v>
      </c>
    </row>
    <row r="1589">
      <c r="A1589" s="1">
        <v>4.0</v>
      </c>
      <c r="B1589" s="1" t="s">
        <v>1580</v>
      </c>
      <c r="C1589" t="str">
        <f>IFERROR(__xludf.DUMMYFUNCTION("GOOGLETRANSLATE(B1589, ""es"", ""en"")"),"I liked quiet operation that seems to be off so quiet. At the moment I am copying my old records in the new and I can not assess its normal operation. It seems that he will respond well. Its warming is not excessive and I say After nearly 72 hours on cont"&amp;"inuously, while I cloning. Everything makes me think it will work well and I'll be happy with the purchase. A being a premature comment is therefore not give 5 stars. The seller sent him 10 very rapidly and Amazon as always.")</f>
        <v>I liked quiet operation that seems to be off so quiet. At the moment I am copying my old records in the new and I can not assess its normal operation. It seems that he will respond well. Its warming is not excessive and I say After nearly 72 hours on continuously, while I cloning. Everything makes me think it will work well and I'll be happy with the purchase. A being a premature comment is therefore not give 5 stars. The seller sent him 10 very rapidly and Amazon as always.</v>
      </c>
    </row>
    <row r="1590">
      <c r="A1590" s="1">
        <v>4.0</v>
      </c>
      <c r="B1590" s="1" t="s">
        <v>1581</v>
      </c>
      <c r="C1590" t="str">
        <f>IFERROR(__xludf.DUMMYFUNCTION("GOOGLETRANSLATE(B1590, ""es"", ""en"")"),"This lovely necklace came very well presented but although very nice I expected a little bigger. My friend loved")</f>
        <v>This lovely necklace came very well presented but although very nice I expected a little bigger. My friend loved</v>
      </c>
    </row>
    <row r="1591">
      <c r="A1591" s="1">
        <v>5.0</v>
      </c>
      <c r="B1591" s="1" t="s">
        <v>1582</v>
      </c>
      <c r="C1591" t="str">
        <f>IFERROR(__xludf.DUMMYFUNCTION("GOOGLETRANSLATE(B1591, ""es"", ""en"")"),"Very good buy for students. 20hojas maximum capacity A4 90g / m². Good quality and good price, unbeatable value and a very useful device. The only downside is the space it occupies. In about 3 packages 500 folios is an amortized tool, if used as a substit"&amp;"ute to spare filer, which are expensive.")</f>
        <v>Very good buy for students. 20hojas maximum capacity A4 90g / m². Good quality and good price, unbeatable value and a very useful device. The only downside is the space it occupies. In about 3 packages 500 folios is an amortized tool, if used as a substitute to spare filer, which are expensive.</v>
      </c>
    </row>
    <row r="1592">
      <c r="A1592" s="1">
        <v>5.0</v>
      </c>
      <c r="B1592" s="1" t="s">
        <v>1583</v>
      </c>
      <c r="C1592" t="str">
        <f>IFERROR(__xludf.DUMMYFUNCTION("GOOGLETRANSLATE(B1592, ""es"", ""en"")"),"PRACTICAL AND PLEASANT The size is ideal for use and that fits anywhere in the body. Very important: the fabric is nice and comfortable. It also incorporates a handy case to keep. I'm happy with the purchase, it is a good quality product. I recommend it.")</f>
        <v>PRACTICAL AND PLEASANT The size is ideal for use and that fits anywhere in the body. Very important: the fabric is nice and comfortable. It also incorporates a handy case to keep. I'm happy with the purchase, it is a good quality product. I recommend it.</v>
      </c>
    </row>
    <row r="1593">
      <c r="A1593" s="1">
        <v>5.0</v>
      </c>
      <c r="B1593" s="1" t="s">
        <v>1584</v>
      </c>
      <c r="C1593" t="str">
        <f>IFERROR(__xludf.DUMMYFUNCTION("GOOGLETRANSLATE(B1593, ""es"", ""en"")"),"Match the offer The perfect shoe and delivery time as well. Must be careful and take a size more than usual")</f>
        <v>Match the offer The perfect shoe and delivery time as well. Must be careful and take a size more than usual</v>
      </c>
    </row>
    <row r="1594">
      <c r="A1594" s="1">
        <v>5.0</v>
      </c>
      <c r="B1594" s="1" t="s">
        <v>1585</v>
      </c>
      <c r="C1594" t="str">
        <f>IFERROR(__xludf.DUMMYFUNCTION("GOOGLETRANSLATE(B1594, ""es"", ""en"")"),"Vans Old Skool black Vans shoes. One of the most sturdy shoes and I know a rough sole. Highly recommended for people who like to ride him with Skate by the grip of the sole. Amazon and sending care as usual 10.")</f>
        <v>Vans Old Skool black Vans shoes. One of the most sturdy shoes and I know a rough sole. Highly recommended for people who like to ride him with Skate by the grip of the sole. Amazon and sending care as usual 10.</v>
      </c>
    </row>
    <row r="1595">
      <c r="A1595" s="1">
        <v>5.0</v>
      </c>
      <c r="B1595" s="1" t="s">
        <v>1586</v>
      </c>
      <c r="C1595" t="str">
        <f>IFERROR(__xludf.DUMMYFUNCTION("GOOGLETRANSLATE(B1595, ""es"", ""en"")"),"Elix pi great value for money! perfect size. It is clear that one can not demand that do not burn after boiling outside but otherwise great")</f>
        <v>Elix pi great value for money! perfect size. It is clear that one can not demand that do not burn after boiling outside but otherwise great</v>
      </c>
    </row>
    <row r="1596">
      <c r="A1596" s="1">
        <v>5.0</v>
      </c>
      <c r="B1596" s="1" t="s">
        <v>1587</v>
      </c>
      <c r="C1596" t="str">
        <f>IFERROR(__xludf.DUMMYFUNCTION("GOOGLETRANSLATE(B1596, ""es"", ""en"")"),"Good price and quality ok mountain shoes. Harbor, comfortable and good quality. As always in mountain shoes a size is requested more than normally used.")</f>
        <v>Good price and quality ok mountain shoes. Harbor, comfortable and good quality. As always in mountain shoes a size is requested more than normally used.</v>
      </c>
    </row>
    <row r="1597">
      <c r="A1597" s="1">
        <v>5.0</v>
      </c>
      <c r="B1597" s="1" t="s">
        <v>1588</v>
      </c>
      <c r="C1597" t="str">
        <f>IFERROR(__xludf.DUMMYFUNCTION("GOOGLETRANSLATE(B1597, ""es"", ""en"")"),"in-ear headphones good quality These in-ear headphones have good sound quality, come with pads of different sizes to adapt perfectly tailored to each ear. The cable is of good quality, and also have their bag to carry or store. To my opinion good headphon"&amp;"es at a very good price, nothing to envy to other much more expensive")</f>
        <v>in-ear headphones good quality These in-ear headphones have good sound quality, come with pads of different sizes to adapt perfectly tailored to each ear. The cable is of good quality, and also have their bag to carry or store. To my opinion good headphones at a very good price, nothing to envy to other much more expensive</v>
      </c>
    </row>
    <row r="1598">
      <c r="A1598" s="1">
        <v>5.0</v>
      </c>
      <c r="B1598" s="1" t="s">
        <v>1589</v>
      </c>
      <c r="C1598" t="str">
        <f>IFERROR(__xludf.DUMMYFUNCTION("GOOGLETRANSLATE(B1598, ""es"", ""en"")"),"The fast I like everything: it is powerful, fast and absolutely crushes all")</f>
        <v>The fast I like everything: it is powerful, fast and absolutely crushes all</v>
      </c>
    </row>
    <row r="1599">
      <c r="A1599" s="1">
        <v>5.0</v>
      </c>
      <c r="B1599" s="1" t="s">
        <v>1590</v>
      </c>
      <c r="C1599" t="str">
        <f>IFERROR(__xludf.DUMMYFUNCTION("GOOGLETRANSLATE(B1599, ""es"", ""en"")"),"Very good value / price'm camera operator and director, micro recommend this interview, I have micros other brands and ranges far superior and was impressed by the audio quality generated by its price. I recommend buying the app Rode Rec and you can set m"&amp;"any options and optimize the sound of this microphone, I just used by a AKG almost 200 € in an interview and I really have no complaints, clear voice with good profit, with little noise.")</f>
        <v>Very good value / price'm camera operator and director, micro recommend this interview, I have micros other brands and ranges far superior and was impressed by the audio quality generated by its price. I recommend buying the app Rode Rec and you can set many options and optimize the sound of this microphone, I just used by a AKG almost 200 € in an interview and I really have no complaints, clear voice with good profit, with little noise.</v>
      </c>
    </row>
    <row r="1600">
      <c r="A1600" s="1">
        <v>5.0</v>
      </c>
      <c r="B1600" s="1" t="s">
        <v>1591</v>
      </c>
      <c r="C1600" t="str">
        <f>IFERROR(__xludf.DUMMYFUNCTION("GOOGLETRANSLATE(B1600, ""es"", ""en"")"),"Lavender Buenísimo house and lot number above! Pure lavender smells! Nothing to envy to the herbalists and lavender eye ... I addict! ;)")</f>
        <v>Lavender Buenísimo house and lot number above! Pure lavender smells! Nothing to envy to the herbalists and lavender eye ... I addict! ;)</v>
      </c>
    </row>
    <row r="1601">
      <c r="A1601" s="1">
        <v>5.0</v>
      </c>
      <c r="B1601" s="1" t="s">
        <v>1592</v>
      </c>
      <c r="C1601" t="str">
        <f>IFERROR(__xludf.DUMMYFUNCTION("GOOGLETRANSLATE(B1601, ""es"", ""en"")"),"Very effective function perfectly ago")</f>
        <v>Very effective function perfectly ago</v>
      </c>
    </row>
    <row r="1602">
      <c r="A1602" s="1">
        <v>5.0</v>
      </c>
      <c r="B1602" s="1" t="s">
        <v>1593</v>
      </c>
      <c r="C1602" t="str">
        <f>IFERROR(__xludf.DUMMYFUNCTION("GOOGLETRANSLATE(B1602, ""es"", ""en"")"),"Quality at low price Very satisfied. Excellent quality price ratio. Fast delivery and very good sound.")</f>
        <v>Quality at low price Very satisfied. Excellent quality price ratio. Fast delivery and very good sound.</v>
      </c>
    </row>
    <row r="1603">
      <c r="A1603" s="1">
        <v>5.0</v>
      </c>
      <c r="B1603" s="1" t="s">
        <v>1594</v>
      </c>
      <c r="C1603" t="str">
        <f>IFERROR(__xludf.DUMMYFUNCTION("GOOGLETRANSLATE(B1603, ""es"", ""en"")"),"Everything as expected as expected. Well and finite string.")</f>
        <v>Everything as expected as expected. Well and finite string.</v>
      </c>
    </row>
    <row r="1604">
      <c r="A1604" s="1">
        <v>5.0</v>
      </c>
      <c r="B1604" s="1" t="s">
        <v>1595</v>
      </c>
      <c r="C1604" t="str">
        <f>IFERROR(__xludf.DUMMYFUNCTION("GOOGLETRANSLATE(B1604, ""es"", ""en"")"),"Excellent value I bought it as a gift for my father to ride. He is very happy because it is light and durable. simple but beautiful design.")</f>
        <v>Excellent value I bought it as a gift for my father to ride. He is very happy because it is light and durable. simple but beautiful design.</v>
      </c>
    </row>
    <row r="1605">
      <c r="A1605" s="1">
        <v>5.0</v>
      </c>
      <c r="B1605" s="1" t="s">
        <v>1596</v>
      </c>
      <c r="C1605" t="str">
        <f>IFERROR(__xludf.DUMMYFUNCTION("GOOGLETRANSLATE(B1605, ""es"", ""en"")"),"Quality long in coming")</f>
        <v>Quality long in coming</v>
      </c>
    </row>
    <row r="1606">
      <c r="A1606" s="1">
        <v>5.0</v>
      </c>
      <c r="B1606" s="1" t="s">
        <v>1597</v>
      </c>
      <c r="C1606" t="str">
        <f>IFERROR(__xludf.DUMMYFUNCTION("GOOGLETRANSLATE(B1606, ""es"", ""en"")"),"Value OK I've taken to make a homemade album and is perfect. It's like a double-sided adhesive, but it is cut, so it is very convenient to use. It makes the work a lot. 100% Recommended")</f>
        <v>Value OK I've taken to make a homemade album and is perfect. It's like a double-sided adhesive, but it is cut, so it is very convenient to use. It makes the work a lot. 100% Recommended</v>
      </c>
    </row>
    <row r="1607">
      <c r="A1607" s="1">
        <v>5.0</v>
      </c>
      <c r="B1607" s="1" t="s">
        <v>1598</v>
      </c>
      <c r="C1607" t="str">
        <f>IFERROR(__xludf.DUMMYFUNCTION("GOOGLETRANSLATE(B1607, ""es"", ""en"")"),"The practical and very comfortable bought my wife to go out to skate and has been a great success. Is better than expected, it has two compartments where the keys perfectly mobile and enter a space for a small bottle of water and a hole to pass headphones"&amp;" go mobile, a great detail. It is very nice, super comfortable and looks good quality fabric so largely met expectations.")</f>
        <v>The practical and very comfortable bought my wife to go out to skate and has been a great success. Is better than expected, it has two compartments where the keys perfectly mobile and enter a space for a small bottle of water and a hole to pass headphones go mobile, a great detail. It is very nice, super comfortable and looks good quality fabric so largely met expectations.</v>
      </c>
    </row>
    <row r="1608">
      <c r="A1608" s="1">
        <v>5.0</v>
      </c>
      <c r="B1608" s="1" t="s">
        <v>1599</v>
      </c>
      <c r="C1608" t="str">
        <f>IFERROR(__xludf.DUMMYFUNCTION("GOOGLETRANSLATE(B1608, ""es"", ""en"")"),"Nice and thin choker is very elegant. Perhaps a little bit longer than desired. You have left over 1 cm.")</f>
        <v>Nice and thin choker is very elegant. Perhaps a little bit longer than desired. You have left over 1 cm.</v>
      </c>
    </row>
    <row r="1609">
      <c r="A1609" s="1">
        <v>5.0</v>
      </c>
      <c r="B1609" s="1" t="s">
        <v>1600</v>
      </c>
      <c r="C1609" t="str">
        <f>IFERROR(__xludf.DUMMYFUNCTION("GOOGLETRANSLATE(B1609, ""es"", ""en"")"),"Nice and warm nice and warm. If you are looking for a different model to the typical shoe is your shoe. Horma are rather narrow.")</f>
        <v>Nice and warm nice and warm. If you are looking for a different model to the typical shoe is your shoe. Horma are rather narrow.</v>
      </c>
    </row>
    <row r="1610">
      <c r="A1610" s="1">
        <v>2.0</v>
      </c>
      <c r="B1610" s="1" t="s">
        <v>1601</v>
      </c>
      <c r="C1610" t="str">
        <f>IFERROR(__xludf.DUMMYFUNCTION("GOOGLETRANSLATE(B1610, ""es"", ""en"")"),"javi and proven and what not and left mui happy with the result removes rallitas, but if you have scratches deeper does nothing at least ami.")</f>
        <v>javi and proven and what not and left mui happy with the result removes rallitas, but if you have scratches deeper does nothing at least ami.</v>
      </c>
    </row>
    <row r="1611">
      <c r="A1611" s="1">
        <v>3.0</v>
      </c>
      <c r="B1611" s="1" t="s">
        <v>1602</v>
      </c>
      <c r="C1611" t="str">
        <f>IFERROR(__xludf.DUMMYFUNCTION("GOOGLETRANSLATE(B1611, ""es"", ""en"")"),"Something expensive for what it is expensive to be a plastic box but gets the job and conceals cables")</f>
        <v>Something expensive for what it is expensive to be a plastic box but gets the job and conceals cables</v>
      </c>
    </row>
    <row r="1612">
      <c r="A1612" s="1">
        <v>3.0</v>
      </c>
      <c r="B1612" s="1" t="s">
        <v>1603</v>
      </c>
      <c r="C1612" t="str">
        <f>IFERROR(__xludf.DUMMYFUNCTION("GOOGLETRANSLATE(B1612, ""es"", ""en"")"),"Labels come with little rope, but well, good size ...")</f>
        <v>Labels come with little rope, but well, good size ...</v>
      </c>
    </row>
    <row r="1613">
      <c r="A1613" s="1">
        <v>1.0</v>
      </c>
      <c r="B1613" s="1" t="s">
        <v>1604</v>
      </c>
      <c r="C1613" t="str">
        <f>IFERROR(__xludf.DUMMYFUNCTION("GOOGLETRANSLATE(B1613, ""es"", ""en"")"),"They hurt and can not be returned. Shoes hurt me, they came in a box that pull broken when received, not me leave and return them to the box that sent me (it was broken) did not. They hurt, they are hard, and seem to be not true, and are imitation. Money "&amp;"thrown away because I can not put me.")</f>
        <v>They hurt and can not be returned. Shoes hurt me, they came in a box that pull broken when received, not me leave and return them to the box that sent me (it was broken) did not. They hurt, they are hard, and seem to be not true, and are imitation. Money thrown away because I can not put me.</v>
      </c>
    </row>
    <row r="1614">
      <c r="A1614" s="1">
        <v>1.0</v>
      </c>
      <c r="B1614" s="1" t="s">
        <v>1605</v>
      </c>
      <c r="C1614" t="str">
        <f>IFERROR(__xludf.DUMMYFUNCTION("GOOGLETRANSLATE(B1614, ""es"", ""en"")"),"He has not convinced me! He has not convinced me !!")</f>
        <v>He has not convinced me! He has not convinced me !!</v>
      </c>
    </row>
    <row r="1615">
      <c r="A1615" s="1">
        <v>4.0</v>
      </c>
      <c r="B1615" s="1" t="s">
        <v>1606</v>
      </c>
      <c r="C1615" t="str">
        <f>IFERROR(__xludf.DUMMYFUNCTION("GOOGLETRANSLATE(B1615, ""es"", ""en"")"),"Cocky is well priced, to the washing has not been perfect, but price is worth it.")</f>
        <v>Cocky is well priced, to the washing has not been perfect, but price is worth it.</v>
      </c>
    </row>
    <row r="1616">
      <c r="A1616" s="1">
        <v>4.0</v>
      </c>
      <c r="B1616" s="1" t="s">
        <v>1607</v>
      </c>
      <c r="C1616" t="str">
        <f>IFERROR(__xludf.DUMMYFUNCTION("GOOGLETRANSLATE(B1616, ""es"", ""en"")"),"Say goodbye to the sounds of your neighbors bought these headphones especially to get rid of the torture of music that puts my neighbor at all hours and the shrieks sticking, and in this sense, comply perfectly, I can finally live in peace in my home. The"&amp;" Bose noise cancellation works like a charm, much better than other cheap headphones noise canceling he had tasted. On the other hand, the quality of materials seems very good, but not just me comfortable be all, especially the upper pad, which is a bit r"&amp;"igid, much more comfortable of the Sennheiser HDR 110 I have. As for the sound quality is good, but I expected better for the price they have, since the Sennheiser HDR 110, which had cost me years ago about 70 €, it is much better for my taste, especially"&amp;" Low volume. What I like least is the range of bluetooth, more than 3 meters and the signal is lost, and sometimes even to the bringing down the street with the phone in his pocket, enough cut. I would not expect something like that for this price, the tr"&amp;"uth, I have other bluetooth headsets cheap who have more reach and with them no sound is never short under normal conditions. Luckily for my use, I do not bother me too much. It's a shame not manufactured noise canceling headphones and Bluetooth radio ins"&amp;"tead, it would be the perfect solution, but anyway, is what you get. In short, they have several relatively important problems, but anyway I'm quite happy with them, noise cancellation is very good quality.")</f>
        <v>Say goodbye to the sounds of your neighbors bought these headphones especially to get rid of the torture of music that puts my neighbor at all hours and the shrieks sticking, and in this sense, comply perfectly, I can finally live in peace in my home. The Bose noise cancellation works like a charm, much better than other cheap headphones noise canceling he had tasted. On the other hand, the quality of materials seems very good, but not just me comfortable be all, especially the upper pad, which is a bit rigid, much more comfortable of the Sennheiser HDR 110 I have. As for the sound quality is good, but I expected better for the price they have, since the Sennheiser HDR 110, which had cost me years ago about 70 €, it is much better for my taste, especially Low volume. What I like least is the range of bluetooth, more than 3 meters and the signal is lost, and sometimes even to the bringing down the street with the phone in his pocket, enough cut. I would not expect something like that for this price, the truth, I have other bluetooth headsets cheap who have more reach and with them no sound is never short under normal conditions. Luckily for my use, I do not bother me too much. It's a shame not manufactured noise canceling headphones and Bluetooth radio instead, it would be the perfect solution, but anyway, is what you get. In short, they have several relatively important problems, but anyway I'm quite happy with them, noise cancellation is very good quality.</v>
      </c>
    </row>
    <row r="1617">
      <c r="A1617" s="1">
        <v>4.0</v>
      </c>
      <c r="B1617" s="1" t="s">
        <v>1608</v>
      </c>
      <c r="C1617" t="str">
        <f>IFERROR(__xludf.DUMMYFUNCTION("GOOGLETRANSLATE(B1617, ""es"", ""en"")"),"only one The drawback foams are good, the size and cutting are perfect, the only problem see is that caused me '' allergic '' to the manipulate because they have particles fiberglass, if not all them pass the same but I also notice just in case, but remov"&amp;"ing that I have no complaints: D")</f>
        <v>only one The drawback foams are good, the size and cutting are perfect, the only problem see is that caused me '' allergic '' to the manipulate because they have particles fiberglass, if not all them pass the same but I also notice just in case, but removing that I have no complaints: D</v>
      </c>
    </row>
    <row r="1618">
      <c r="A1618" s="1">
        <v>4.0</v>
      </c>
      <c r="B1618" s="1" t="s">
        <v>1609</v>
      </c>
      <c r="C1618" t="str">
        <f>IFERROR(__xludf.DUMMYFUNCTION("GOOGLETRANSLATE(B1618, ""es"", ""en"")"),"small size. Good product, but size small and there is much difference one size to another. I change the size and very fast and without problem")</f>
        <v>small size. Good product, but size small and there is much difference one size to another. I change the size and very fast and without problem</v>
      </c>
    </row>
    <row r="1619">
      <c r="A1619" s="1">
        <v>4.0</v>
      </c>
      <c r="B1619" s="1" t="s">
        <v>1610</v>
      </c>
      <c r="C1619" t="str">
        <f>IFERROR(__xludf.DUMMYFUNCTION("GOOGLETRANSLATE(B1619, ""es"", ""en"")"),"Comfortable and functional but beware the size Very comfortable and practical to wear or casual valid. Of the two shoe trees are available for Clarks these last close (G) and this model especially have to ask average size or a size more than you usually u"&amp;"se in Clarks. Other models that has not happened.")</f>
        <v>Comfortable and functional but beware the size Very comfortable and practical to wear or casual valid. Of the two shoe trees are available for Clarks these last close (G) and this model especially have to ask average size or a size more than you usually use in Clarks. Other models that has not happened.</v>
      </c>
    </row>
    <row r="1620">
      <c r="A1620" s="1">
        <v>5.0</v>
      </c>
      <c r="B1620" s="1" t="s">
        <v>1611</v>
      </c>
      <c r="C1620" t="str">
        <f>IFERROR(__xludf.DUMMYFUNCTION("GOOGLETRANSLATE(B1620, ""es"", ""en"")"),"Comorarlas'll Very cool, I love at a great price. I could not tell whether or not they are imitation, they are very comfortable.")</f>
        <v>Comorarlas'll Very cool, I love at a great price. I could not tell whether or not they are imitation, they are very comfortable.</v>
      </c>
    </row>
    <row r="1621">
      <c r="A1621" s="1">
        <v>5.0</v>
      </c>
      <c r="B1621" s="1" t="s">
        <v>1612</v>
      </c>
      <c r="C1621" t="str">
        <f>IFERROR(__xludf.DUMMYFUNCTION("GOOGLETRANSLATE(B1621, ""es"", ""en"")"),"I bought these headphones for my mother because for their work helmets cable is tangled followed and were a nuisance heard great with these is super happy because he does not care that he tangling or anything, just that he they may fall. Has lasted more t"&amp;"han a week and is very happy using them at the beginning he proved a little uncomfortable as he fell all the time, but now that took them truqillo is haunted. I also have tried and well, sound great and have a lot of power. Is super easy to load, put them"&amp;" in the box that brings and ready. My mother does the battery last between 2 and 3 days, but of course, I do not know how long you use them or anything, so it is not very indicative ... The box where they come is like a magnet, so that helmets if the guar"&amp;"ds always there will not never lose. Bring the cable for charging and also two parts of the pads you use.")</f>
        <v>I bought these headphones for my mother because for their work helmets cable is tangled followed and were a nuisance heard great with these is super happy because he does not care that he tangling or anything, just that he they may fall. Has lasted more than a week and is very happy using them at the beginning he proved a little uncomfortable as he fell all the time, but now that took them truqillo is haunted. I also have tried and well, sound great and have a lot of power. Is super easy to load, put them in the box that brings and ready. My mother does the battery last between 2 and 3 days, but of course, I do not know how long you use them or anything, so it is not very indicative ... The box where they come is like a magnet, so that helmets if the guards always there will not never lose. Bring the cable for charging and also two parts of the pads you use.</v>
      </c>
    </row>
    <row r="1622">
      <c r="A1622" s="1">
        <v>5.0</v>
      </c>
      <c r="B1622" s="1" t="s">
        <v>1613</v>
      </c>
      <c r="C1622" t="str">
        <f>IFERROR(__xludf.DUMMYFUNCTION("GOOGLETRANSLATE(B1622, ""es"", ""en"")"),"Good quality and functional Corresponds to the description and photos. Good quality and practical")</f>
        <v>Good quality and functional Corresponds to the description and photos. Good quality and practical</v>
      </c>
    </row>
    <row r="1623">
      <c r="A1623" s="1">
        <v>5.0</v>
      </c>
      <c r="B1623" s="1" t="s">
        <v>1614</v>
      </c>
      <c r="C1623" t="str">
        <f>IFERROR(__xludf.DUMMYFUNCTION("GOOGLETRANSLATE(B1623, ""es"", ""en"")"),"It goes very well and very convenient to use the brush is better because with this format only spend one hand and with the other format both hands.")</f>
        <v>It goes very well and very convenient to use the brush is better because with this format only spend one hand and with the other format both hands.</v>
      </c>
    </row>
    <row r="1624">
      <c r="A1624" s="1">
        <v>5.0</v>
      </c>
      <c r="B1624" s="1" t="s">
        <v>1615</v>
      </c>
      <c r="C1624" t="str">
        <f>IFERROR(__xludf.DUMMYFUNCTION("GOOGLETRANSLATE(B1624, ""es"", ""en"")"),"Well Note that the microphone is also supplied from the battery of the camera, and so lasts less. I recommend having extra camera batteries. The reason why I bought this and not the Videomic Pro is for the price, I'd rather stop worrying besides having to"&amp;" also load the microphone or using batteries. It's fine if your camera has manual adjustments of the microphone, this is how really good quality is achieved.")</f>
        <v>Well Note that the microphone is also supplied from the battery of the camera, and so lasts less. I recommend having extra camera batteries. The reason why I bought this and not the Videomic Pro is for the price, I'd rather stop worrying besides having to also load the microphone or using batteries. It's fine if your camera has manual adjustments of the microphone, this is how really good quality is achieved.</v>
      </c>
    </row>
    <row r="1625">
      <c r="A1625" s="1">
        <v>5.0</v>
      </c>
      <c r="B1625" s="1" t="s">
        <v>1616</v>
      </c>
      <c r="C1625" t="str">
        <f>IFERROR(__xludf.DUMMYFUNCTION("GOOGLETRANSLATE(B1625, ""es"", ""en"")"),"Perfect for macbook Pro is perfect for macbook pro, can engage any external display. ! 00% recommended for the price you have regarding the Apple product. On the downside, you can not attach an iMac as an external display laptop")</f>
        <v>Perfect for macbook Pro is perfect for macbook pro, can engage any external display. ! 00% recommended for the price you have regarding the Apple product. On the downside, you can not attach an iMac as an external display laptop</v>
      </c>
    </row>
    <row r="1626">
      <c r="A1626" s="1">
        <v>5.0</v>
      </c>
      <c r="B1626" s="1" t="s">
        <v>1617</v>
      </c>
      <c r="C1626" t="str">
        <f>IFERROR(__xludf.DUMMYFUNCTION("GOOGLETRANSLATE(B1626, ""es"", ""en"")"),"Great Va perfect. It seems that if you stick costs 10 sheets but with 4 or 5 great even if you have a lot to be bound, once pillas the roll just once (I Bind a lot of notes, laws ...).")</f>
        <v>Great Va perfect. It seems that if you stick costs 10 sheets but with 4 or 5 great even if you have a lot to be bound, once pillas the roll just once (I Bind a lot of notes, laws ...).</v>
      </c>
    </row>
    <row r="1627">
      <c r="A1627" s="1">
        <v>5.0</v>
      </c>
      <c r="B1627" s="1" t="s">
        <v>1618</v>
      </c>
      <c r="C1627" t="str">
        <f>IFERROR(__xludf.DUMMYFUNCTION("GOOGLETRANSLATE(B1627, ""es"", ""en"")"),"Excellent, I can not find a better one! It is the fifth album since we bought recently got married, and for both photos, unofficial or the honeymoon of open bar, we have chosen to present them Hama album. It is a very complete album, leaves glide very wel"&amp;"l and has white protective sheetlet for some photos do not stick with each other and deteriorate. And as the background is black, you can sign, decorate, write or do whatever you want on the bottom, because with fine metallic markers and color, is a very "&amp;"original and fun album. We have also used the same brand your stickers so that photos are properly stuck in their leaves. Highly recommended.")</f>
        <v>Excellent, I can not find a better one! It is the fifth album since we bought recently got married, and for both photos, unofficial or the honeymoon of open bar, we have chosen to present them Hama album. It is a very complete album, leaves glide very well and has white protective sheetlet for some photos do not stick with each other and deteriorate. And as the background is black, you can sign, decorate, write or do whatever you want on the bottom, because with fine metallic markers and color, is a very original and fun album. We have also used the same brand your stickers so that photos are properly stuck in their leaves. Highly recommended.</v>
      </c>
    </row>
    <row r="1628">
      <c r="A1628" s="1">
        <v>5.0</v>
      </c>
      <c r="B1628" s="1" t="s">
        <v>1619</v>
      </c>
      <c r="C1628" t="str">
        <f>IFERROR(__xludf.DUMMYFUNCTION("GOOGLETRANSLATE(B1628, ""es"", ""en"")"),"Le pacifier use bottle water. Also glass bottles. I like milk glass for plastic")</f>
        <v>Le pacifier use bottle water. Also glass bottles. I like milk glass for plastic</v>
      </c>
    </row>
    <row r="1629">
      <c r="A1629" s="1">
        <v>5.0</v>
      </c>
      <c r="B1629" s="1" t="s">
        <v>1620</v>
      </c>
      <c r="C1629" t="str">
        <f>IFERROR(__xludf.DUMMYFUNCTION("GOOGLETRANSLATE(B1629, ""es"", ""en"")"),"VERY GOOD identifies specific attributes (for example, comfort or fit tee, or battery of a camera) and indicates whether you have met your expectations. Do not describe to the seller or the experience of shipping (can do that")</f>
        <v>VERY GOOD identifies specific attributes (for example, comfort or fit tee, or battery of a camera) and indicates whether you have met your expectations. Do not describe to the seller or the experience of shipping (can do that</v>
      </c>
    </row>
    <row r="1630">
      <c r="A1630" s="1">
        <v>5.0</v>
      </c>
      <c r="B1630" s="1" t="s">
        <v>1621</v>
      </c>
      <c r="C1630" t="str">
        <f>IFERROR(__xludf.DUMMYFUNCTION("GOOGLETRANSLATE(B1630, ""es"", ""en"")"),"SIZING good product perfect. 175 and 80 kg. Talla M. seems good material and very hot. Although it not as cheap as it seems, is good brand Joma. And Spanish. I repeat")</f>
        <v>SIZING good product perfect. 175 and 80 kg. Talla M. seems good material and very hot. Although it not as cheap as it seems, is good brand Joma. And Spanish. I repeat</v>
      </c>
    </row>
    <row r="1631">
      <c r="A1631" s="1">
        <v>5.0</v>
      </c>
      <c r="B1631" s="1" t="s">
        <v>1622</v>
      </c>
      <c r="C1631" t="str">
        <f>IFERROR(__xludf.DUMMYFUNCTION("GOOGLETRANSLATE(B1631, ""es"", ""en"")"),"Perfect speed record")</f>
        <v>Perfect speed record</v>
      </c>
    </row>
    <row r="1632">
      <c r="A1632" s="1">
        <v>5.0</v>
      </c>
      <c r="B1632" s="1" t="s">
        <v>1623</v>
      </c>
      <c r="C1632" t="str">
        <f>IFERROR(__xludf.DUMMYFUNCTION("GOOGLETRANSLATE(B1632, ""es"", ""en"")"),"Just what I was looking was looking for supports that were durable, aesthetically beautiful and economical for use in courses and workshops. We have already premiered and are just what I wanted.")</f>
        <v>Just what I was looking was looking for supports that were durable, aesthetically beautiful and economical for use in courses and workshops. We have already premiered and are just what I wanted.</v>
      </c>
    </row>
    <row r="1633">
      <c r="A1633" s="1">
        <v>5.0</v>
      </c>
      <c r="B1633" s="1" t="s">
        <v>1624</v>
      </c>
      <c r="C1633" t="str">
        <f>IFERROR(__xludf.DUMMYFUNCTION("GOOGLETRANSLATE(B1633, ""es"", ""en"")"),"perfect perfect get eh say it is a condenser microphone best for its super happy with the price and recommend it to 100")</f>
        <v>perfect perfect get eh say it is a condenser microphone best for its super happy with the price and recommend it to 100</v>
      </c>
    </row>
    <row r="1634">
      <c r="A1634" s="1">
        <v>5.0</v>
      </c>
      <c r="B1634" s="1" t="s">
        <v>1625</v>
      </c>
      <c r="C1634" t="str">
        <f>IFERROR(__xludf.DUMMYFUNCTION("GOOGLETRANSLATE(B1634, ""es"", ""en"")"),"Headphone very good quality headphones very good quality perfectly hear both calls and music and has plenty of length is ideal for running is compatible for my two phones that are iPhone 7 and huawei p20 pro will also mark the battery level that is very g"&amp;"ood advantage to not run out of battery, they are very comfortable and just notes that since porq have perfectly fit the oreja.lo recommend going very well'm delighted")</f>
        <v>Headphone very good quality headphones very good quality perfectly hear both calls and music and has plenty of length is ideal for running is compatible for my two phones that are iPhone 7 and huawei p20 pro will also mark the battery level that is very good advantage to not run out of battery, they are very comfortable and just notes that since porq have perfectly fit the oreja.lo recommend going very well'm delighted</v>
      </c>
    </row>
    <row r="1635">
      <c r="A1635" s="1">
        <v>5.0</v>
      </c>
      <c r="B1635" s="1" t="s">
        <v>1626</v>
      </c>
      <c r="C1635" t="str">
        <f>IFERROR(__xludf.DUMMYFUNCTION("GOOGLETRANSLATE(B1635, ""es"", ""en"")"),"Very nice looking clock for an event that was not very expensive, and the truth that for the money is very good. I am not a connoisseur of watches, but the material looks sturdy and is not fragile at all, so I recommend")</f>
        <v>Very nice looking clock for an event that was not very expensive, and the truth that for the money is very good. I am not a connoisseur of watches, but the material looks sturdy and is not fragile at all, so I recommend</v>
      </c>
    </row>
    <row r="1636">
      <c r="A1636" s="1">
        <v>5.0</v>
      </c>
      <c r="B1636" s="1" t="s">
        <v>1627</v>
      </c>
      <c r="C1636" t="str">
        <f>IFERROR(__xludf.DUMMYFUNCTION("GOOGLETRANSLATE(B1636, ""es"", ""en"")"),"The fabric is comfortable very good and very comfortable shirt")</f>
        <v>The fabric is comfortable very good and very comfortable shirt</v>
      </c>
    </row>
    <row r="1637">
      <c r="A1637" s="1">
        <v>5.0</v>
      </c>
      <c r="B1637" s="1" t="s">
        <v>1628</v>
      </c>
      <c r="C1637" t="str">
        <f>IFERROR(__xludf.DUMMYFUNCTION("GOOGLETRANSLATE(B1637, ""es"", ""en"")"),"I never had tried very comfortable compression stockings, and I have been great. They fit perfectly and above are very cheap now")</f>
        <v>I never had tried very comfortable compression stockings, and I have been great. They fit perfectly and above are very cheap now</v>
      </c>
    </row>
    <row r="1638">
      <c r="A1638" s="1">
        <v>5.0</v>
      </c>
      <c r="B1638" s="1" t="s">
        <v>1629</v>
      </c>
      <c r="C1638" t="str">
        <f>IFERROR(__xludf.DUMMYFUNCTION("GOOGLETRANSLATE(B1638, ""es"", ""en"")"),"He arrived early and in good condition is very good as is in the photo recommended")</f>
        <v>He arrived early and in good condition is very good as is in the photo recommended</v>
      </c>
    </row>
    <row r="1639">
      <c r="A1639" s="1">
        <v>2.0</v>
      </c>
      <c r="B1639" s="1" t="s">
        <v>1630</v>
      </c>
      <c r="C1639" t="str">
        <f>IFERROR(__xludf.DUMMYFUNCTION("GOOGLETRANSLATE(B1639, ""es"", ""en"")"),"Sleazy guide me good ratings that had this product and decided to catch it, I must say that the article is cheap and of course that is quite noticeable on quality, have wanted to imitate a famous brand on tatami mats, but remained in attempt, it is a very"&amp;" fine foam with a plastic spiked circles, obviously pricked, I used only once and the experience has not been good.")</f>
        <v>Sleazy guide me good ratings that had this product and decided to catch it, I must say that the article is cheap and of course that is quite noticeable on quality, have wanted to imitate a famous brand on tatami mats, but remained in attempt, it is a very fine foam with a plastic spiked circles, obviously pricked, I used only once and the experience has not been good.</v>
      </c>
    </row>
    <row r="1640">
      <c r="A1640" s="1">
        <v>3.0</v>
      </c>
      <c r="B1640" s="1" t="s">
        <v>1631</v>
      </c>
      <c r="C1640" t="str">
        <f>IFERROR(__xludf.DUMMYFUNCTION("GOOGLETRANSLATE(B1640, ""es"", ""en"")"),"It looked more GREAT AND NOT GOOD I asked why he thought he was bigger and like the other I HAVE IS BIGGER IS NOT IT THE TRUTH THAT WAS GOING TO RETURN AND WHAT HE PRESENTED TO MY SON AND TO THE FINAL ME WHAT HAS RETURNED FOR WHY IS VERY LARGE AND NOW I H"&amp;"AVE BEEN ME ME TO THE END IS WELL NOT SEE ME LIKE THAT SO SMALL NUMBERS THERE IS SO OTHERS")</f>
        <v>It looked more GREAT AND NOT GOOD I asked why he thought he was bigger and like the other I HAVE IS BIGGER IS NOT IT THE TRUTH THAT WAS GOING TO RETURN AND WHAT HE PRESENTED TO MY SON AND TO THE FINAL ME WHAT HAS RETURNED FOR WHY IS VERY LARGE AND NOW I HAVE BEEN ME ME TO THE END IS WELL NOT SEE ME LIKE THAT SO SMALL NUMBERS THERE IS SO OTHERS</v>
      </c>
    </row>
    <row r="1641">
      <c r="A1641" s="1">
        <v>1.0</v>
      </c>
      <c r="B1641" s="1" t="s">
        <v>1632</v>
      </c>
      <c r="C1641" t="str">
        <f>IFERROR(__xludf.DUMMYFUNCTION("GOOGLETRANSLATE(B1641, ""es"", ""en"")"),"No power shoe sole Amazon took off to the second use")</f>
        <v>No power shoe sole Amazon took off to the second use</v>
      </c>
    </row>
    <row r="1642">
      <c r="A1642" s="1">
        <v>1.0</v>
      </c>
      <c r="B1642" s="1" t="s">
        <v>1633</v>
      </c>
      <c r="C1642" t="str">
        <f>IFERROR(__xludf.DUMMYFUNCTION("GOOGLETRANSLATE(B1642, ""es"", ""en"")"),"Mala Mala cloth and small")</f>
        <v>Mala Mala cloth and small</v>
      </c>
    </row>
    <row r="1643">
      <c r="A1643" s="1">
        <v>4.0</v>
      </c>
      <c r="B1643" s="1" t="s">
        <v>1634</v>
      </c>
      <c r="C1643" t="str">
        <f>IFERROR(__xludf.DUMMYFUNCTION("GOOGLETRANSLATE(B1643, ""es"", ""en"")"),"Such good product which specifies the seller is very soft and easy to put on. Warms quickly.")</f>
        <v>Such good product which specifies the seller is very soft and easy to put on. Warms quickly.</v>
      </c>
    </row>
    <row r="1644">
      <c r="A1644" s="1">
        <v>4.0</v>
      </c>
      <c r="B1644" s="1" t="s">
        <v>1635</v>
      </c>
      <c r="C1644" t="str">
        <f>IFERROR(__xludf.DUMMYFUNCTION("GOOGLETRANSLATE(B1644, ""es"", ""en"")"),"It was as expected as it was waiting for my wife and if she is happy (the case) because eso¡ everyone happy.")</f>
        <v>It was as expected as it was waiting for my wife and if she is happy (the case) because eso¡ everyone happy.</v>
      </c>
    </row>
    <row r="1645">
      <c r="A1645" s="1">
        <v>4.0</v>
      </c>
      <c r="B1645" s="1" t="s">
        <v>1636</v>
      </c>
      <c r="C1645" t="str">
        <f>IFERROR(__xludf.DUMMYFUNCTION("GOOGLETRANSLATE(B1645, ""es"", ""en"")"),"Happy with purchase. After 6 years, my previous barracuda 2TB passed away, I was also with him that I repeat, I hope me so good result as above. I have as a slave, as a teacher I have an SSD Kingston. Quiet and good performance. Packed in its antistatic b"&amp;"ag and wrapped in bubbles, snugly inside the carton. Moment very happy with the purchase.")</f>
        <v>Happy with purchase. After 6 years, my previous barracuda 2TB passed away, I was also with him that I repeat, I hope me so good result as above. I have as a slave, as a teacher I have an SSD Kingston. Quiet and good performance. Packed in its antistatic bag and wrapped in bubbles, snugly inside the carton. Moment very happy with the purchase.</v>
      </c>
    </row>
    <row r="1646">
      <c r="A1646" s="1">
        <v>4.0</v>
      </c>
      <c r="B1646" s="1" t="s">
        <v>1637</v>
      </c>
      <c r="C1646" t="str">
        <f>IFERROR(__xludf.DUMMYFUNCTION("GOOGLETRANSLATE(B1646, ""es"", ""en"")"),"excellent price quality. Trinket that he really liked my mother.")</f>
        <v>excellent price quality. Trinket that he really liked my mother.</v>
      </c>
    </row>
    <row r="1647">
      <c r="A1647" s="1">
        <v>4.0</v>
      </c>
      <c r="B1647" s="1" t="s">
        <v>1638</v>
      </c>
      <c r="C1647" t="str">
        <f>IFERROR(__xludf.DUMMYFUNCTION("GOOGLETRANSLATE(B1647, ""es"", ""en"")"),"Good value I have used it to glue several things in my house that had not achieved with other types of adhesives either by the weight of what I wanted paste or moisture in the area and finally are securely fixed and fixed. It's pretty easy to put on and i"&amp;"n case you lose the grip the recovered washing. I did not expect so thick but the important thing is serves as its description.")</f>
        <v>Good value I have used it to glue several things in my house that had not achieved with other types of adhesives either by the weight of what I wanted paste or moisture in the area and finally are securely fixed and fixed. It's pretty easy to put on and in case you lose the grip the recovered washing. I did not expect so thick but the important thing is serves as its description.</v>
      </c>
    </row>
    <row r="1648">
      <c r="A1648" s="1">
        <v>5.0</v>
      </c>
      <c r="B1648" s="1" t="s">
        <v>1639</v>
      </c>
      <c r="C1648" t="str">
        <f>IFERROR(__xludf.DUMMYFUNCTION("GOOGLETRANSLATE(B1648, ""es"", ""en"")"),"Good product I liked it seems lighter and more comfortable than traditional ones.")</f>
        <v>Good product I liked it seems lighter and more comfortable than traditional ones.</v>
      </c>
    </row>
    <row r="1649">
      <c r="A1649" s="1">
        <v>5.0</v>
      </c>
      <c r="B1649" s="1" t="s">
        <v>1640</v>
      </c>
      <c r="C1649" t="str">
        <f>IFERROR(__xludf.DUMMYFUNCTION("GOOGLETRANSLATE(B1649, ""es"", ""en"")"),"serves its purpose for the price that has more than enough fulfills its mission. The only bad thing is that it is a little small for my wrist ... but hey, that does not mean it's small ... is that my hand is 25 cm, so I guess it's normal ... If you have a"&amp;" current anatomy and a pocket at par, this is your watch.")</f>
        <v>serves its purpose for the price that has more than enough fulfills its mission. The only bad thing is that it is a little small for my wrist ... but hey, that does not mean it's small ... is that my hand is 25 cm, so I guess it's normal ... If you have a current anatomy and a pocket at par, this is your watch.</v>
      </c>
    </row>
    <row r="1650">
      <c r="A1650" s="1">
        <v>5.0</v>
      </c>
      <c r="B1650" s="1" t="s">
        <v>1641</v>
      </c>
      <c r="C1650" t="str">
        <f>IFERROR(__xludf.DUMMYFUNCTION("GOOGLETRANSLATE(B1650, ""es"", ""en"")"),"All right 10/10, the expected delivery day, this is the second pair of Classic Leather I buy and are very highly recommended.")</f>
        <v>All right 10/10, the expected delivery day, this is the second pair of Classic Leather I buy and are very highly recommended.</v>
      </c>
    </row>
    <row r="1651">
      <c r="A1651" s="1">
        <v>5.0</v>
      </c>
      <c r="B1651" s="1" t="s">
        <v>1642</v>
      </c>
      <c r="C1651" t="str">
        <f>IFERROR(__xludf.DUMMYFUNCTION("GOOGLETRANSLATE(B1651, ""es"", ""en"")"),"Aesthetics and works well A friend has a similar aromatherapy diffuser and liked it, so I decided to buy a similar one. It's really nice to feel aesthetic and makes the house smell good if you add some essential oils. Of course, it is also possible to use"&amp;" water without any odor. It works by evaporation of the water by sonication. It works quietly, does not bother me. There is a remote control, but do not use it much, just turn on or turn off it, that's enough for me.")</f>
        <v>Aesthetics and works well A friend has a similar aromatherapy diffuser and liked it, so I decided to buy a similar one. It's really nice to feel aesthetic and makes the house smell good if you add some essential oils. Of course, it is also possible to use water without any odor. It works by evaporation of the water by sonication. It works quietly, does not bother me. There is a remote control, but do not use it much, just turn on or turn off it, that's enough for me.</v>
      </c>
    </row>
    <row r="1652">
      <c r="A1652" s="1">
        <v>5.0</v>
      </c>
      <c r="B1652" s="1" t="s">
        <v>1643</v>
      </c>
      <c r="C1652" t="str">
        <f>IFERROR(__xludf.DUMMYFUNCTION("GOOGLETRANSLATE(B1652, ""es"", ""en"")"),"Excellent Excellent, very comfortable and warm.")</f>
        <v>Excellent Excellent, very comfortable and warm.</v>
      </c>
    </row>
    <row r="1653">
      <c r="A1653" s="1">
        <v>5.0</v>
      </c>
      <c r="B1653" s="1" t="s">
        <v>1644</v>
      </c>
      <c r="C1653" t="str">
        <f>IFERROR(__xludf.DUMMYFUNCTION("GOOGLETRANSLATE(B1653, ""es"", ""en"")"),"well Normalito")</f>
        <v>well Normalito</v>
      </c>
    </row>
    <row r="1654">
      <c r="A1654" s="1">
        <v>5.0</v>
      </c>
      <c r="B1654" s="1" t="s">
        <v>1645</v>
      </c>
      <c r="C1654" t="str">
        <f>IFERROR(__xludf.DUMMYFUNCTION("GOOGLETRANSLATE(B1654, ""es"", ""en"")"),"😁 😁")</f>
        <v>😁 😁</v>
      </c>
    </row>
    <row r="1655">
      <c r="A1655" s="1">
        <v>5.0</v>
      </c>
      <c r="B1655" s="1" t="s">
        <v>1646</v>
      </c>
      <c r="C1655" t="str">
        <f>IFERROR(__xludf.DUMMYFUNCTION("GOOGLETRANSLATE(B1655, ""es"", ""en"")"),"Utilities are perfect for small precision work")</f>
        <v>Utilities are perfect for small precision work</v>
      </c>
    </row>
    <row r="1656">
      <c r="A1656" s="1">
        <v>5.0</v>
      </c>
      <c r="B1656" s="1" t="s">
        <v>1647</v>
      </c>
      <c r="C1656" t="str">
        <f>IFERROR(__xludf.DUMMYFUNCTION("GOOGLETRANSLATE(B1656, ""es"", ""en"")"),"Precious! Go past the mouse mat. Color identical to that of my computer. Material: aluminum. The mouse glides so great and gentle, and detects the precise movement. Circular perfect size. I recommend !!!")</f>
        <v>Precious! Go past the mouse mat. Color identical to that of my computer. Material: aluminum. The mouse glides so great and gentle, and detects the precise movement. Circular perfect size. I recommend !!!</v>
      </c>
    </row>
    <row r="1657">
      <c r="A1657" s="1">
        <v>5.0</v>
      </c>
      <c r="B1657" s="1" t="s">
        <v>1648</v>
      </c>
      <c r="C1657" t="str">
        <f>IFERROR(__xludf.DUMMYFUNCTION("GOOGLETRANSLATE(B1657, ""es"", ""en"")"),"Economic Good.")</f>
        <v>Economic Good.</v>
      </c>
    </row>
    <row r="1658">
      <c r="A1658" s="1">
        <v>5.0</v>
      </c>
      <c r="B1658" s="1" t="s">
        <v>1649</v>
      </c>
      <c r="C1658" t="str">
        <f>IFERROR(__xludf.DUMMYFUNCTION("GOOGLETRANSLATE(B1658, ""es"", ""en"")"),"Just what I needed If you look for a medium-sized album, this will come in handy. Cardstock pages are black and one is tissue paper. There are two photos per page of standard size (10x15)")</f>
        <v>Just what I needed If you look for a medium-sized album, this will come in handy. Cardstock pages are black and one is tissue paper. There are two photos per page of standard size (10x15)</v>
      </c>
    </row>
    <row r="1659">
      <c r="A1659" s="1">
        <v>5.0</v>
      </c>
      <c r="B1659" s="1" t="s">
        <v>1650</v>
      </c>
      <c r="C1659" t="str">
        <f>IFERROR(__xludf.DUMMYFUNCTION("GOOGLETRANSLATE(B1659, ""es"", ""en"")"),"Very good very comfortable to walk and light demenos miss a leguetas harder and with more reinforcement eyelets for trencillas")</f>
        <v>Very good very comfortable to walk and light demenos miss a leguetas harder and with more reinforcement eyelets for trencillas</v>
      </c>
    </row>
    <row r="1660">
      <c r="A1660" s="1">
        <v>5.0</v>
      </c>
      <c r="B1660" s="1" t="s">
        <v>1651</v>
      </c>
      <c r="C1660" t="str">
        <f>IFERROR(__xludf.DUMMYFUNCTION("GOOGLETRANSLATE(B1660, ""es"", ""en"")"),"Beautiful I liked is ideal because it is really cute")</f>
        <v>Beautiful I liked is ideal because it is really cute</v>
      </c>
    </row>
    <row r="1661">
      <c r="A1661" s="1">
        <v>5.0</v>
      </c>
      <c r="B1661" s="1" t="s">
        <v>1652</v>
      </c>
      <c r="C1661" t="str">
        <f>IFERROR(__xludf.DUMMYFUNCTION("GOOGLETRANSLATE(B1661, ""es"", ""en"")"),"Very nice white design is listen very well. The battery lasts a long time use in four hours has not given me any problems. The white model is very nice. They are paired with ease and listen well even remote mobile phone.")</f>
        <v>Very nice white design is listen very well. The battery lasts a long time use in four hours has not given me any problems. The white model is very nice. They are paired with ease and listen well even remote mobile phone.</v>
      </c>
    </row>
    <row r="1662">
      <c r="A1662" s="1">
        <v>5.0</v>
      </c>
      <c r="B1662" s="1" t="s">
        <v>1653</v>
      </c>
      <c r="C1662" t="str">
        <f>IFERROR(__xludf.DUMMYFUNCTION("GOOGLETRANSLATE(B1662, ""es"", ""en"")"),"the best and cheapest is the best water heater I've had and the cheapest. What I like most is that it has a part semitransparent so you can see how much water you have.")</f>
        <v>the best and cheapest is the best water heater I've had and the cheapest. What I like most is that it has a part semitransparent so you can see how much water you have.</v>
      </c>
    </row>
    <row r="1663">
      <c r="A1663" s="1">
        <v>5.0</v>
      </c>
      <c r="B1663" s="1" t="s">
        <v>1654</v>
      </c>
      <c r="C1663" t="str">
        <f>IFERROR(__xludf.DUMMYFUNCTION("GOOGLETRANSLATE(B1663, ""es"", ""en"")"),"Ideal to wear on the sofa and gave my grandmother is delighted. It is somewhat small but is intended to bring it under clothing. It is soft and does not burn. It turns itself off after 90 minutes, if you get fried on the couch.")</f>
        <v>Ideal to wear on the sofa and gave my grandmother is delighted. It is somewhat small but is intended to bring it under clothing. It is soft and does not burn. It turns itself off after 90 minutes, if you get fried on the couch.</v>
      </c>
    </row>
    <row r="1664">
      <c r="A1664" s="1">
        <v>5.0</v>
      </c>
      <c r="B1664" s="1" t="s">
        <v>1655</v>
      </c>
      <c r="C1664" t="str">
        <f>IFERROR(__xludf.DUMMYFUNCTION("GOOGLETRANSLATE(B1664, ""es"", ""en"")"),"Phenomenal The product is very good, very fast and linpio heated. and this Genta Amazón work very well. Care should raise them all salary.")</f>
        <v>Phenomenal The product is very good, very fast and linpio heated. and this Genta Amazón work very well. Care should raise them all salary.</v>
      </c>
    </row>
    <row r="1665">
      <c r="A1665" s="1">
        <v>5.0</v>
      </c>
      <c r="B1665" s="1" t="s">
        <v>1656</v>
      </c>
      <c r="C1665" t="str">
        <f>IFERROR(__xludf.DUMMYFUNCTION("GOOGLETRANSLATE(B1665, ""es"", ""en"")"),"Well done to the case is good, things also come in that are of good quality")</f>
        <v>Well done to the case is good, things also come in that are of good quality</v>
      </c>
    </row>
    <row r="1666">
      <c r="A1666" s="1">
        <v>2.0</v>
      </c>
      <c r="B1666" s="1" t="s">
        <v>1657</v>
      </c>
      <c r="C1666" t="str">
        <f>IFERROR(__xludf.DUMMYFUNCTION("GOOGLETRANSLATE(B1666, ""es"", ""en"")"),"Well until he stood almost three years either, but it has been stopped. And what little she was to have loosened the screw of the counterweight cranks. I had to paste. He was pleased with the clock so far.")</f>
        <v>Well until he stood almost three years either, but it has been stopped. And what little she was to have loosened the screw of the counterweight cranks. I had to paste. He was pleased with the clock so far.</v>
      </c>
    </row>
    <row r="1667">
      <c r="A1667" s="1">
        <v>3.0</v>
      </c>
      <c r="B1667" s="1" t="s">
        <v>1658</v>
      </c>
      <c r="C1667" t="str">
        <f>IFERROR(__xludf.DUMMYFUNCTION("GOOGLETRANSLATE(B1667, ""es"", ""en"")"),"The problem with right atrial product has reached a good box and well sealed to prevent strokes. The problem I've had is that the headset right to occasionally stop and listen. It is very uncomfortable and I proceeded to return. Hear quite well but I've t"&amp;"ried the Xiaomi and I think it works best in addition to the case is smaller to carry it. The battery charge I could not prove their duration for the short time that I had but I have not had any problems for 2 hours")</f>
        <v>The problem with right atrial product has reached a good box and well sealed to prevent strokes. The problem I've had is that the headset right to occasionally stop and listen. It is very uncomfortable and I proceeded to return. Hear quite well but I've tried the Xiaomi and I think it works best in addition to the case is smaller to carry it. The battery charge I could not prove their duration for the short time that I had but I have not had any problems for 2 hours</v>
      </c>
    </row>
    <row r="1668">
      <c r="A1668" s="1">
        <v>3.0</v>
      </c>
      <c r="B1668" s="1" t="s">
        <v>1659</v>
      </c>
      <c r="C1668" t="str">
        <f>IFERROR(__xludf.DUMMYFUNCTION("GOOGLETRANSLATE(B1668, ""es"", ""en"")"),"Value / average price. - While these products usually come without the ability to advertise, buy one 64GB of which only 55 were real, I think losing 9GB down the road is abusive. - Regarding the speed does not reach the announced, but it shows the change "&amp;"from the 2.0 - I bought the product for an offer, so for what I paid'm satisfied. I recommend it if you find another offer some € recess.")</f>
        <v>Value / average price. - While these products usually come without the ability to advertise, buy one 64GB of which only 55 were real, I think losing 9GB down the road is abusive. - Regarding the speed does not reach the announced, but it shows the change from the 2.0 - I bought the product for an offer, so for what I paid'm satisfied. I recommend it if you find another offer some € recess.</v>
      </c>
    </row>
    <row r="1669">
      <c r="A1669" s="1">
        <v>1.0</v>
      </c>
      <c r="B1669" s="1" t="s">
        <v>1660</v>
      </c>
      <c r="C1669" t="str">
        <f>IFERROR(__xludf.DUMMYFUNCTION("GOOGLETRANSLATE(B1669, ""es"", ""en"")"),"POOR QUALITY The slippers have put me twice and have gone pellets inside, which cost 54 euros for the poor quality of the product. Outrageous.")</f>
        <v>POOR QUALITY The slippers have put me twice and have gone pellets inside, which cost 54 euros for the poor quality of the product. Outrageous.</v>
      </c>
    </row>
    <row r="1670">
      <c r="A1670" s="1">
        <v>1.0</v>
      </c>
      <c r="B1670" s="1" t="s">
        <v>1661</v>
      </c>
      <c r="C1670" t="str">
        <f>IFERROR(__xludf.DUMMYFUNCTION("GOOGLETRANSLATE(B1670, ""es"", ""en"")"),"Nefarious buy !!! A chestnut !!! I bought 2 cards and 2 have been broken and I lost everything I had recorded. I do not recommend the product at all. I do not understand how a brand like Samsung can make things so bad.")</f>
        <v>Nefarious buy !!! A chestnut !!! I bought 2 cards and 2 have been broken and I lost everything I had recorded. I do not recommend the product at all. I do not understand how a brand like Samsung can make things so bad.</v>
      </c>
    </row>
    <row r="1671">
      <c r="A1671" s="1">
        <v>1.0</v>
      </c>
      <c r="B1671" s="1" t="s">
        <v>1662</v>
      </c>
      <c r="C1671" t="str">
        <f>IFERROR(__xludf.DUMMYFUNCTION("GOOGLETRANSLATE(B1671, ""es"", ""en"")"),"Much Ado noisily even lowering the entry level, I use very little and will finish putting it in a drawer, or selling")</f>
        <v>Much Ado noisily even lowering the entry level, I use very little and will finish putting it in a drawer, or selling</v>
      </c>
    </row>
    <row r="1672">
      <c r="A1672" s="1">
        <v>4.0</v>
      </c>
      <c r="B1672" s="1" t="s">
        <v>1663</v>
      </c>
      <c r="C1672" t="str">
        <f>IFERROR(__xludf.DUMMYFUNCTION("GOOGLETRANSLATE(B1672, ""es"", ""en"")"),"I broke the good sound that brought my note 8 to buy again, we hear quite well")</f>
        <v>I broke the good sound that brought my note 8 to buy again, we hear quite well</v>
      </c>
    </row>
    <row r="1673">
      <c r="A1673" s="1">
        <v>4.0</v>
      </c>
      <c r="B1673" s="1" t="s">
        <v>1664</v>
      </c>
      <c r="C1673" t="str">
        <f>IFERROR(__xludf.DUMMYFUNCTION("GOOGLETRANSLATE(B1673, ""es"", ""en"")"),"Good quality and price In principle, the material is good, wiring is also reinforced it has. The sound is good and quality. I've also been fortunate to chance of q I will send 6 pairs of viscoescolásticas pads. Q I hope is true")</f>
        <v>Good quality and price In principle, the material is good, wiring is also reinforced it has. The sound is good and quality. I've also been fortunate to chance of q I will send 6 pairs of viscoescolásticas pads. Q I hope is true</v>
      </c>
    </row>
    <row r="1674">
      <c r="A1674" s="1">
        <v>4.0</v>
      </c>
      <c r="B1674" s="1" t="s">
        <v>1665</v>
      </c>
      <c r="C1674" t="str">
        <f>IFERROR(__xludf.DUMMYFUNCTION("GOOGLETRANSLATE(B1674, ""es"", ""en"")"),"Very comfortable and last long battery Hi, about three weeks ago to buy it and so far very happy with it. They are comfortable, not invasive. They hear very well and the battery lasts long. In fact I have not yet loaded with cargo that came with helmets h"&amp;"ave seen since an entire season of a series and the occasional movie and as I said I have not yet had to bear. also they bring a case to have it picked up. Against that turn on or turn off the voice that speaks to you it does in English. I recommend it.")</f>
        <v>Very comfortable and last long battery Hi, about three weeks ago to buy it and so far very happy with it. They are comfortable, not invasive. They hear very well and the battery lasts long. In fact I have not yet loaded with cargo that came with helmets have seen since an entire season of a series and the occasional movie and as I said I have not yet had to bear. also they bring a case to have it picked up. Against that turn on or turn off the voice that speaks to you it does in English. I recommend it.</v>
      </c>
    </row>
    <row r="1675">
      <c r="A1675" s="1">
        <v>4.0</v>
      </c>
      <c r="B1675" s="1" t="s">
        <v>1666</v>
      </c>
      <c r="C1675" t="str">
        <f>IFERROR(__xludf.DUMMYFUNCTION("GOOGLETRANSLATE(B1675, ""es"", ""en"")"),"They serve right jogging paths. If you're starting with runingen track it. To pádel I have not tried. They adapt well to foot.")</f>
        <v>They serve right jogging paths. If you're starting with runingen track it. To pádel I have not tried. They adapt well to foot.</v>
      </c>
    </row>
    <row r="1676">
      <c r="A1676" s="1">
        <v>5.0</v>
      </c>
      <c r="B1676" s="1" t="s">
        <v>1667</v>
      </c>
      <c r="C1676" t="str">
        <f>IFERROR(__xludf.DUMMYFUNCTION("GOOGLETRANSLATE(B1676, ""es"", ""en"")"),"Best magnifying glasses to work at a great price I had 3 different models elmenos magnifying glasses to work and these are definitely the best. They're very comfortable, used to paint miniatures and I can be with them you put more than one uninterrupted h"&amp;"our. They come with five lenses, the difference is very noticeable increase between each other and use virtually every function of the detail you want to perform, the lenses are placed and removed easily, you could change with one hand lenses come -The in"&amp;" a practical transparent plastic box and bag included for transporting glasses (too small for my taste) 2 adjustable front leds they've got angled regardless of the angle of the lens -aesthetically they are the most beautiful of all that I have had")</f>
        <v>Best magnifying glasses to work at a great price I had 3 different models elmenos magnifying glasses to work and these are definitely the best. They're very comfortable, used to paint miniatures and I can be with them you put more than one uninterrupted hour. They come with five lenses, the difference is very noticeable increase between each other and use virtually every function of the detail you want to perform, the lenses are placed and removed easily, you could change with one hand lenses come -The in a practical transparent plastic box and bag included for transporting glasses (too small for my taste) 2 adjustable front leds they've got angled regardless of the angle of the lens -aesthetically they are the most beautiful of all that I have had</v>
      </c>
    </row>
    <row r="1677">
      <c r="A1677" s="1">
        <v>5.0</v>
      </c>
      <c r="B1677" s="1" t="s">
        <v>1668</v>
      </c>
      <c r="C1677" t="str">
        <f>IFERROR(__xludf.DUMMYFUNCTION("GOOGLETRANSLATE(B1677, ""es"", ""en"")"),"The best is all perfect !! is quite large and lots of cream comes every perfect")</f>
        <v>The best is all perfect !! is quite large and lots of cream comes every perfect</v>
      </c>
    </row>
    <row r="1678">
      <c r="A1678" s="1">
        <v>5.0</v>
      </c>
      <c r="B1678" s="1" t="s">
        <v>1669</v>
      </c>
      <c r="C1678" t="str">
        <f>IFERROR(__xludf.DUMMYFUNCTION("GOOGLETRANSLATE(B1678, ""es"", ""en"")"),"Perfect and original. Perfect. They are the originals. Very comfortable. They arrived correctly and on time, and that was my holiday address.")</f>
        <v>Perfect and original. Perfect. They are the originals. Very comfortable. They arrived correctly and on time, and that was my holiday address.</v>
      </c>
    </row>
    <row r="1679">
      <c r="A1679" s="1">
        <v>5.0</v>
      </c>
      <c r="B1679" s="1" t="s">
        <v>1670</v>
      </c>
      <c r="C1679" t="str">
        <f>IFERROR(__xludf.DUMMYFUNCTION("GOOGLETRANSLATE(B1679, ""es"", ""en"")"),"Ideal definitely repeat very quickly in warm, very original vintage design style.")</f>
        <v>Ideal definitely repeat very quickly in warm, very original vintage design style.</v>
      </c>
    </row>
    <row r="1680">
      <c r="A1680" s="1">
        <v>5.0</v>
      </c>
      <c r="B1680" s="1" t="s">
        <v>1671</v>
      </c>
      <c r="C1680" t="str">
        <f>IFERROR(__xludf.DUMMYFUNCTION("GOOGLETRANSLATE(B1680, ""es"", ""en"")"),"Great quality")</f>
        <v>Great quality</v>
      </c>
    </row>
    <row r="1681">
      <c r="A1681" s="1">
        <v>5.0</v>
      </c>
      <c r="B1681" s="1" t="s">
        <v>1672</v>
      </c>
      <c r="C1681" t="str">
        <f>IFERROR(__xludf.DUMMYFUNCTION("GOOGLETRANSLATE(B1681, ""es"", ""en"")"),"Buy excellent product excellent, classic and good quality.")</f>
        <v>Buy excellent product excellent, classic and good quality.</v>
      </c>
    </row>
    <row r="1682">
      <c r="A1682" s="1">
        <v>5.0</v>
      </c>
      <c r="B1682" s="1" t="s">
        <v>1673</v>
      </c>
      <c r="C1682" t="str">
        <f>IFERROR(__xludf.DUMMYFUNCTION("GOOGLETRANSLATE(B1682, ""es"", ""en"")"),"Zapas The sizes are small, eye. I ordered a 8-1 / 2 but actually is more a 8")</f>
        <v>Zapas The sizes are small, eye. I ordered a 8-1 / 2 but actually is more a 8</v>
      </c>
    </row>
    <row r="1683">
      <c r="A1683" s="1">
        <v>5.0</v>
      </c>
      <c r="B1683" s="1" t="s">
        <v>1674</v>
      </c>
      <c r="C1683" t="str">
        <f>IFERROR(__xludf.DUMMYFUNCTION("GOOGLETRANSLATE(B1683, ""es"", ""en"")"),"Very good. This humidifier is great, big boy and is plastic but has a very very good look. Functions more or less steam is very good and light options too. Odors depends on the oils you use, some smell and last longer than others, but the humidifier works"&amp;" great. For me it is better not spot or splashes anything or leave marks on furniture like other humidifiers. I was very surprised for good, therefore, that the next week I bought another. I would definitely recommend.")</f>
        <v>Very good. This humidifier is great, big boy and is plastic but has a very very good look. Functions more or less steam is very good and light options too. Odors depends on the oils you use, some smell and last longer than others, but the humidifier works great. For me it is better not spot or splashes anything or leave marks on furniture like other humidifiers. I was very surprised for good, therefore, that the next week I bought another. I would definitely recommend.</v>
      </c>
    </row>
    <row r="1684">
      <c r="A1684" s="1">
        <v>5.0</v>
      </c>
      <c r="B1684" s="1" t="s">
        <v>1675</v>
      </c>
      <c r="C1684" t="str">
        <f>IFERROR(__xludf.DUMMYFUNCTION("GOOGLETRANSLATE(B1684, ""es"", ""en"")"),"I lijeros they are and sound quality and durability of the I battery have loved headphones since they relate virtually alone have very good sound quality and can use both the two together as one single ideal for music listening or answer calls that is wha"&amp;"t I use and are great because you can hang up and pick from one headset even raise or lower the sound or move songs by touching them. Besides the base that came with your FUNDIT transport and only charge once the base for various loads have headphones, we"&amp;" think soon buy another for my wife")</f>
        <v>I lijeros they are and sound quality and durability of the I battery have loved headphones since they relate virtually alone have very good sound quality and can use both the two together as one single ideal for music listening or answer calls that is what I use and are great because you can hang up and pick from one headset even raise or lower the sound or move songs by touching them. Besides the base that came with your FUNDIT transport and only charge once the base for various loads have headphones, we think soon buy another for my wife</v>
      </c>
    </row>
    <row r="1685">
      <c r="A1685" s="1">
        <v>5.0</v>
      </c>
      <c r="B1685" s="1" t="s">
        <v>1676</v>
      </c>
      <c r="C1685" t="str">
        <f>IFERROR(__xludf.DUMMYFUNCTION("GOOGLETRANSLATE(B1685, ""es"", ""en"")"),"Very good quality great after many users still clean, easy-clean fabric")</f>
        <v>Very good quality great after many users still clean, easy-clean fabric</v>
      </c>
    </row>
    <row r="1686">
      <c r="A1686" s="1">
        <v>5.0</v>
      </c>
      <c r="B1686" s="1" t="s">
        <v>1677</v>
      </c>
      <c r="C1686" t="str">
        <f>IFERROR(__xludf.DUMMYFUNCTION("GOOGLETRANSLATE(B1686, ""es"", ""en"")"),"Very nice Perfect")</f>
        <v>Very nice Perfect</v>
      </c>
    </row>
    <row r="1687">
      <c r="A1687" s="1">
        <v>5.0</v>
      </c>
      <c r="B1687" s="1" t="s">
        <v>1678</v>
      </c>
      <c r="C1687" t="str">
        <f>IFERROR(__xludf.DUMMYFUNCTION("GOOGLETRANSLATE(B1687, ""es"", ""en"")"),"This would have loved white liked him and is perfect size, very comfortable. I bought another black of the same size but is somewhat smaller.")</f>
        <v>This would have loved white liked him and is perfect size, very comfortable. I bought another black of the same size but is somewhat smaller.</v>
      </c>
    </row>
    <row r="1688">
      <c r="A1688" s="1">
        <v>5.0</v>
      </c>
      <c r="B1688" s="1" t="s">
        <v>1679</v>
      </c>
      <c r="C1688" t="str">
        <f>IFERROR(__xludf.DUMMYFUNCTION("GOOGLETRANSLATE(B1688, ""es"", ""en"")"),"Great Very nice I've caught a girl of 10 years old and very happy. I will ask for 2 more one for me. He arrived early.")</f>
        <v>Great Very nice I've caught a girl of 10 years old and very happy. I will ask for 2 more one for me. He arrived early.</v>
      </c>
    </row>
    <row r="1689">
      <c r="A1689" s="1">
        <v>5.0</v>
      </c>
      <c r="B1689" s="1" t="s">
        <v>1680</v>
      </c>
      <c r="C1689" t="str">
        <f>IFERROR(__xludf.DUMMYFUNCTION("GOOGLETRANSLATE(B1689, ""es"", ""en"")"),"Perfect passes PSP Buy this disc to expand domestic PSP, works perfectly in small, 100 x 100 compatible.Calidad very good price.")</f>
        <v>Perfect passes PSP Buy this disc to expand domestic PSP, works perfectly in small, 100 x 100 compatible.Calidad very good price.</v>
      </c>
    </row>
    <row r="1690">
      <c r="A1690" s="1">
        <v>5.0</v>
      </c>
      <c r="B1690" s="1" t="s">
        <v>1681</v>
      </c>
      <c r="C1690" t="str">
        <f>IFERROR(__xludf.DUMMYFUNCTION("GOOGLETRANSLATE(B1690, ""es"", ""en"")"),"Comfortable Super comfortable, a little small.")</f>
        <v>Comfortable Super comfortable, a little small.</v>
      </c>
    </row>
    <row r="1691">
      <c r="A1691" s="1">
        <v>5.0</v>
      </c>
      <c r="B1691" s="1" t="s">
        <v>1682</v>
      </c>
      <c r="C1691" t="str">
        <f>IFERROR(__xludf.DUMMYFUNCTION("GOOGLETRANSLATE(B1691, ""es"", ""en"")"),"Good buy is a very stylish watch. An ideal gift.")</f>
        <v>Good buy is a very stylish watch. An ideal gift.</v>
      </c>
    </row>
    <row r="1692">
      <c r="A1692" s="1">
        <v>5.0</v>
      </c>
      <c r="B1692" s="1" t="s">
        <v>1683</v>
      </c>
      <c r="C1692" t="str">
        <f>IFERROR(__xludf.DUMMYFUNCTION("GOOGLETRANSLATE(B1692, ""es"", ""en"")"),"The expected product came slippers expected color, it is the converse true and it shows in the quality and in the shaping that matches that can prove at any store, but are at best price.")</f>
        <v>The expected product came slippers expected color, it is the converse true and it shows in the quality and in the shaping that matches that can prove at any store, but are at best price.</v>
      </c>
    </row>
    <row r="1693">
      <c r="A1693" s="1">
        <v>5.0</v>
      </c>
      <c r="B1693" s="1" t="s">
        <v>1684</v>
      </c>
      <c r="C1693" t="str">
        <f>IFERROR(__xludf.DUMMYFUNCTION("GOOGLETRANSLATE(B1693, ""es"", ""en"")"),"Perfect perfect fit with my micro Rode and filters out pretty well for the price it has. Recommended if you do not want to overspend")</f>
        <v>Perfect perfect fit with my micro Rode and filters out pretty well for the price it has. Recommended if you do not want to overspend</v>
      </c>
    </row>
    <row r="1694">
      <c r="A1694" s="1">
        <v>5.0</v>
      </c>
      <c r="B1694" s="1" t="s">
        <v>1685</v>
      </c>
      <c r="C1694" t="str">
        <f>IFERROR(__xludf.DUMMYFUNCTION("GOOGLETRANSLATE(B1694, ""es"", ""en"")"),"Great headphones are by far the best wireless headphones I've tested plus plus charger using them every few days 3 hours and has not even reached 50% base")</f>
        <v>Great headphones are by far the best wireless headphones I've tested plus plus charger using them every few days 3 hours and has not even reached 50% base</v>
      </c>
    </row>
    <row r="1695">
      <c r="A1695" s="1">
        <v>2.0</v>
      </c>
      <c r="B1695" s="1" t="s">
        <v>1686</v>
      </c>
      <c r="C1695" t="str">
        <f>IFERROR(__xludf.DUMMYFUNCTION("GOOGLETRANSLATE(B1695, ""es"", ""en"")"),"To us it was not good we returned the product. Expected aromatherapy apparatus but the fact is that aromatizaba very, very little despite checking enough droplets essence. In addition, the water leaked out of the container and wet the furniture where it w"&amp;"as located.")</f>
        <v>To us it was not good we returned the product. Expected aromatherapy apparatus but the fact is that aromatizaba very, very little despite checking enough droplets essence. In addition, the water leaked out of the container and wet the furniture where it was located.</v>
      </c>
    </row>
    <row r="1696">
      <c r="A1696" s="1">
        <v>3.0</v>
      </c>
      <c r="B1696" s="1" t="s">
        <v>1687</v>
      </c>
      <c r="C1696" t="str">
        <f>IFERROR(__xludf.DUMMYFUNCTION("GOOGLETRANSLATE(B1696, ""es"", ""en"")"),"Long and comfortable with pocket")</f>
        <v>Long and comfortable with pocket</v>
      </c>
    </row>
    <row r="1697">
      <c r="A1697" s="1">
        <v>3.0</v>
      </c>
      <c r="B1697" s="1" t="s">
        <v>1688</v>
      </c>
      <c r="C1697" t="str">
        <f>IFERROR(__xludf.DUMMYFUNCTION("GOOGLETRANSLATE(B1697, ""es"", ""en"")"),"Scant information I asked you if the product were gloss or matte, matte told me today to perform work for the restaurant, which is open the package and are ..... SHINE ... it would be good to questioning or in it is well detailed specifications as it is a"&amp;"n important part besides the micron number, etc ...")</f>
        <v>Scant information I asked you if the product were gloss or matte, matte told me today to perform work for the restaurant, which is open the package and are ..... SHINE ... it would be good to questioning or in it is well detailed specifications as it is an important part besides the micron number, etc ...</v>
      </c>
    </row>
    <row r="1698">
      <c r="A1698" s="1">
        <v>1.0</v>
      </c>
      <c r="B1698" s="1" t="s">
        <v>1689</v>
      </c>
      <c r="C1698" t="str">
        <f>IFERROR(__xludf.DUMMYFUNCTION("GOOGLETRANSLATE(B1698, ""es"", ""en"")"),"not worth No aseguararlo pin for the suitcase")</f>
        <v>not worth No aseguararlo pin for the suitcase</v>
      </c>
    </row>
    <row r="1699">
      <c r="A1699" s="1">
        <v>1.0</v>
      </c>
      <c r="B1699" s="1" t="s">
        <v>1690</v>
      </c>
      <c r="C1699" t="str">
        <f>IFERROR(__xludf.DUMMYFUNCTION("GOOGLETRANSLATE(B1699, ""es"", ""en"")"),"Material weak low quality It feels sturdy and durable, but buy it in June 2015 and today 22 March 2016 has finally died, yet had already been causing problems extractable arm for three months, I think it's pretty loose because giving it a barely noticeabl"&amp;"e use has not reached last even a year.")</f>
        <v>Material weak low quality It feels sturdy and durable, but buy it in June 2015 and today 22 March 2016 has finally died, yet had already been causing problems extractable arm for three months, I think it's pretty loose because giving it a barely noticeable use has not reached last even a year.</v>
      </c>
    </row>
    <row r="1700">
      <c r="A1700" s="1">
        <v>4.0</v>
      </c>
      <c r="B1700" s="1" t="s">
        <v>1691</v>
      </c>
      <c r="C1700" t="str">
        <f>IFERROR(__xludf.DUMMYFUNCTION("GOOGLETRANSLATE(B1700, ""es"", ""en"")"),"It corresponds to the picture good buy casio watches have always the lasted me many years, and this with the golden sphere has a twist at a great price. That if the package came wrapped in a very bad way.")</f>
        <v>It corresponds to the picture good buy casio watches have always the lasted me many years, and this with the golden sphere has a twist at a great price. That if the package came wrapped in a very bad way.</v>
      </c>
    </row>
    <row r="1701">
      <c r="A1701" s="1">
        <v>4.0</v>
      </c>
      <c r="B1701" s="1" t="s">
        <v>1692</v>
      </c>
      <c r="C1701" t="str">
        <f>IFERROR(__xludf.DUMMYFUNCTION("GOOGLETRANSLATE(B1701, ""es"", ""en"")"),"I like practical plastic filing separate documentation such plastic cabinets. The colors help me remember the content but also usually let the first sheet that tells me is the content. With these it is more difficult because they are somewhat less translu"&amp;"cent.")</f>
        <v>I like practical plastic filing separate documentation such plastic cabinets. The colors help me remember the content but also usually let the first sheet that tells me is the content. With these it is more difficult because they are somewhat less translucent.</v>
      </c>
    </row>
    <row r="1702">
      <c r="A1702" s="1">
        <v>4.0</v>
      </c>
      <c r="B1702" s="1" t="s">
        <v>1693</v>
      </c>
      <c r="C1702" t="str">
        <f>IFERROR(__xludf.DUMMYFUNCTION("GOOGLETRANSLATE(B1702, ""es"", ""en"")"),"Great value for money I bought it to take a trip to the hotel pq q we were going was just breakfast and did not know if they had a kettle for tea or to heat water for soup at night. I was delighted, has met growing my expectativad, but consider q q is onl"&amp;"y for heating water and not very large quantities. I used to heat two cups of water. Also no space in the suitcase, I only had hand luggage, so I needed something small q. As a drawback, it has no on-off switch and no q q be careful where you leave it aft"&amp;"er use because it has no support and remains hot a few minutes. For the rest, great. Without a doubt recommend it for short trips.")</f>
        <v>Great value for money I bought it to take a trip to the hotel pq q we were going was just breakfast and did not know if they had a kettle for tea or to heat water for soup at night. I was delighted, has met growing my expectativad, but consider q q is only for heating water and not very large quantities. I used to heat two cups of water. Also no space in the suitcase, I only had hand luggage, so I needed something small q. As a drawback, it has no on-off switch and no q q be careful where you leave it after use because it has no support and remains hot a few minutes. For the rest, great. Without a doubt recommend it for short trips.</v>
      </c>
    </row>
    <row r="1703">
      <c r="A1703" s="1">
        <v>4.0</v>
      </c>
      <c r="B1703" s="1" t="s">
        <v>1694</v>
      </c>
      <c r="C1703" t="str">
        <f>IFERROR(__xludf.DUMMYFUNCTION("GOOGLETRANSLATE(B1703, ""es"", ""en"")"),"Good, nice, cheap price For k has is great")</f>
        <v>Good, nice, cheap price For k has is great</v>
      </c>
    </row>
    <row r="1704">
      <c r="A1704" s="1">
        <v>4.0</v>
      </c>
      <c r="B1704" s="1" t="s">
        <v>1695</v>
      </c>
      <c r="C1704" t="str">
        <f>IFERROR(__xludf.DUMMYFUNCTION("GOOGLETRANSLATE(B1704, ""es"", ""en"")"),"Meets ... was more or less what I expected based on other reviews, value very, very interesting, and meets more than enough for what I need ...")</f>
        <v>Meets ... was more or less what I expected based on other reviews, value very, very interesting, and meets more than enough for what I need ...</v>
      </c>
    </row>
    <row r="1705">
      <c r="A1705" s="1">
        <v>5.0</v>
      </c>
      <c r="B1705" s="1" t="s">
        <v>1696</v>
      </c>
      <c r="C1705" t="str">
        <f>IFERROR(__xludf.DUMMYFUNCTION("GOOGLETRANSLATE(B1705, ""es"", ""en"")"),"good value A good product as it appears in the photograph and have sent very quickly and in good condition. All perfect.")</f>
        <v>good value A good product as it appears in the photograph and have sent very quickly and in good condition. All perfect.</v>
      </c>
    </row>
    <row r="1706">
      <c r="A1706" s="1">
        <v>5.0</v>
      </c>
      <c r="B1706" s="1" t="s">
        <v>1697</v>
      </c>
      <c r="C1706" t="str">
        <f>IFERROR(__xludf.DUMMYFUNCTION("GOOGLETRANSLATE(B1706, ""es"", ""en"")"),"My old laptop turned 2011 into a fast computer current Lately, my old laptop was asking a relay. When driving multiple PDF's very heavy at the same time, it took to charge me the views of the pages. And the start took 2 minutes spent. I I cloned the drive"&amp;" directly, without plantearme reinstall the entire operating system and programs at enfarragoso of the subject, and to check whether the speed gain was real or simply derived from a clean operating system. Now the same computer starts up in 40 seconds and"&amp;" use the same files at full speed. I've even lost the habit of leaving your computer without shutting down laziness that led me to have it start every time. I'm so happy with the result and now I wont change the computer. At the time, I expanded RAM to 4G"&amp;"b 2Gb, and change I noticed was minimal. This has been abysmal, I would recommend to everyone.")</f>
        <v>My old laptop turned 2011 into a fast computer current Lately, my old laptop was asking a relay. When driving multiple PDF's very heavy at the same time, it took to charge me the views of the pages. And the start took 2 minutes spent. I I cloned the drive directly, without plantearme reinstall the entire operating system and programs at enfarragoso of the subject, and to check whether the speed gain was real or simply derived from a clean operating system. Now the same computer starts up in 40 seconds and use the same files at full speed. I've even lost the habit of leaving your computer without shutting down laziness that led me to have it start every time. I'm so happy with the result and now I wont change the computer. At the time, I expanded RAM to 4Gb 2Gb, and change I noticed was minimal. This has been abysmal, I would recommend to everyone.</v>
      </c>
    </row>
    <row r="1707">
      <c r="A1707" s="1">
        <v>5.0</v>
      </c>
      <c r="B1707" s="1" t="s">
        <v>1698</v>
      </c>
      <c r="C1707" t="str">
        <f>IFERROR(__xludf.DUMMYFUNCTION("GOOGLETRANSLATE(B1707, ""es"", ""en"")"),"Great value for money are very comfortable, look great with everything and are very similar to skoool old but being from a lower range. I recommend them completely.")</f>
        <v>Great value for money are very comfortable, look great with everything and are very similar to skoool old but being from a lower range. I recommend them completely.</v>
      </c>
    </row>
    <row r="1708">
      <c r="A1708" s="1">
        <v>5.0</v>
      </c>
      <c r="B1708" s="1" t="s">
        <v>1699</v>
      </c>
      <c r="C1708" t="str">
        <f>IFERROR(__xludf.DUMMYFUNCTION("GOOGLETRANSLATE(B1708, ""es"", ""en"")"),"Value is pretty good, very cool")</f>
        <v>Value is pretty good, very cool</v>
      </c>
    </row>
    <row r="1709">
      <c r="A1709" s="1">
        <v>5.0</v>
      </c>
      <c r="B1709" s="1" t="s">
        <v>1700</v>
      </c>
      <c r="C1709" t="str">
        <f>IFERROR(__xludf.DUMMYFUNCTION("GOOGLETRANSLATE(B1709, ""es"", ""en"")"),"Good product arrived within the time indicated Meets perfectly for my needs")</f>
        <v>Good product arrived within the time indicated Meets perfectly for my needs</v>
      </c>
    </row>
    <row r="1710">
      <c r="A1710" s="1">
        <v>5.0</v>
      </c>
      <c r="B1710" s="1" t="s">
        <v>1701</v>
      </c>
      <c r="C1710" t="str">
        <f>IFERROR(__xludf.DUMMYFUNCTION("GOOGLETRANSLATE(B1710, ""es"", ""en"")"),"Good price and good delivery time meets all my expectativas.Buena purchase.")</f>
        <v>Good price and good delivery time meets all my expectativas.Buena purchase.</v>
      </c>
    </row>
    <row r="1711">
      <c r="A1711" s="1">
        <v>5.0</v>
      </c>
      <c r="B1711" s="1" t="s">
        <v>1702</v>
      </c>
      <c r="C1711" t="str">
        <f>IFERROR(__xludf.DUMMYFUNCTION("GOOGLETRANSLATE(B1711, ""es"", ""en"")"),"They are fur. The classic design.")</f>
        <v>They are fur. The classic design.</v>
      </c>
    </row>
    <row r="1712">
      <c r="A1712" s="1">
        <v>5.0</v>
      </c>
      <c r="B1712" s="1" t="s">
        <v>1703</v>
      </c>
      <c r="C1712" t="str">
        <f>IFERROR(__xludf.DUMMYFUNCTION("GOOGLETRANSLATE(B1712, ""es"", ""en"")"),"Carlos J. Lovely Friar. It does not do justice photograph of the clock to reality, much nicer., Excellent gift. Treatment received and quickly equally excellent.")</f>
        <v>Carlos J. Lovely Friar. It does not do justice photograph of the clock to reality, much nicer., Excellent gift. Treatment received and quickly equally excellent.</v>
      </c>
    </row>
    <row r="1713">
      <c r="A1713" s="1">
        <v>5.0</v>
      </c>
      <c r="B1713" s="1" t="s">
        <v>1704</v>
      </c>
      <c r="C1713" t="str">
        <f>IFERROR(__xludf.DUMMYFUNCTION("GOOGLETRANSLATE(B1713, ""es"", ""en"")"),"Right very comfortable and light to be at home.")</f>
        <v>Right very comfortable and light to be at home.</v>
      </c>
    </row>
    <row r="1714">
      <c r="A1714" s="1">
        <v>5.0</v>
      </c>
      <c r="B1714" s="1" t="s">
        <v>1705</v>
      </c>
      <c r="C1714" t="str">
        <f>IFERROR(__xludf.DUMMYFUNCTION("GOOGLETRANSLATE(B1714, ""es"", ""en"")"),"Not bad looks good and it works as it should, at this price ZERO freckles.")</f>
        <v>Not bad looks good and it works as it should, at this price ZERO freckles.</v>
      </c>
    </row>
    <row r="1715">
      <c r="A1715" s="1">
        <v>5.0</v>
      </c>
      <c r="B1715" s="1" t="s">
        <v>1706</v>
      </c>
      <c r="C1715" t="str">
        <f>IFERROR(__xludf.DUMMYFUNCTION("GOOGLETRANSLATE(B1715, ""es"", ""en"")"),"Are chulas was a gift for my guy, you caught plus a number of commonly used pq which has fairly wide foot and did bien.asinque if ye walk anchote not go wrong another number")</f>
        <v>Are chulas was a gift for my guy, you caught plus a number of commonly used pq which has fairly wide foot and did bien.asinque if ye walk anchote not go wrong another number</v>
      </c>
    </row>
    <row r="1716">
      <c r="A1716" s="1">
        <v>5.0</v>
      </c>
      <c r="B1716" s="1" t="s">
        <v>1707</v>
      </c>
      <c r="C1716" t="str">
        <f>IFERROR(__xludf.DUMMYFUNCTION("GOOGLETRANSLATE(B1716, ""es"", ""en"")"),"Soft corresponds exactly to normal size, and very warm")</f>
        <v>Soft corresponds exactly to normal size, and very warm</v>
      </c>
    </row>
    <row r="1717">
      <c r="A1717" s="1">
        <v>5.0</v>
      </c>
      <c r="B1717" s="1" t="s">
        <v>1708</v>
      </c>
      <c r="C1717" t="str">
        <f>IFERROR(__xludf.DUMMYFUNCTION("GOOGLETRANSLATE(B1717, ""es"", ""en"")"),"Warm blanket is a practical and easy folding electric blanket or put in difficult positions. You have several options for heating power. Regarding the size is medium to lumbar area that serves my case perfectly. Happy moment.")</f>
        <v>Warm blanket is a practical and easy folding electric blanket or put in difficult positions. You have several options for heating power. Regarding the size is medium to lumbar area that serves my case perfectly. Happy moment.</v>
      </c>
    </row>
    <row r="1718">
      <c r="A1718" s="1">
        <v>5.0</v>
      </c>
      <c r="B1718" s="1" t="s">
        <v>1709</v>
      </c>
      <c r="C1718" t="str">
        <f>IFERROR(__xludf.DUMMYFUNCTION("GOOGLETRANSLATE(B1718, ""es"", ""en"")"),"Perfect size Just what I expected and needed")</f>
        <v>Perfect size Just what I expected and needed</v>
      </c>
    </row>
    <row r="1719">
      <c r="A1719" s="1">
        <v>5.0</v>
      </c>
      <c r="B1719" s="1" t="s">
        <v>1710</v>
      </c>
      <c r="C1719" t="str">
        <f>IFERROR(__xludf.DUMMYFUNCTION("GOOGLETRANSLATE(B1719, ""es"", ""en"")"),"Comfortable race'm preparing a half marathon and long distances often disturbing sweatshirts somewhere, I particularly bother me at the nipples. I tried the compression shirts and do not bother anything, they adapt so well to the torso that carry no notes"&amp;". Specifically buy this brand because he knew see her Amazon and the truth is it has been a total success. It is simple, inexpensive and adapts well to the body. I asked for size L, Mido 1.85kg and me is perfect. In addition, the red and black colors I lo"&amp;"ve, give me career aerodynamics recommend this shirt lol")</f>
        <v>Comfortable race'm preparing a half marathon and long distances often disturbing sweatshirts somewhere, I particularly bother me at the nipples. I tried the compression shirts and do not bother anything, they adapt so well to the torso that carry no notes. Specifically buy this brand because he knew see her Amazon and the truth is it has been a total success. It is simple, inexpensive and adapts well to the body. I asked for size L, Mido 1.85kg and me is perfect. In addition, the red and black colors I love, give me career aerodynamics recommend this shirt lol</v>
      </c>
    </row>
    <row r="1720">
      <c r="A1720" s="1">
        <v>5.0</v>
      </c>
      <c r="B1720" s="1" t="s">
        <v>1711</v>
      </c>
      <c r="C1720" t="str">
        <f>IFERROR(__xludf.DUMMYFUNCTION("GOOGLETRANSLATE(B1720, ""es"", ""en"")"),"Very good Good color and length as all this brand")</f>
        <v>Very good Good color and length as all this brand</v>
      </c>
    </row>
    <row r="1721">
      <c r="A1721" s="1">
        <v>5.0</v>
      </c>
      <c r="B1721" s="1" t="s">
        <v>1712</v>
      </c>
      <c r="C1721" t="str">
        <f>IFERROR(__xludf.DUMMYFUNCTION("GOOGLETRANSLATE(B1721, ""es"", ""en"")"),"As I waited. Nice sweatshirt and a great quality at a great price, the brand does not disappoint, is the second that I buy.")</f>
        <v>As I waited. Nice sweatshirt and a great quality at a great price, the brand does not disappoint, is the second that I buy.</v>
      </c>
    </row>
    <row r="1722">
      <c r="A1722" s="1">
        <v>5.0</v>
      </c>
      <c r="B1722" s="1" t="s">
        <v>1713</v>
      </c>
      <c r="C1722" t="str">
        <f>IFERROR(__xludf.DUMMYFUNCTION("GOOGLETRANSLATE(B1722, ""es"", ""en"")"),"Dan Salomon expected in little size, but as we knew were right. super grip")</f>
        <v>Dan Salomon expected in little size, but as we knew were right. super grip</v>
      </c>
    </row>
    <row r="1723">
      <c r="A1723" s="1">
        <v>5.0</v>
      </c>
      <c r="B1723" s="1" t="s">
        <v>1714</v>
      </c>
      <c r="C1723" t="str">
        <f>IFERROR(__xludf.DUMMYFUNCTION("GOOGLETRANSLATE(B1723, ""es"", ""en"")"),"Good product came quickly but it works very well.")</f>
        <v>Good product came quickly but it works very well.</v>
      </c>
    </row>
    <row r="1724">
      <c r="A1724" s="1">
        <v>2.0</v>
      </c>
      <c r="B1724" s="1" t="s">
        <v>1715</v>
      </c>
      <c r="C1724" t="str">
        <f>IFERROR(__xludf.DUMMYFUNCTION("GOOGLETRANSLATE(B1724, ""es"", ""en"")"),"It was earrings gift Mother's Day, but are a bit small would have to have put the size because they are a bit small, but very nice")</f>
        <v>It was earrings gift Mother's Day, but are a bit small would have to have put the size because they are a bit small, but very nice</v>
      </c>
    </row>
    <row r="1725">
      <c r="A1725" s="1">
        <v>3.0</v>
      </c>
      <c r="B1725" s="1" t="s">
        <v>1716</v>
      </c>
      <c r="C1725" t="str">
        <f>IFERROR(__xludf.DUMMYFUNCTION("GOOGLETRANSLATE(B1725, ""es"", ""en"")"),"Does not eliminate imperfections Dry beans")</f>
        <v>Does not eliminate imperfections Dry beans</v>
      </c>
    </row>
    <row r="1726">
      <c r="A1726" s="1">
        <v>3.0</v>
      </c>
      <c r="B1726" s="1" t="s">
        <v>1717</v>
      </c>
      <c r="C1726" t="str">
        <f>IFERROR(__xludf.DUMMYFUNCTION("GOOGLETRANSLATE(B1726, ""es"", ""en"")"),"Very cool but it fails slip very cool. The downside is that not wearing slip, only 4 small sponges of hits that put the mouse depends on how it is paticoja makes the mat .. Should I bring something better")</f>
        <v>Very cool but it fails slip very cool. The downside is that not wearing slip, only 4 small sponges of hits that put the mouse depends on how it is paticoja makes the mat .. Should I bring something better</v>
      </c>
    </row>
    <row r="1727">
      <c r="A1727" s="1">
        <v>1.0</v>
      </c>
      <c r="B1727" s="1" t="s">
        <v>1718</v>
      </c>
      <c r="C1727" t="str">
        <f>IFERROR(__xludf.DUMMYFUNCTION("GOOGLETRANSLATE(B1727, ""es"", ""en"")"),"Sketchy not get full I miss a stopper")</f>
        <v>Sketchy not get full I miss a stopper</v>
      </c>
    </row>
    <row r="1728">
      <c r="A1728" s="1">
        <v>1.0</v>
      </c>
      <c r="B1728" s="1" t="s">
        <v>1719</v>
      </c>
      <c r="C1728" t="str">
        <f>IFERROR(__xludf.DUMMYFUNCTION("GOOGLETRANSLATE(B1728, ""es"", ""en"")"),"Sizing fatal, Fatal impossible, size has nothing to do, it's like 4 or 5 smaller numbers. I had to nag because I missed the deadline to return, but painful. Not recommended at all, carvings are a hoax")</f>
        <v>Sizing fatal, Fatal impossible, size has nothing to do, it's like 4 or 5 smaller numbers. I had to nag because I missed the deadline to return, but painful. Not recommended at all, carvings are a hoax</v>
      </c>
    </row>
    <row r="1729">
      <c r="A1729" s="1">
        <v>4.0</v>
      </c>
      <c r="B1729" s="1" t="s">
        <v>1720</v>
      </c>
      <c r="C1729" t="str">
        <f>IFERROR(__xludf.DUMMYFUNCTION("GOOGLETRANSLATE(B1729, ""es"", ""en"")"),"Very practical and easy to clean is very easy to clean, q is appreciated, super silent and not to do virtually no strength to take advantage of the maximum oranges. It is a little big but quickly we have found a place. I recommend it.")</f>
        <v>Very practical and easy to clean is very easy to clean, q is appreciated, super silent and not to do virtually no strength to take advantage of the maximum oranges. It is a little big but quickly we have found a place. I recommend it.</v>
      </c>
    </row>
    <row r="1730">
      <c r="A1730" s="1">
        <v>4.0</v>
      </c>
      <c r="B1730" s="1" t="s">
        <v>1721</v>
      </c>
      <c r="C1730" t="str">
        <f>IFERROR(__xludf.DUMMYFUNCTION("GOOGLETRANSLATE(B1730, ""es"", ""en"")"),"Meets and nothing else should have a more adequate dosing with water marks. Otherwise it fulfills the function entrusted and nothing more")</f>
        <v>Meets and nothing else should have a more adequate dosing with water marks. Otherwise it fulfills the function entrusted and nothing more</v>
      </c>
    </row>
    <row r="1731">
      <c r="A1731" s="1">
        <v>4.0</v>
      </c>
      <c r="B1731" s="1" t="s">
        <v>1722</v>
      </c>
      <c r="C1731" t="str">
        <f>IFERROR(__xludf.DUMMYFUNCTION("GOOGLETRANSLATE(B1731, ""es"", ""en"")"),"Quality but somewhat uncomfortable Very good quality materials and workmanship. 1 star is missing because it is not as comfortable that I would like.")</f>
        <v>Quality but somewhat uncomfortable Very good quality materials and workmanship. 1 star is missing because it is not as comfortable that I would like.</v>
      </c>
    </row>
    <row r="1732">
      <c r="A1732" s="1">
        <v>4.0</v>
      </c>
      <c r="B1732" s="1" t="s">
        <v>1723</v>
      </c>
      <c r="C1732" t="str">
        <f>IFERROR(__xludf.DUMMYFUNCTION("GOOGLETRANSLATE(B1732, ""es"", ""en"")"),"I like convenience and comfort are second")</f>
        <v>I like convenience and comfort are second</v>
      </c>
    </row>
    <row r="1733">
      <c r="A1733" s="1">
        <v>4.0</v>
      </c>
      <c r="B1733" s="1" t="s">
        <v>1724</v>
      </c>
      <c r="C1733" t="str">
        <f>IFERROR(__xludf.DUMMYFUNCTION("GOOGLETRANSLATE(B1733, ""es"", ""en"")"),"Meets expectations Good value for money")</f>
        <v>Meets expectations Good value for money</v>
      </c>
    </row>
    <row r="1734">
      <c r="A1734" s="1">
        <v>5.0</v>
      </c>
      <c r="B1734" s="1" t="s">
        <v>1725</v>
      </c>
      <c r="C1734" t="str">
        <f>IFERROR(__xludf.DUMMYFUNCTION("GOOGLETRANSLATE(B1734, ""es"", ""en"")"),"Very good sound in proportion to the price. Recomendables arrived on the date indicated. The sound is fantastic. If you like music you hear only completely isolated from the noise of the street. comfortable and long cable to get him under clothing or shel"&amp;"ter. I returned because a wireless weighed heavily and fell down the street. I'm delighted. I took three days and hope to use them to last me a long time. Brings three sizes of ear cushions to fit your ears well.")</f>
        <v>Very good sound in proportion to the price. Recomendables arrived on the date indicated. The sound is fantastic. If you like music you hear only completely isolated from the noise of the street. comfortable and long cable to get him under clothing or shelter. I returned because a wireless weighed heavily and fell down the street. I'm delighted. I took three days and hope to use them to last me a long time. Brings three sizes of ear cushions to fit your ears well.</v>
      </c>
    </row>
    <row r="1735">
      <c r="A1735" s="1">
        <v>5.0</v>
      </c>
      <c r="B1735" s="1" t="s">
        <v>1726</v>
      </c>
      <c r="C1735" t="str">
        <f>IFERROR(__xludf.DUMMYFUNCTION("GOOGLETRANSLATE(B1735, ""es"", ""en"")"),"satisfied meets expectations, perfect size and very comfortable From past experience the performance is good, for now, no problems and easy adaptation")</f>
        <v>satisfied meets expectations, perfect size and very comfortable From past experience the performance is good, for now, no problems and easy adaptation</v>
      </c>
    </row>
    <row r="1736">
      <c r="A1736" s="1">
        <v>5.0</v>
      </c>
      <c r="B1736" s="1" t="s">
        <v>1727</v>
      </c>
      <c r="C1736" t="str">
        <f>IFERROR(__xludf.DUMMYFUNCTION("GOOGLETRANSLATE(B1736, ""es"", ""en"")"),"Bureau Bureau")</f>
        <v>Bureau Bureau</v>
      </c>
    </row>
    <row r="1737">
      <c r="A1737" s="1">
        <v>5.0</v>
      </c>
      <c r="B1737" s="1" t="s">
        <v>1728</v>
      </c>
      <c r="C1737" t="str">
        <f>IFERROR(__xludf.DUMMYFUNCTION("GOOGLETRANSLATE(B1737, ""es"", ""en"")"),"Light calculator watch is a very complete watch that does what it says. In addition to the usual functions, it has calculator, making it very functional and comfortable.")</f>
        <v>Light calculator watch is a very complete watch that does what it says. In addition to the usual functions, it has calculator, making it very functional and comfortable.</v>
      </c>
    </row>
    <row r="1738">
      <c r="A1738" s="1">
        <v>5.0</v>
      </c>
      <c r="B1738" s="1" t="s">
        <v>1729</v>
      </c>
      <c r="C1738" t="str">
        <f>IFERROR(__xludf.DUMMYFUNCTION("GOOGLETRANSLATE(B1738, ""es"", ""en"")"),"Well it fulfills its objective Does the job but if you put heavy fruit like banana costs you grind")</f>
        <v>Well it fulfills its objective Does the job but if you put heavy fruit like banana costs you grind</v>
      </c>
    </row>
    <row r="1739">
      <c r="A1739" s="1">
        <v>5.0</v>
      </c>
      <c r="B1739" s="1" t="s">
        <v>1730</v>
      </c>
      <c r="C1739" t="str">
        <f>IFERROR(__xludf.DUMMYFUNCTION("GOOGLETRANSLATE(B1739, ""es"", ""en"")"),"Precious and I have really enjoyed quality, delivery was within a few days. The. They are pending. Very fine and elegant, they shine a lot and have very goog quality. Buy them because I was hanging, and I imagined a few the biggest, but although small is "&amp;"beautiful")</f>
        <v>Precious and I have really enjoyed quality, delivery was within a few days. The. They are pending. Very fine and elegant, they shine a lot and have very goog quality. Buy them because I was hanging, and I imagined a few the biggest, but although small is beautiful</v>
      </c>
    </row>
    <row r="1740">
      <c r="A1740" s="1">
        <v>5.0</v>
      </c>
      <c r="B1740" s="1" t="s">
        <v>1731</v>
      </c>
      <c r="C1740" t="str">
        <f>IFERROR(__xludf.DUMMYFUNCTION("GOOGLETRANSLATE(B1740, ""es"", ""en"")"),"Very good. Both packaging and product quality is very good. Samsung Galaxy placed in a J3 smoothly. Very good buy.")</f>
        <v>Very good. Both packaging and product quality is very good. Samsung Galaxy placed in a J3 smoothly. Very good buy.</v>
      </c>
    </row>
    <row r="1741">
      <c r="A1741" s="1">
        <v>5.0</v>
      </c>
      <c r="B1741" s="1" t="s">
        <v>1732</v>
      </c>
      <c r="C1741" t="str">
        <f>IFERROR(__xludf.DUMMYFUNCTION("GOOGLETRANSLATE(B1741, ""es"", ""en"")"),"This fine is tiny but bully. it's very good")</f>
        <v>This fine is tiny but bully. it's very good</v>
      </c>
    </row>
    <row r="1742">
      <c r="A1742" s="1">
        <v>5.0</v>
      </c>
      <c r="B1742" s="1" t="s">
        <v>1733</v>
      </c>
      <c r="C1742" t="str">
        <f>IFERROR(__xludf.DUMMYFUNCTION("GOOGLETRANSLATE(B1742, ""es"", ""en"")"),"Excellent quality sound and well protected Great sound fits perfectly ergonomic and turn the material is of sufficient quality. I was surprised I had quality packaging and how well-protected arrived. I use it daily and the truth is 10.")</f>
        <v>Excellent quality sound and well protected Great sound fits perfectly ergonomic and turn the material is of sufficient quality. I was surprised I had quality packaging and how well-protected arrived. I use it daily and the truth is 10.</v>
      </c>
    </row>
    <row r="1743">
      <c r="A1743" s="1">
        <v>5.0</v>
      </c>
      <c r="B1743" s="1" t="s">
        <v>1734</v>
      </c>
      <c r="C1743" t="str">
        <f>IFERROR(__xludf.DUMMYFUNCTION("GOOGLETRANSLATE(B1743, ""es"", ""en"")"),"Aesthetically Value insuperable relationship is practically a carbon copy of the Orient Mako 1, the difference is that this is worth 50 euros and 200 ORIENT (without addressing one is stack and the other automatic). Casio detracts from the respect to the "&amp;"Orient ?. absolutely. I have two that I can assure you the impression that it gives you the casio on sight is amazing quality for the price you have. The armys could improve a bit but not be blamed anything for the price it has. The luminova is typical of"&amp;" many more expensive watches (the Orient has not so bright for example), and both the housing and the bezel or screw down crown has a great quality. And I have to re-do stress upon the price because it is the most surprising of all, because the look, feel"&amp;", weight, color of the dial and bezel or the second hand in red, are details of watches more than 200 euros. 10 for Casio.")</f>
        <v>Aesthetically Value insuperable relationship is practically a carbon copy of the Orient Mako 1, the difference is that this is worth 50 euros and 200 ORIENT (without addressing one is stack and the other automatic). Casio detracts from the respect to the Orient ?. absolutely. I have two that I can assure you the impression that it gives you the casio on sight is amazing quality for the price you have. The armys could improve a bit but not be blamed anything for the price it has. The luminova is typical of many more expensive watches (the Orient has not so bright for example), and both the housing and the bezel or screw down crown has a great quality. And I have to re-do stress upon the price because it is the most surprising of all, because the look, feel, weight, color of the dial and bezel or the second hand in red, are details of watches more than 200 euros. 10 for Casio.</v>
      </c>
    </row>
    <row r="1744">
      <c r="A1744" s="1">
        <v>5.0</v>
      </c>
      <c r="B1744" s="1" t="s">
        <v>1735</v>
      </c>
      <c r="C1744" t="str">
        <f>IFERROR(__xludf.DUMMYFUNCTION("GOOGLETRANSLATE(B1744, ""es"", ""en"")"),"It arrived on time arrived on time and was for a gift and I was not disappointed already knew the product but not the provider we were delighted")</f>
        <v>It arrived on time arrived on time and was for a gift and I was not disappointed already knew the product but not the provider we were delighted</v>
      </c>
    </row>
    <row r="1745">
      <c r="A1745" s="1">
        <v>5.0</v>
      </c>
      <c r="B1745" s="1" t="s">
        <v>1736</v>
      </c>
      <c r="C1745" t="str">
        <f>IFERROR(__xludf.DUMMYFUNCTION("GOOGLETRANSLATE(B1745, ""es"", ""en"")"),"Very cool Not wrong at all. It comes with its box, your warranty and everything like that I bought a few years ago in the English court. It is true that is lighter but that for my taste is better")</f>
        <v>Very cool Not wrong at all. It comes with its box, your warranty and everything like that I bought a few years ago in the English court. It is true that is lighter but that for my taste is better</v>
      </c>
    </row>
    <row r="1746">
      <c r="A1746" s="1">
        <v>5.0</v>
      </c>
      <c r="B1746" s="1" t="s">
        <v>1737</v>
      </c>
      <c r="C1746" t="str">
        <f>IFERROR(__xludf.DUMMYFUNCTION("GOOGLETRANSLATE(B1746, ""es"", ""en"")"),"Anti colic really Certainly the best bottles of the market")</f>
        <v>Anti colic really Certainly the best bottles of the market</v>
      </c>
    </row>
    <row r="1747">
      <c r="A1747" s="1">
        <v>5.0</v>
      </c>
      <c r="B1747" s="1" t="s">
        <v>1738</v>
      </c>
      <c r="C1747" t="str">
        <f>IFERROR(__xludf.DUMMYFUNCTION("GOOGLETRANSLATE(B1747, ""es"", ""en"")"),"perfect Cool")</f>
        <v>perfect Cool</v>
      </c>
    </row>
    <row r="1748">
      <c r="A1748" s="1">
        <v>5.0</v>
      </c>
      <c r="B1748" s="1" t="s">
        <v>1739</v>
      </c>
      <c r="C1748" t="str">
        <f>IFERROR(__xludf.DUMMYFUNCTION("GOOGLETRANSLATE(B1748, ""es"", ""en"")"),"Wear TOP already purchased 6 glasses !!! my mother asked me the first time on the recommendation and how well they work are succeeding, use them for crafts and sewing and flipan with them. Excellent buy 👍👌")</f>
        <v>Wear TOP already purchased 6 glasses !!! my mother asked me the first time on the recommendation and how well they work are succeeding, use them for crafts and sewing and flipan with them. Excellent buy 👍👌</v>
      </c>
    </row>
    <row r="1749">
      <c r="A1749" s="1">
        <v>5.0</v>
      </c>
      <c r="B1749" s="1" t="s">
        <v>1740</v>
      </c>
      <c r="C1749" t="str">
        <f>IFERROR(__xludf.DUMMYFUNCTION("GOOGLETRANSLATE(B1749, ""es"", ""en"")"),"Recommended 100% after 8 months of daily use, is like the first day, I'd say that money is the best thing on Amazon, I recommend 100%")</f>
        <v>Recommended 100% after 8 months of daily use, is like the first day, I'd say that money is the best thing on Amazon, I recommend 100%</v>
      </c>
    </row>
    <row r="1750">
      <c r="A1750" s="1">
        <v>5.0</v>
      </c>
      <c r="B1750" s="1" t="s">
        <v>1741</v>
      </c>
      <c r="C1750" t="str">
        <f>IFERROR(__xludf.DUMMYFUNCTION("GOOGLETRANSLATE(B1750, ""es"", ""en"")"),"I use it on my Youtube Channel Very pleased with the results of this lavalier. I use it for two years on my Youtube channel ""Pro edit it"" can see the result in the video below. https://youtu.be/YDngd18dg_o. The only downside is that I took off the paddi"&amp;"ng that brings the micro, probably because of the great use I'm giving you. I would buy. Important: This microphone is ready to use the phone as a recorder because it brings the TRRS connection for smartphones, however if you want to use directly into the"&amp;" camera video / photo or a recorder you will need to buy this adapter TRRS to TRS http://amzn.to/2E98ldb")</f>
        <v>I use it on my Youtube Channel Very pleased with the results of this lavalier. I use it for two years on my Youtube channel "Pro edit it" can see the result in the video below. https://youtu.be/YDngd18dg_o. The only downside is that I took off the padding that brings the micro, probably because of the great use I'm giving you. I would buy. Important: This microphone is ready to use the phone as a recorder because it brings the TRRS connection for smartphones, however if you want to use directly into the camera video / photo or a recorder you will need to buy this adapter TRRS to TRS http://amzn.to/2E98ldb</v>
      </c>
    </row>
    <row r="1751">
      <c r="A1751" s="1">
        <v>5.0</v>
      </c>
      <c r="B1751" s="1" t="s">
        <v>1742</v>
      </c>
      <c r="C1751" t="str">
        <f>IFERROR(__xludf.DUMMYFUNCTION("GOOGLETRANSLATE(B1751, ""es"", ""en"")"),"Perfect for the price I think you get the price you can not ask for much more. Spacious with good interior layout (You can also adjust the size of the compartments coin to your liking wide) mode and closing, opening by manual opening and printer.")</f>
        <v>Perfect for the price I think you get the price you can not ask for much more. Spacious with good interior layout (You can also adjust the size of the compartments coin to your liking wide) mode and closing, opening by manual opening and printer.</v>
      </c>
    </row>
    <row r="1752">
      <c r="A1752" s="1">
        <v>2.0</v>
      </c>
      <c r="B1752" s="1" t="s">
        <v>1743</v>
      </c>
      <c r="C1752" t="str">
        <f>IFERROR(__xludf.DUMMYFUNCTION("GOOGLETRANSLATE(B1752, ""es"", ""en"")"),"Plastic connector does not fit well as USB memory proper operation. The problem is that the connector is not metal is plastic, and a little thicker than normal, so do not go well, have to force (much) to engage and disengage the flash drive. Valid for a v"&amp;"ery specific use. Best other model with the metal connector.")</f>
        <v>Plastic connector does not fit well as USB memory proper operation. The problem is that the connector is not metal is plastic, and a little thicker than normal, so do not go well, have to force (much) to engage and disengage the flash drive. Valid for a very specific use. Best other model with the metal connector.</v>
      </c>
    </row>
    <row r="1753">
      <c r="A1753" s="1">
        <v>3.0</v>
      </c>
      <c r="B1753" s="1" t="s">
        <v>1744</v>
      </c>
      <c r="C1753" t="str">
        <f>IFERROR(__xludf.DUMMYFUNCTION("GOOGLETRANSLATE(B1753, ""es"", ""en"")"),"Meh I can not complain too much because I've bought something less than 6 €, but the speed of reading and writing are unsatisfactory, considering it is a USB 3.0 Kingston brand. Moreover, it shows of good stuff and I like USBs that can hook on my key chai"&amp;"n.")</f>
        <v>Meh I can not complain too much because I've bought something less than 6 €, but the speed of reading and writing are unsatisfactory, considering it is a USB 3.0 Kingston brand. Moreover, it shows of good stuff and I like USBs that can hook on my key chain.</v>
      </c>
    </row>
    <row r="1754">
      <c r="A1754" s="1">
        <v>1.0</v>
      </c>
      <c r="B1754" s="1" t="s">
        <v>1745</v>
      </c>
      <c r="C1754" t="str">
        <f>IFERROR(__xludf.DUMMYFUNCTION("GOOGLETRANSLATE(B1754, ""es"", ""en"")"),"Horrible horrible Fatal is marked all and is transparent")</f>
        <v>Horrible horrible Fatal is marked all and is transparent</v>
      </c>
    </row>
    <row r="1755">
      <c r="A1755" s="1">
        <v>1.0</v>
      </c>
      <c r="B1755" s="1" t="s">
        <v>1746</v>
      </c>
      <c r="C1755" t="str">
        <f>IFERROR(__xludf.DUMMYFUNCTION("GOOGLETRANSLATE(B1755, ""es"", ""en"")"),"We do not know how to use do not know how to use")</f>
        <v>We do not know how to use do not know how to use</v>
      </c>
    </row>
    <row r="1756">
      <c r="A1756" s="1">
        <v>4.0</v>
      </c>
      <c r="B1756" s="1" t="s">
        <v>1747</v>
      </c>
      <c r="C1756" t="str">
        <f>IFERROR(__xludf.DUMMYFUNCTION("GOOGLETRANSLATE(B1756, ""es"", ""en"")"),"Does the job The product is good if you are going to do massage at home, does the job, accessories are very basic, especially the arms that are fastened with two thin rods that do not hold anything except that everything it is ok , I recommend it.")</f>
        <v>Does the job The product is good if you are going to do massage at home, does the job, accessories are very basic, especially the arms that are fastened with two thin rods that do not hold anything except that everything it is ok , I recommend it.</v>
      </c>
    </row>
    <row r="1757">
      <c r="A1757" s="1">
        <v>4.0</v>
      </c>
      <c r="B1757" s="1" t="s">
        <v>1748</v>
      </c>
      <c r="C1757" t="str">
        <f>IFERROR(__xludf.DUMMYFUNCTION("GOOGLETRANSLATE(B1757, ""es"", ""en"")"),"Manageable Quite useful is small but with great capacity.")</f>
        <v>Manageable Quite useful is small but with great capacity.</v>
      </c>
    </row>
    <row r="1758">
      <c r="A1758" s="1">
        <v>4.0</v>
      </c>
      <c r="B1758" s="1" t="s">
        <v>1749</v>
      </c>
      <c r="C1758" t="str">
        <f>IFERROR(__xludf.DUMMYFUNCTION("GOOGLETRANSLATE(B1758, ""es"", ""en"")"),"Good Very good product, not the sock slips less than ideal for yoga and q in certain positions I slipped on the mat but these socks will not slide anything")</f>
        <v>Good Very good product, not the sock slips less than ideal for yoga and q in certain positions I slipped on the mat but these socks will not slide anything</v>
      </c>
    </row>
    <row r="1759">
      <c r="A1759" s="1">
        <v>4.0</v>
      </c>
      <c r="B1759" s="1" t="s">
        <v>1750</v>
      </c>
      <c r="C1759" t="str">
        <f>IFERROR(__xludf.DUMMYFUNCTION("GOOGLETRANSLATE(B1759, ""es"", ""en"")"),"Good value for money, sound softly. Pretty smart, very good value for money. The little sound, I understand that is to last the battery. Configuration rather tedious.")</f>
        <v>Good value for money, sound softly. Pretty smart, very good value for money. The little sound, I understand that is to last the battery. Configuration rather tedious.</v>
      </c>
    </row>
    <row r="1760">
      <c r="A1760" s="1">
        <v>5.0</v>
      </c>
      <c r="B1760" s="1" t="s">
        <v>1751</v>
      </c>
      <c r="C1760" t="str">
        <f>IFERROR(__xludf.DUMMYFUNCTION("GOOGLETRANSLATE(B1760, ""es"", ""en"")"),"Good product I like so much are very well recommended 100%")</f>
        <v>Good product I like so much are very well recommended 100%</v>
      </c>
    </row>
    <row r="1761">
      <c r="A1761" s="1">
        <v>5.0</v>
      </c>
      <c r="B1761" s="1" t="s">
        <v>1752</v>
      </c>
      <c r="C1761" t="str">
        <f>IFERROR(__xludf.DUMMYFUNCTION("GOOGLETRANSLATE(B1761, ""es"", ""en"")"),"very convenient and comfortable bag is a very practical and comfortable. The quality is very good. back no longer hurts me as with other bags")</f>
        <v>very convenient and comfortable bag is a very practical and comfortable. The quality is very good. back no longer hurts me as with other bags</v>
      </c>
    </row>
    <row r="1762">
      <c r="A1762" s="1">
        <v>5.0</v>
      </c>
      <c r="B1762" s="1" t="s">
        <v>1753</v>
      </c>
      <c r="C1762" t="str">
        <f>IFERROR(__xludf.DUMMYFUNCTION("GOOGLETRANSLATE(B1762, ""es"", ""en"")"),"Bonita, complete and the coffee is delicious We tried all kinds of coffee and we were already used to the Italian lifetime until we have had the chance to try it. The advantage that we find is that you can make more coffee at once and that is very useful,"&amp;" because the clean end of each longer and you will not spend so fast. The operation is expected, but yes, he brings filters and needs of those paper number 4. That may seem like a can, but I have said that in the long run it is better because the permanen"&amp;"t end up worse and do not usually change. In addition those paper filters are so cheap that does not notice your economy. The system is simple: put the filter, you fill the tank, miss coffee (one scoop per cup) and ready, turn it on and wait. It will not "&amp;"take just anything to start falling coffee in the jug. Its capacity is 1.25L. One ends once, if not turn off, coffee is kept warm for 40 minutes. You'll see reflected in an analog display that will rise. The design is beautiful and elegant, with a classic"&amp;" touch of metal. Red needle also evokes the past. We liked the coffee making.")</f>
        <v>Bonita, complete and the coffee is delicious We tried all kinds of coffee and we were already used to the Italian lifetime until we have had the chance to try it. The advantage that we find is that you can make more coffee at once and that is very useful, because the clean end of each longer and you will not spend so fast. The operation is expected, but yes, he brings filters and needs of those paper number 4. That may seem like a can, but I have said that in the long run it is better because the permanent end up worse and do not usually change. In addition those paper filters are so cheap that does not notice your economy. The system is simple: put the filter, you fill the tank, miss coffee (one scoop per cup) and ready, turn it on and wait. It will not take just anything to start falling coffee in the jug. Its capacity is 1.25L. One ends once, if not turn off, coffee is kept warm for 40 minutes. You'll see reflected in an analog display that will rise. The design is beautiful and elegant, with a classic touch of metal. Red needle also evokes the past. We liked the coffee making.</v>
      </c>
    </row>
    <row r="1763">
      <c r="A1763" s="1">
        <v>5.0</v>
      </c>
      <c r="B1763" s="1" t="s">
        <v>1754</v>
      </c>
      <c r="C1763" t="str">
        <f>IFERROR(__xludf.DUMMYFUNCTION("GOOGLETRANSLATE(B1763, ""es"", ""en"")"),"Nike Benassi JDI Precious slippers. Talla well. Seller good. Everything is great")</f>
        <v>Nike Benassi JDI Precious slippers. Talla well. Seller good. Everything is great</v>
      </c>
    </row>
    <row r="1764">
      <c r="A1764" s="1">
        <v>5.0</v>
      </c>
      <c r="B1764" s="1" t="s">
        <v>1755</v>
      </c>
      <c r="C1764" t="str">
        <f>IFERROR(__xludf.DUMMYFUNCTION("GOOGLETRANSLATE(B1764, ""es"", ""en"")"),"The watch has excellent compliment all my expectations, color very beautiful, it fits perfect, easy to setup and super fast shipping.")</f>
        <v>The watch has excellent compliment all my expectations, color very beautiful, it fits perfect, easy to setup and super fast shipping.</v>
      </c>
    </row>
    <row r="1765">
      <c r="A1765" s="1">
        <v>5.0</v>
      </c>
      <c r="B1765" s="1" t="s">
        <v>1756</v>
      </c>
      <c r="C1765" t="str">
        <f>IFERROR(__xludf.DUMMYFUNCTION("GOOGLETRANSLATE(B1765, ""es"", ""en"")"),"Outstanding quality 100% recommended price. Delighted with purchase, while repeat whenever we need them.")</f>
        <v>Outstanding quality 100% recommended price. Delighted with purchase, while repeat whenever we need them.</v>
      </c>
    </row>
    <row r="1766">
      <c r="A1766" s="1">
        <v>5.0</v>
      </c>
      <c r="B1766" s="1" t="s">
        <v>1757</v>
      </c>
      <c r="C1766" t="str">
        <f>IFERROR(__xludf.DUMMYFUNCTION("GOOGLETRANSLATE(B1766, ""es"", ""en"")"),"Raincoats are very comfortable, also had many years without finding a shoe with which I can not sleep feet.")</f>
        <v>Raincoats are very comfortable, also had many years without finding a shoe with which I can not sleep feet.</v>
      </c>
    </row>
    <row r="1767">
      <c r="A1767" s="1">
        <v>5.0</v>
      </c>
      <c r="B1767" s="1" t="s">
        <v>1758</v>
      </c>
      <c r="C1767" t="str">
        <f>IFERROR(__xludf.DUMMYFUNCTION("GOOGLETRANSLATE(B1767, ""es"", ""en"")"),"Firm skin serves to tighten skin. It has a lot of power")</f>
        <v>Firm skin serves to tighten skin. It has a lot of power</v>
      </c>
    </row>
    <row r="1768">
      <c r="A1768" s="1">
        <v>5.0</v>
      </c>
      <c r="B1768" s="1" t="s">
        <v>1759</v>
      </c>
      <c r="C1768" t="str">
        <f>IFERROR(__xludf.DUMMYFUNCTION("GOOGLETRANSLATE(B1768, ""es"", ""en"")"),"Good quality / price Very good buy, good shoes at very low prices.")</f>
        <v>Good quality / price Very good buy, good shoes at very low prices.</v>
      </c>
    </row>
    <row r="1769">
      <c r="A1769" s="1">
        <v>5.0</v>
      </c>
      <c r="B1769" s="1" t="s">
        <v>1760</v>
      </c>
      <c r="C1769" t="str">
        <f>IFERROR(__xludf.DUMMYFUNCTION("GOOGLETRANSLATE(B1769, ""es"", ""en"")"),"perfect beautiful, comfortable, durable")</f>
        <v>perfect beautiful, comfortable, durable</v>
      </c>
    </row>
    <row r="1770">
      <c r="A1770" s="1">
        <v>5.0</v>
      </c>
      <c r="B1770" s="1" t="s">
        <v>1761</v>
      </c>
      <c r="C1770" t="str">
        <f>IFERROR(__xludf.DUMMYFUNCTION("GOOGLETRANSLATE(B1770, ""es"", ""en"")"),"all ok silver clip as sought. everything ok")</f>
        <v>all ok silver clip as sought. everything ok</v>
      </c>
    </row>
    <row r="1771">
      <c r="A1771" s="1">
        <v>5.0</v>
      </c>
      <c r="B1771" s="1" t="s">
        <v>1762</v>
      </c>
      <c r="C1771" t="str">
        <f>IFERROR(__xludf.DUMMYFUNCTION("GOOGLETRANSLATE(B1771, ""es"", ""en"")"),"They are very comfortable elastic scrims. High quality. I have been sweating a lot by plastic carrying inside. I bought a S because I usually wear a size 36 and I are perfect.")</f>
        <v>They are very comfortable elastic scrims. High quality. I have been sweating a lot by plastic carrying inside. I bought a S because I usually wear a size 36 and I are perfect.</v>
      </c>
    </row>
    <row r="1772">
      <c r="A1772" s="1">
        <v>5.0</v>
      </c>
      <c r="B1772" s="1" t="s">
        <v>1763</v>
      </c>
      <c r="C1772" t="str">
        <f>IFERROR(__xludf.DUMMYFUNCTION("GOOGLETRANSLATE(B1772, ""es"", ""en"")"),"Perfect! I use to go running and go perfect. It is true that if you squeeze the much inward can bother a little bit, but out are adapting and did you find out you're wearing. To view videos, sometimes it has a lag / delay in milliseconds, but nothing seri"&amp;"ous. At the moment I am very happy with them!")</f>
        <v>Perfect! I use to go running and go perfect. It is true that if you squeeze the much inward can bother a little bit, but out are adapting and did you find out you're wearing. To view videos, sometimes it has a lag / delay in milliseconds, but nothing serious. At the moment I am very happy with them!</v>
      </c>
    </row>
    <row r="1773">
      <c r="A1773" s="1">
        <v>5.0</v>
      </c>
      <c r="B1773" s="1" t="s">
        <v>1764</v>
      </c>
      <c r="C1773" t="str">
        <f>IFERROR(__xludf.DUMMYFUNCTION("GOOGLETRANSLATE(B1773, ""es"", ""en"")"),"Sonido.a good good price sound quality is spectacular, perfectly fits the ear. Furthermore, eliminating external noise, thereby the sharpness of the sound is perfecto.100% Recommended")</f>
        <v>Sonido.a good good price sound quality is spectacular, perfectly fits the ear. Furthermore, eliminating external noise, thereby the sharpness of the sound is perfecto.100% Recommended</v>
      </c>
    </row>
    <row r="1774">
      <c r="A1774" s="1">
        <v>5.0</v>
      </c>
      <c r="B1774" s="1" t="s">
        <v>1765</v>
      </c>
      <c r="C1774" t="str">
        <f>IFERROR(__xludf.DUMMYFUNCTION("GOOGLETRANSLATE(B1774, ""es"", ""en"")"),"Noise cancellation brutal shipping well, luckily the package is well protected by Sony because Amazon puts it in a box and yasta tatty cardboard. Helmets incredible, the sound is great and they have a pretty good bass. I not see you hit, the texture may h"&amp;"ave been used in the side but it stains easily. (Fingerprints etc) I recommend them!")</f>
        <v>Noise cancellation brutal shipping well, luckily the package is well protected by Sony because Amazon puts it in a box and yasta tatty cardboard. Helmets incredible, the sound is great and they have a pretty good bass. I not see you hit, the texture may have been used in the side but it stains easily. (Fingerprints etc) I recommend them!</v>
      </c>
    </row>
    <row r="1775">
      <c r="A1775" s="1">
        <v>5.0</v>
      </c>
      <c r="B1775" s="1" t="s">
        <v>1766</v>
      </c>
      <c r="C1775" t="str">
        <f>IFERROR(__xludf.DUMMYFUNCTION("GOOGLETRANSLATE(B1775, ""es"", ""en"")"),"The usual. Good product, A4 size, goes well in my printer, and the price much better than pick them loose in the neighborhood stationery.")</f>
        <v>The usual. Good product, A4 size, goes well in my printer, and the price much better than pick them loose in the neighborhood stationery.</v>
      </c>
    </row>
    <row r="1776">
      <c r="A1776" s="1">
        <v>5.0</v>
      </c>
      <c r="B1776" s="1" t="s">
        <v>1767</v>
      </c>
      <c r="C1776" t="str">
        <f>IFERROR(__xludf.DUMMYFUNCTION("GOOGLETRANSLATE(B1776, ""es"", ""en"")"),"I liked the overall comfort all are very comfortable. I wear templates and fit. Use this type of shoe sole shoes")</f>
        <v>I liked the overall comfort all are very comfortable. I wear templates and fit. Use this type of shoe sole shoes</v>
      </c>
    </row>
    <row r="1777">
      <c r="A1777" s="1">
        <v>5.0</v>
      </c>
      <c r="B1777" s="1" t="s">
        <v>1768</v>
      </c>
      <c r="C1777" t="str">
        <f>IFERROR(__xludf.DUMMYFUNCTION("GOOGLETRANSLATE(B1777, ""es"", ""en"")"),"The product is very good excellent heat very well and are large and covers the entire bed and is perfect with both devices on and off with three levels of heat")</f>
        <v>The product is very good excellent heat very well and are large and covers the entire bed and is perfect with both devices on and off with three levels of heat</v>
      </c>
    </row>
    <row r="1778">
      <c r="A1778" s="1">
        <v>5.0</v>
      </c>
      <c r="B1778" s="1" t="s">
        <v>1769</v>
      </c>
      <c r="C1778" t="str">
        <f>IFERROR(__xludf.DUMMYFUNCTION("GOOGLETRANSLATE(B1778, ""es"", ""en"")"),"Actua Actua fast on pain very fast on pain, particularly for my pain calms me shoveling the moment but that if, if something CHRONIC on a few hours back pain")</f>
        <v>Actua Actua fast on pain very fast on pain, particularly for my pain calms me shoveling the moment but that if, if something CHRONIC on a few hours back pain</v>
      </c>
    </row>
    <row r="1779">
      <c r="A1779" s="1">
        <v>2.0</v>
      </c>
      <c r="B1779" s="1" t="s">
        <v>1770</v>
      </c>
      <c r="C1779" t="str">
        <f>IFERROR(__xludf.DUMMYFUNCTION("GOOGLETRANSLATE(B1779, ""es"", ""en"")"),"Big headphones, with improved sound When reached headphones, as is to try them for comments on the quality they had sound them out of the box, the switch on and synchronized seamlessly between them, connect with xiaomi note 7 and .... there is the quality"&amp;". It's a bad sound quality headphones, ie, all you hear are sharp, low conspicuous by their absence, exactly as this sound ""tinny sound"" known. size headphones is great not go into all ears, and as for the adapter that takes several sizes the smallest r"&amp;"emains something big, impossible to use.")</f>
        <v>Big headphones, with improved sound When reached headphones, as is to try them for comments on the quality they had sound them out of the box, the switch on and synchronized seamlessly between them, connect with xiaomi note 7 and .... there is the quality. It's a bad sound quality headphones, ie, all you hear are sharp, low conspicuous by their absence, exactly as this sound "tinny sound" known. size headphones is great not go into all ears, and as for the adapter that takes several sizes the smallest remains something big, impossible to use.</v>
      </c>
    </row>
    <row r="1780">
      <c r="A1780" s="1">
        <v>3.0</v>
      </c>
      <c r="B1780" s="1" t="s">
        <v>1771</v>
      </c>
      <c r="C1780" t="str">
        <f>IFERROR(__xludf.DUMMYFUNCTION("GOOGLETRANSLATE(B1780, ""es"", ""en"")"),"LS is a comfortable shoulder strap, but improved finish. The top closure makes a bulge remains ugly, by being sewn incorrectly")</f>
        <v>LS is a comfortable shoulder strap, but improved finish. The top closure makes a bulge remains ugly, by being sewn incorrectly</v>
      </c>
    </row>
    <row r="1781">
      <c r="A1781" s="1">
        <v>3.0</v>
      </c>
      <c r="B1781" s="1" t="s">
        <v>1772</v>
      </c>
      <c r="C1781" t="str">
        <f>IFERROR(__xludf.DUMMYFUNCTION("GOOGLETRANSLATE(B1781, ""es"", ""en"")"),"Power, but difficult to remove the glass of the mixer Well say you buy one reconditioned, the problem that I see it costs a lot to draw the elices and I have to dump the whole to make the glass blender, .mucha otherwise has power.")</f>
        <v>Power, but difficult to remove the glass of the mixer Well say you buy one reconditioned, the problem that I see it costs a lot to draw the elices and I have to dump the whole to make the glass blender, .mucha otherwise has power.</v>
      </c>
    </row>
    <row r="1782">
      <c r="A1782" s="1">
        <v>1.0</v>
      </c>
      <c r="B1782" s="1" t="s">
        <v>1773</v>
      </c>
      <c r="C1782" t="str">
        <f>IFERROR(__xludf.DUMMYFUNCTION("GOOGLETRANSLATE(B1782, ""es"", ""en"")"),"material bag has nothing to do with the bag in the photo has a color and a brightness that has nothing to do with what you sent home was about to return should put the picture of what you really get to house is light brown and dull")</f>
        <v>material bag has nothing to do with the bag in the photo has a color and a brightness that has nothing to do with what you sent home was about to return should put the picture of what you really get to house is light brown and dull</v>
      </c>
    </row>
    <row r="1783">
      <c r="A1783" s="1">
        <v>1.0</v>
      </c>
      <c r="B1783" s="1" t="s">
        <v>1774</v>
      </c>
      <c r="C1783" t="str">
        <f>IFERROR(__xludf.DUMMYFUNCTION("GOOGLETRANSLATE(B1783, ""es"", ""en"")"),"It does not work well not work well at all. time is delayed or stopped. Not satisfied with this producto.gracias and greetings.")</f>
        <v>It does not work well not work well at all. time is delayed or stopped. Not satisfied with this producto.gracias and greetings.</v>
      </c>
    </row>
    <row r="1784">
      <c r="A1784" s="1">
        <v>4.0</v>
      </c>
      <c r="B1784" s="1" t="s">
        <v>1775</v>
      </c>
      <c r="C1784" t="str">
        <f>IFERROR(__xludf.DUMMYFUNCTION("GOOGLETRANSLATE(B1784, ""es"", ""en"")"),"Work perfectly but for long sessions can be uncomfortable headphones are excellent, the value is unbeatable and you'll quickly hear. In addition, it also includes a carrying case, thus improving their life. The only drawback I've seen them is that perhaps"&amp;" part of the handset is too big and as you already carry around with them can do something annoying. But to go down the street or do some kind of physical activity are not bad, the best in its price range.")</f>
        <v>Work perfectly but for long sessions can be uncomfortable headphones are excellent, the value is unbeatable and you'll quickly hear. In addition, it also includes a carrying case, thus improving their life. The only drawback I've seen them is that perhaps part of the handset is too big and as you already carry around with them can do something annoying. But to go down the street or do some kind of physical activity are not bad, the best in its price range.</v>
      </c>
    </row>
    <row r="1785">
      <c r="A1785" s="1">
        <v>4.0</v>
      </c>
      <c r="B1785" s="1" t="s">
        <v>1776</v>
      </c>
      <c r="C1785" t="str">
        <f>IFERROR(__xludf.DUMMYFUNCTION("GOOGLETRANSLATE(B1785, ""es"", ""en"")"),"Very pretty. It is very fine, very beautiful. It looks good job. I give it 4 stars and not 5 because the chain is too thin, any jerk can be broken. The fabulous rest, arrived on time and correctly.")</f>
        <v>Very pretty. It is very fine, very beautiful. It looks good job. I give it 4 stars and not 5 because the chain is too thin, any jerk can be broken. The fabulous rest, arrived on time and correctly.</v>
      </c>
    </row>
    <row r="1786">
      <c r="A1786" s="1">
        <v>4.0</v>
      </c>
      <c r="B1786" s="1" t="s">
        <v>1777</v>
      </c>
      <c r="C1786" t="str">
        <f>IFERROR(__xludf.DUMMYFUNCTION("GOOGLETRANSLATE(B1786, ""es"", ""en"")"),"Good quality at a price of laughter Great value. Much better than expected")</f>
        <v>Good quality at a price of laughter Great value. Much better than expected</v>
      </c>
    </row>
    <row r="1787">
      <c r="A1787" s="1">
        <v>4.0</v>
      </c>
      <c r="B1787" s="1" t="s">
        <v>1778</v>
      </c>
      <c r="C1787" t="str">
        <f>IFERROR(__xludf.DUMMYFUNCTION("GOOGLETRANSLATE(B1787, ""es"", ""en"")"),"It's like in the photo is a slope that has enlarged me.")</f>
        <v>It's like in the photo is a slope that has enlarged me.</v>
      </c>
    </row>
    <row r="1788">
      <c r="A1788" s="1">
        <v>4.0</v>
      </c>
      <c r="B1788" s="1" t="s">
        <v>1779</v>
      </c>
      <c r="C1788" t="str">
        <f>IFERROR(__xludf.DUMMYFUNCTION("GOOGLETRANSLATE(B1788, ""es"", ""en"")"),"Good bag, average quality good price, I recommend")</f>
        <v>Good bag, average quality good price, I recommend</v>
      </c>
    </row>
    <row r="1789">
      <c r="A1789" s="1">
        <v>5.0</v>
      </c>
      <c r="B1789" s="1" t="s">
        <v>1780</v>
      </c>
      <c r="C1789" t="str">
        <f>IFERROR(__xludf.DUMMYFUNCTION("GOOGLETRANSLATE(B1789, ""es"", ""en"")"),"superego comfortable bought it because the doctor told my mother, because she works in the restaurant and she quite painful on the back, very good quality massager she is super comfortable, especualmente in relaxing neck a lot and gives a feeling of well-"&amp;"being meets perfect his description of the item")</f>
        <v>superego comfortable bought it because the doctor told my mother, because she works in the restaurant and she quite painful on the back, very good quality massager she is super comfortable, especualmente in relaxing neck a lot and gives a feeling of well-being meets perfect his description of the item</v>
      </c>
    </row>
    <row r="1790">
      <c r="A1790" s="1">
        <v>5.0</v>
      </c>
      <c r="B1790" s="1" t="s">
        <v>1781</v>
      </c>
      <c r="C1790" t="str">
        <f>IFERROR(__xludf.DUMMYFUNCTION("GOOGLETRANSLATE(B1790, ""es"", ""en"")"),"Recommended are very comfortable and easy to clean")</f>
        <v>Recommended are very comfortable and easy to clean</v>
      </c>
    </row>
    <row r="1791">
      <c r="A1791" s="1">
        <v>5.0</v>
      </c>
      <c r="B1791" s="1" t="s">
        <v>1782</v>
      </c>
      <c r="C1791" t="str">
        <f>IFERROR(__xludf.DUMMYFUNCTION("GOOGLETRANSLATE(B1791, ""es"", ""en"")"),"Quality For months using this brand and I am very happy. The paste only to put it is that come with nipple 3 and not with variable flow, because using the large size bottle is assumed that meter is to cereal and teat need for thick liquids. Otherwise very"&amp;" happy")</f>
        <v>Quality For months using this brand and I am very happy. The paste only to put it is that come with nipple 3 and not with variable flow, because using the large size bottle is assumed that meter is to cereal and teat need for thick liquids. Otherwise very happy</v>
      </c>
    </row>
    <row r="1792">
      <c r="A1792" s="1">
        <v>5.0</v>
      </c>
      <c r="B1792" s="1" t="s">
        <v>1783</v>
      </c>
      <c r="C1792" t="str">
        <f>IFERROR(__xludf.DUMMYFUNCTION("GOOGLETRANSLATE(B1792, ""es"", ""en"")"),"Very nice quality fabric, although I still have something great")</f>
        <v>Very nice quality fabric, although I still have something great</v>
      </c>
    </row>
    <row r="1793">
      <c r="A1793" s="1">
        <v>5.0</v>
      </c>
      <c r="B1793" s="1" t="s">
        <v>1784</v>
      </c>
      <c r="C1793" t="str">
        <f>IFERROR(__xludf.DUMMYFUNCTION("GOOGLETRANSLATE(B1793, ""es"", ""en"")"),"Okay this bn")</f>
        <v>Okay this bn</v>
      </c>
    </row>
    <row r="1794">
      <c r="A1794" s="1">
        <v>5.0</v>
      </c>
      <c r="B1794" s="1" t="s">
        <v>1785</v>
      </c>
      <c r="C1794" t="str">
        <f>IFERROR(__xludf.DUMMYFUNCTION("GOOGLETRANSLATE(B1794, ""es"", ""en"")"),"I recommend 👍 I liked and super original KEDO all good and well packed in its box all right")</f>
        <v>I recommend 👍 I liked and super original KEDO all good and well packed in its box all right</v>
      </c>
    </row>
    <row r="1795">
      <c r="A1795" s="1">
        <v>5.0</v>
      </c>
      <c r="B1795" s="1" t="s">
        <v>1786</v>
      </c>
      <c r="C1795" t="str">
        <f>IFERROR(__xludf.DUMMYFUNCTION("GOOGLETRANSLATE(B1795, ""es"", ""en"")"),"Very good wireless for Android The product is good quality for this price, can not be compared with the mark of the manzanita, speaking of other price ranges, the case of these is much larger and headphones are also larger, but for a very cheap price we o"&amp;"ffer very good sound quality and very good battery. They are comfortable to carry and carry though the first impression on seeing them and wear them is: wow, you are great! But they are comfortable and do not weigh. USB charging is on C and cable is inclu"&amp;"ded. They pair up very fast with Android, iOS not because they do not have one available. Recommended!")</f>
        <v>Very good wireless for Android The product is good quality for this price, can not be compared with the mark of the manzanita, speaking of other price ranges, the case of these is much larger and headphones are also larger, but for a very cheap price we offer very good sound quality and very good battery. They are comfortable to carry and carry though the first impression on seeing them and wear them is: wow, you are great! But they are comfortable and do not weigh. USB charging is on C and cable is included. They pair up very fast with Android, iOS not because they do not have one available. Recommended!</v>
      </c>
    </row>
    <row r="1796">
      <c r="A1796" s="1">
        <v>5.0</v>
      </c>
      <c r="B1796" s="1" t="s">
        <v>1787</v>
      </c>
      <c r="C1796" t="str">
        <f>IFERROR(__xludf.DUMMYFUNCTION("GOOGLETRANSLATE(B1796, ""es"", ""en"")"),"Very good product This is the second I buy, the previous Esra a similar model, I recommend it 100%.")</f>
        <v>Very good product This is the second I buy, the previous Esra a similar model, I recommend it 100%.</v>
      </c>
    </row>
    <row r="1797">
      <c r="A1797" s="1">
        <v>5.0</v>
      </c>
      <c r="B1797" s="1" t="s">
        <v>1788</v>
      </c>
      <c r="C1797" t="str">
        <f>IFERROR(__xludf.DUMMYFUNCTION("GOOGLETRANSLATE(B1797, ""es"", ""en"")"),"Very comfortable socks that I like, very comfortable both in spring and summer, with sports, work boots or shoes. Mientars there are the buy. Too bad the logo is not so accepted by society when you wear a suit: D")</f>
        <v>Very comfortable socks that I like, very comfortable both in spring and summer, with sports, work boots or shoes. Mientars there are the buy. Too bad the logo is not so accepted by society when you wear a suit: D</v>
      </c>
    </row>
    <row r="1798">
      <c r="A1798" s="1">
        <v>5.0</v>
      </c>
      <c r="B1798" s="1" t="s">
        <v>1789</v>
      </c>
      <c r="C1798" t="str">
        <f>IFERROR(__xludf.DUMMYFUNCTION("GOOGLETRANSLATE(B1798, ""es"", ""en"")"),"Good, practical and light is what I was looking for. has enough power to clean the entire house, the battery lasts several days if you use it intermittently. Weighs very little and it is very manageable. Load fast and takes up little space")</f>
        <v>Good, practical and light is what I was looking for. has enough power to clean the entire house, the battery lasts several days if you use it intermittently. Weighs very little and it is very manageable. Load fast and takes up little space</v>
      </c>
    </row>
    <row r="1799">
      <c r="A1799" s="1">
        <v>5.0</v>
      </c>
      <c r="B1799" s="1" t="s">
        <v>1790</v>
      </c>
      <c r="C1799" t="str">
        <f>IFERROR(__xludf.DUMMYFUNCTION("GOOGLETRANSLATE(B1799, ""es"", ""en"")"),"Excellent. Super fast and super light can not say enough good things about this hard drive. I was surprised by how fast it works (especially if you connect to a thunderbolt port) and so light it is. The aluminum finish is amazing. Simply superior. I would"&amp;" definitely buy. I hope that hold up well over the years. Seagate trust the brand, which has never let me down.")</f>
        <v>Excellent. Super fast and super light can not say enough good things about this hard drive. I was surprised by how fast it works (especially if you connect to a thunderbolt port) and so light it is. The aluminum finish is amazing. Simply superior. I would definitely buy. I hope that hold up well over the years. Seagate trust the brand, which has never let me down.</v>
      </c>
    </row>
    <row r="1800">
      <c r="A1800" s="1">
        <v>5.0</v>
      </c>
      <c r="B1800" s="1" t="s">
        <v>1791</v>
      </c>
      <c r="C1800" t="str">
        <f>IFERROR(__xludf.DUMMYFUNCTION("GOOGLETRANSLATE(B1800, ""es"", ""en"")"),"Great was hesitant after reading some reviews, but after trying it, I feel just great. I have another dagger and I am convinced that is the best.")</f>
        <v>Great was hesitant after reading some reviews, but after trying it, I feel just great. I have another dagger and I am convinced that is the best.</v>
      </c>
    </row>
    <row r="1801">
      <c r="A1801" s="1">
        <v>5.0</v>
      </c>
      <c r="B1801" s="1" t="s">
        <v>1792</v>
      </c>
      <c r="C1801" t="str">
        <f>IFERROR(__xludf.DUMMYFUNCTION("GOOGLETRANSLATE(B1801, ""es"", ""en"")"),"I like nice design")</f>
        <v>I like nice design</v>
      </c>
    </row>
    <row r="1802">
      <c r="A1802" s="1">
        <v>5.0</v>
      </c>
      <c r="B1802" s="1" t="s">
        <v>1793</v>
      </c>
      <c r="C1802" t="str">
        <f>IFERROR(__xludf.DUMMYFUNCTION("GOOGLETRANSLATE(B1802, ""es"", ""en"")"),"Cool Cool. Right size, very lightweight and comfortable. Fast delivery")</f>
        <v>Cool Cool. Right size, very lightweight and comfortable. Fast delivery</v>
      </c>
    </row>
    <row r="1803">
      <c r="A1803" s="1">
        <v>5.0</v>
      </c>
      <c r="B1803" s="1" t="s">
        <v>1794</v>
      </c>
      <c r="C1803" t="str">
        <f>IFERROR(__xludf.DUMMYFUNCTION("GOOGLETRANSLATE(B1803, ""es"", ""en"")"),"Perezosi for life is bullshit but very funny, was a nice touch for my partner and managed to get a smile, and no TE without perezosi.")</f>
        <v>Perezosi for life is bullshit but very funny, was a nice touch for my partner and managed to get a smile, and no TE without perezosi.</v>
      </c>
    </row>
    <row r="1804">
      <c r="A1804" s="1">
        <v>5.0</v>
      </c>
      <c r="B1804" s="1" t="s">
        <v>1795</v>
      </c>
      <c r="C1804" t="str">
        <f>IFERROR(__xludf.DUMMYFUNCTION("GOOGLETRANSLATE(B1804, ""es"", ""en"")"),"I like I encata, I put every night, with different essences, the truth is that you relax a lot and help you sleep, at least to me.")</f>
        <v>I like I encata, I put every night, with different essences, the truth is that you relax a lot and help you sleep, at least to me.</v>
      </c>
    </row>
    <row r="1805">
      <c r="A1805" s="1">
        <v>5.0</v>
      </c>
      <c r="B1805" s="1" t="s">
        <v>1796</v>
      </c>
      <c r="C1805" t="str">
        <f>IFERROR(__xludf.DUMMYFUNCTION("GOOGLETRANSLATE(B1805, ""es"", ""en"")"),"Delighted with great size and price.")</f>
        <v>Delighted with great size and price.</v>
      </c>
    </row>
    <row r="1806">
      <c r="A1806" s="1">
        <v>5.0</v>
      </c>
      <c r="B1806" s="1" t="s">
        <v>1797</v>
      </c>
      <c r="C1806" t="str">
        <f>IFERROR(__xludf.DUMMYFUNCTION("GOOGLETRANSLATE(B1806, ""es"", ""en"")"),"The ones I have lasted the best for its price")</f>
        <v>The ones I have lasted the best for its price</v>
      </c>
    </row>
    <row r="1807">
      <c r="A1807" s="1">
        <v>5.0</v>
      </c>
      <c r="B1807" s="1" t="s">
        <v>1798</v>
      </c>
      <c r="C1807" t="str">
        <f>IFERROR(__xludf.DUMMYFUNCTION("GOOGLETRANSLATE(B1807, ""es"", ""en"")"),"Blender is perfect .... robust and powerful moment .... I give it a 10")</f>
        <v>Blender is perfect .... robust and powerful moment .... I give it a 10</v>
      </c>
    </row>
    <row r="1808">
      <c r="A1808" s="1">
        <v>2.0</v>
      </c>
      <c r="B1808" s="1" t="s">
        <v>1799</v>
      </c>
      <c r="C1808" t="str">
        <f>IFERROR(__xludf.DUMMYFUNCTION("GOOGLETRANSLATE(B1808, ""es"", ""en"")"),"A caca has not liked anything not absorb almost no water.")</f>
        <v>A caca has not liked anything not absorb almost no water.</v>
      </c>
    </row>
    <row r="1809">
      <c r="A1809" s="1">
        <v>3.0</v>
      </c>
      <c r="B1809" s="1" t="s">
        <v>1800</v>
      </c>
      <c r="C1809" t="str">
        <f>IFERROR(__xludf.DUMMYFUNCTION("GOOGLETRANSLATE(B1809, ""es"", ""en"")"),"Kingston SDC10 / 32GBSP - microSD Card 32 works perfectly. You can use purchasing, without reformatting I tested the speed of reading and writing but I use a phone goes Bq and luxury.")</f>
        <v>Kingston SDC10 / 32GBSP - microSD Card 32 works perfectly. You can use purchasing, without reformatting I tested the speed of reading and writing but I use a phone goes Bq and luxury.</v>
      </c>
    </row>
    <row r="1810">
      <c r="A1810" s="1">
        <v>3.0</v>
      </c>
      <c r="B1810" s="1" t="s">
        <v>1801</v>
      </c>
      <c r="C1810" t="str">
        <f>IFERROR(__xludf.DUMMYFUNCTION("GOOGLETRANSLATE(B1810, ""es"", ""en"")"),"Acceptable nice and comfortable")</f>
        <v>Acceptable nice and comfortable</v>
      </c>
    </row>
    <row r="1811">
      <c r="A1811" s="1">
        <v>1.0</v>
      </c>
      <c r="B1811" s="1" t="s">
        <v>1802</v>
      </c>
      <c r="C1811" t="str">
        <f>IFERROR(__xludf.DUMMYFUNCTION("GOOGLETRANSLATE(B1811, ""es"", ""en"")"),"Fault The product is perfect, I was very happy with this portable blender. Until he began to Apparate a blue light, the engine is screwed, and a month and a few days of purchase, he stopped working. The repayment period is one month, so here xao.")</f>
        <v>Fault The product is perfect, I was very happy with this portable blender. Until he began to Apparate a blue light, the engine is screwed, and a month and a few days of purchase, he stopped working. The repayment period is one month, so here xao.</v>
      </c>
    </row>
    <row r="1812">
      <c r="A1812" s="1">
        <v>1.0</v>
      </c>
      <c r="B1812" s="1" t="s">
        <v>1803</v>
      </c>
      <c r="C1812" t="str">
        <f>IFERROR(__xludf.DUMMYFUNCTION("GOOGLETRANSLATE(B1812, ""es"", ""en"")"),"Magic Slate second time I receive a cork wall instead of a blackboard. With some ""joke"" he tells me to look at both sides and if, after a thorough analysis of me and asking several opinions of people known to exchange opinions .. YES, the second also ha"&amp;"s cork. Everything fits, is a cork with its six ""markers"" in the form of colored thumbtacks. The first time it happens. But I see I'm not alone. De.Portugal comes so today I learned something new, cork SLATE is written in Portuguese")</f>
        <v>Magic Slate second time I receive a cork wall instead of a blackboard. With some "joke" he tells me to look at both sides and if, after a thorough analysis of me and asking several opinions of people known to exchange opinions .. YES, the second also has cork. Everything fits, is a cork with its six "markers" in the form of colored thumbtacks. The first time it happens. But I see I'm not alone. De.Portugal comes so today I learned something new, cork SLATE is written in Portuguese</v>
      </c>
    </row>
    <row r="1813">
      <c r="A1813" s="1">
        <v>1.0</v>
      </c>
      <c r="B1813" s="1" t="s">
        <v>1804</v>
      </c>
      <c r="C1813" t="str">
        <f>IFERROR(__xludf.DUMMYFUNCTION("GOOGLETRANSLATE(B1813, ""es"", ""en"")"),"Returned wrong size three times wrong size")</f>
        <v>Returned wrong size three times wrong size</v>
      </c>
    </row>
    <row r="1814">
      <c r="A1814" s="1">
        <v>4.0</v>
      </c>
      <c r="B1814" s="1" t="s">
        <v>1805</v>
      </c>
      <c r="C1814" t="str">
        <f>IFERROR(__xludf.DUMMYFUNCTION("GOOGLETRANSLATE(B1814, ""es"", ""en"")"),"Meets the description. All good, arrived in good condition. Easy to clean, I doubt that the crystal looks very fine, must be careful. But it is effective, fast and fairly quiet.")</f>
        <v>Meets the description. All good, arrived in good condition. Easy to clean, I doubt that the crystal looks very fine, must be careful. But it is effective, fast and fairly quiet.</v>
      </c>
    </row>
    <row r="1815">
      <c r="A1815" s="1">
        <v>4.0</v>
      </c>
      <c r="B1815" s="1" t="s">
        <v>1806</v>
      </c>
      <c r="C1815" t="str">
        <f>IFERROR(__xludf.DUMMYFUNCTION("GOOGLETRANSLATE(B1815, ""es"", ""en"")"),"Just what it appears in the description. Good price and does not fool anyone. Silicone anti-colic teats (personally prefer the latex, but no problem of the product).")</f>
        <v>Just what it appears in the description. Good price and does not fool anyone. Silicone anti-colic teats (personally prefer the latex, but no problem of the product).</v>
      </c>
    </row>
    <row r="1816">
      <c r="A1816" s="1">
        <v>4.0</v>
      </c>
      <c r="B1816" s="1" t="s">
        <v>1807</v>
      </c>
      <c r="C1816" t="str">
        <f>IFERROR(__xludf.DUMMYFUNCTION("GOOGLETRANSLATE(B1816, ""es"", ""en"")"),"The size the only issue is that it is a little small, a little bigger would have been perfect")</f>
        <v>The size the only issue is that it is a little small, a little bigger would have been perfect</v>
      </c>
    </row>
    <row r="1817">
      <c r="A1817" s="1">
        <v>4.0</v>
      </c>
      <c r="B1817" s="1" t="s">
        <v>1808</v>
      </c>
      <c r="C1817" t="str">
        <f>IFERROR(__xludf.DUMMYFUNCTION("GOOGLETRANSLATE(B1817, ""es"", ""en"")"),"Perfect ... until it fails My first daughter grew up with this same nipple, we never gave a problem and the truth is perfect for its purpose (keep the baby leaves the chest and allow breastfeeding bottle is similar to the of the chest). Why is my problem "&amp;"and my complaint? We decided to buy new bottles and teats for my second daughter not to reuse the old ... it has lasted two months literally giving the same use as the first. For some reason after two months of trouble sealing the body of the bottle and i"&amp;"t is not done correctly (much to squeeze) and the dripping bottle by the nipple-union body. Not a disaster, is still usable despite your hands dirty, but since I have been two teats with the same problem. It seems that the finite rubber ring is integrated"&amp;" into the body of rigid plastic (where the body falls from the bottle and makes the seal) is deformed or crushed (although not overtighten) and ends up not seal well and leak. .. curious that in the first not pass me after more than a year of use and that"&amp;" this time has passed me every two months ... (?)")</f>
        <v>Perfect ... until it fails My first daughter grew up with this same nipple, we never gave a problem and the truth is perfect for its purpose (keep the baby leaves the chest and allow breastfeeding bottle is similar to the of the chest). Why is my problem and my complaint? We decided to buy new bottles and teats for my second daughter not to reuse the old ... it has lasted two months literally giving the same use as the first. For some reason after two months of trouble sealing the body of the bottle and it is not done correctly (much to squeeze) and the dripping bottle by the nipple-union body. Not a disaster, is still usable despite your hands dirty, but since I have been two teats with the same problem. It seems that the finite rubber ring is integrated into the body of rigid plastic (where the body falls from the bottle and makes the seal) is deformed or crushed (although not overtighten) and ends up not seal well and leak. .. curious that in the first not pass me after more than a year of use and that this time has passed me every two months ... (?)</v>
      </c>
    </row>
    <row r="1818">
      <c r="A1818" s="1">
        <v>4.0</v>
      </c>
      <c r="B1818" s="1" t="s">
        <v>1809</v>
      </c>
      <c r="C1818" t="str">
        <f>IFERROR(__xludf.DUMMYFUNCTION("GOOGLETRANSLATE(B1818, ""es"", ""en"")"),"Pretty cool and light")</f>
        <v>Pretty cool and light</v>
      </c>
    </row>
    <row r="1819">
      <c r="A1819" s="1">
        <v>5.0</v>
      </c>
      <c r="B1819" s="1" t="s">
        <v>1810</v>
      </c>
      <c r="C1819" t="str">
        <f>IFERROR(__xludf.DUMMYFUNCTION("GOOGLETRANSLATE(B1819, ""es"", ""en"")"),"Good Quality Hotel I loved this microphone, excellent value and very versatile")</f>
        <v>Good Quality Hotel I loved this microphone, excellent value and very versatile</v>
      </c>
    </row>
    <row r="1820">
      <c r="A1820" s="1">
        <v>5.0</v>
      </c>
      <c r="B1820" s="1" t="s">
        <v>1811</v>
      </c>
      <c r="C1820" t="str">
        <f>IFERROR(__xludf.DUMMYFUNCTION("GOOGLETRANSLATE(B1820, ""es"", ""en"")"),"adapts perfectly good material, it fits perfectly and fulfills its function correctly, now just put the body as the typical picture lol")</f>
        <v>adapts perfectly good material, it fits perfectly and fulfills its function correctly, now just put the body as the typical picture lol</v>
      </c>
    </row>
    <row r="1821">
      <c r="A1821" s="1">
        <v>5.0</v>
      </c>
      <c r="B1821" s="1" t="s">
        <v>1812</v>
      </c>
      <c r="C1821" t="str">
        <f>IFERROR(__xludf.DUMMYFUNCTION("GOOGLETRANSLATE(B1821, ""es"", ""en"")"),"Bag perfect man to add anything soles carry in their pockets. Modern man does not need to carry your personal items in his pockets, as we all know is really uncomfortable, and ugly too our styling, and we have removed the roll of the 7s0 and 80s, now we c"&amp;"an carry handbags, shoulder bag, backpacks, or what we really like. Bandoliers of man are taking a starring role in male with nice looks and stylish designs. Now, supplements are not exclusive to women and comfort surrenders completely to these practical "&amp;"pieces with a variety of models and colors. Bags served only to women, while men are satisfied with small bags tied with string to keep your money. Now, technology has made unthinkable use to accommodate even portable devices mobile, tablets e. This messe"&amp;"nger bag is really comfortable, practical, and frees us from the burden of carrying our belongings in his pockets, made of canvas and terminations highly maintained, has a quality beyond doubt. There are different opinions as carrying a shoulder bag, some"&amp;" stylists say that on the shoulder where the bag falls, and others on the opposite shoulder, in my opinion, I think I'll take him where more comfortable this at the time. In short, this shoulder bag is comfortable, useful and is a good complement pair mod"&amp;"ern man regardless of age. Product yielded by SinoEshow for analysis.")</f>
        <v>Bag perfect man to add anything soles carry in their pockets. Modern man does not need to carry your personal items in his pockets, as we all know is really uncomfortable, and ugly too our styling, and we have removed the roll of the 7s0 and 80s, now we can carry handbags, shoulder bag, backpacks, or what we really like. Bandoliers of man are taking a starring role in male with nice looks and stylish designs. Now, supplements are not exclusive to women and comfort surrenders completely to these practical pieces with a variety of models and colors. Bags served only to women, while men are satisfied with small bags tied with string to keep your money. Now, technology has made unthinkable use to accommodate even portable devices mobile, tablets e. This messenger bag is really comfortable, practical, and frees us from the burden of carrying our belongings in his pockets, made of canvas and terminations highly maintained, has a quality beyond doubt. There are different opinions as carrying a shoulder bag, some stylists say that on the shoulder where the bag falls, and others on the opposite shoulder, in my opinion, I think I'll take him where more comfortable this at the time. In short, this shoulder bag is comfortable, useful and is a good complement pair modern man regardless of age. Product yielded by SinoEshow for analysis.</v>
      </c>
    </row>
    <row r="1822">
      <c r="A1822" s="1">
        <v>5.0</v>
      </c>
      <c r="B1822" s="1" t="s">
        <v>1813</v>
      </c>
      <c r="C1822" t="str">
        <f>IFERROR(__xludf.DUMMYFUNCTION("GOOGLETRANSLATE(B1822, ""es"", ""en"")"),"It relax me a lot!! I love the flashing !! Leave a relaxed atmosphere ... size ... I would like it to be a tad smaller but hey that everyone likes and you have to leave room otherwise everything great")</f>
        <v>It relax me a lot!! I love the flashing !! Leave a relaxed atmosphere ... size ... I would like it to be a tad smaller but hey that everyone likes and you have to leave room otherwise everything great</v>
      </c>
    </row>
    <row r="1823">
      <c r="A1823" s="1">
        <v>5.0</v>
      </c>
      <c r="B1823" s="1" t="s">
        <v>1814</v>
      </c>
      <c r="C1823" t="str">
        <f>IFERROR(__xludf.DUMMYFUNCTION("GOOGLETRANSLATE(B1823, ""es"", ""en"")"),"A superior watch the rest has a very high quality of construction. Glass after intensive looks like the first day, scratch resistant and water from the sea. The strap also as the first day after many bathrooms. The only but you can put the fluorescent mat"&amp;"erial is the hands that does not last long in the dark like it does in the orient.")</f>
        <v>A superior watch the rest has a very high quality of construction. Glass after intensive looks like the first day, scratch resistant and water from the sea. The strap also as the first day after many bathrooms. The only but you can put the fluorescent material is the hands that does not last long in the dark like it does in the orient.</v>
      </c>
    </row>
    <row r="1824">
      <c r="A1824" s="1">
        <v>5.0</v>
      </c>
      <c r="B1824" s="1" t="s">
        <v>1815</v>
      </c>
      <c r="C1824" t="str">
        <f>IFERROR(__xludf.DUMMYFUNCTION("GOOGLETRANSLATE(B1824, ""es"", ""en"")"),"Special Perfect for IPad along with a keyboard cover. It's perfect for reading, writing, and easily supported on the arm of a chair or a table support. Perfect")</f>
        <v>Special Perfect for IPad along with a keyboard cover. It's perfect for reading, writing, and easily supported on the arm of a chair or a table support. Perfect</v>
      </c>
    </row>
    <row r="1825">
      <c r="A1825" s="1">
        <v>5.0</v>
      </c>
      <c r="B1825" s="1" t="s">
        <v>1816</v>
      </c>
      <c r="C1825" t="str">
        <f>IFERROR(__xludf.DUMMYFUNCTION("GOOGLETRANSLATE(B1825, ""es"", ""en"")"),"Quality great price. Super good and well finished right size is important for q q has the big foot is difficult to find shoes of great price.")</f>
        <v>Quality great price. Super good and well finished right size is important for q q has the big foot is difficult to find shoes of great price.</v>
      </c>
    </row>
    <row r="1826">
      <c r="A1826" s="1">
        <v>5.0</v>
      </c>
      <c r="B1826" s="1" t="s">
        <v>1817</v>
      </c>
      <c r="C1826" t="str">
        <f>IFERROR(__xludf.DUMMYFUNCTION("GOOGLETRANSLATE(B1826, ""es"", ""en"")"),"very comfortable good value for money are, use them mainly to go hunting, waterproof")</f>
        <v>very comfortable good value for money are, use them mainly to go hunting, waterproof</v>
      </c>
    </row>
    <row r="1827">
      <c r="A1827" s="1">
        <v>5.0</v>
      </c>
      <c r="B1827" s="1" t="s">
        <v>1818</v>
      </c>
      <c r="C1827" t="str">
        <f>IFERROR(__xludf.DUMMYFUNCTION("GOOGLETRANSLATE(B1827, ""es"", ""en"")"),"Very good value for money very good this electric blanket. It fits very well to the back. I came as holy hand contracture on the trapeze. Heats quickly and touch is very soft.")</f>
        <v>Very good value for money very good this electric blanket. It fits very well to the back. I came as holy hand contracture on the trapeze. Heats quickly and touch is very soft.</v>
      </c>
    </row>
    <row r="1828">
      <c r="A1828" s="1">
        <v>5.0</v>
      </c>
      <c r="B1828" s="1" t="s">
        <v>461</v>
      </c>
      <c r="C1828" t="str">
        <f>IFERROR(__xludf.DUMMYFUNCTION("GOOGLETRANSLATE(B1828, ""es"", ""en"")"),"excellent excellent")</f>
        <v>excellent excellent</v>
      </c>
    </row>
    <row r="1829">
      <c r="A1829" s="1">
        <v>5.0</v>
      </c>
      <c r="B1829" s="1" t="s">
        <v>1819</v>
      </c>
      <c r="C1829" t="str">
        <f>IFERROR(__xludf.DUMMYFUNCTION("GOOGLETRANSLATE(B1829, ""es"", ""en"")"),"Very good quality and good sound Product construcion very well packaged, correctly I get very good quality materials and good sound quality but not great.")</f>
        <v>Very good quality and good sound Product construcion very well packaged, correctly I get very good quality materials and good sound quality but not great.</v>
      </c>
    </row>
    <row r="1830">
      <c r="A1830" s="1">
        <v>5.0</v>
      </c>
      <c r="B1830" s="1" t="s">
        <v>1820</v>
      </c>
      <c r="C1830" t="str">
        <f>IFERROR(__xludf.DUMMYFUNCTION("GOOGLETRANSLATE(B1830, ""es"", ""en"")"),"Teat Teat fast flow cereal milk cereal rather than fattening.")</f>
        <v>Teat Teat fast flow cereal milk cereal rather than fattening.</v>
      </c>
    </row>
    <row r="1831">
      <c r="A1831" s="1">
        <v>5.0</v>
      </c>
      <c r="B1831" s="1" t="s">
        <v>1821</v>
      </c>
      <c r="C1831" t="str">
        <f>IFERROR(__xludf.DUMMYFUNCTION("GOOGLETRANSLATE(B1831, ""es"", ""en"")"),"MAKE YOUR WALLS IN PIZARRAS I bought it because I found it very useful for the study and it seemed very good price. It is a roll of vinyl material made with typical class whiteboards about 200 cm long whose reverse is composed of adhesive, which allows us"&amp;" to paste any wall or surface. It also includes three black pen with magnet that fit perfectly. It is a tremendously últil object for the study: It lets you convert any wall slate room. In addition you can spend the piece you want and save the extra for a"&amp;"nother time or even re-save a time you conclude.")</f>
        <v>MAKE YOUR WALLS IN PIZARRAS I bought it because I found it very useful for the study and it seemed very good price. It is a roll of vinyl material made with typical class whiteboards about 200 cm long whose reverse is composed of adhesive, which allows us to paste any wall or surface. It also includes three black pen with magnet that fit perfectly. It is a tremendously últil object for the study: It lets you convert any wall slate room. In addition you can spend the piece you want and save the extra for another time or even re-save a time you conclude.</v>
      </c>
    </row>
    <row r="1832">
      <c r="A1832" s="1">
        <v>5.0</v>
      </c>
      <c r="B1832" s="1" t="s">
        <v>1822</v>
      </c>
      <c r="C1832" t="str">
        <f>IFERROR(__xludf.DUMMYFUNCTION("GOOGLETRANSLATE(B1832, ""es"", ""en"")"),"The only recommended and reliable but I see, is that the guarantee does not come sealed .. it was a gift and I really loved it!")</f>
        <v>The only recommended and reliable but I see, is that the guarantee does not come sealed .. it was a gift and I really loved it!</v>
      </c>
    </row>
    <row r="1833">
      <c r="A1833" s="1">
        <v>5.0</v>
      </c>
      <c r="B1833" s="1" t="s">
        <v>1823</v>
      </c>
      <c r="C1833" t="str">
        <f>IFERROR(__xludf.DUMMYFUNCTION("GOOGLETRANSLATE(B1833, ""es"", ""en"")"),"Comfortable and good grip fastener Second I buy. It is perfectly Buyer size that indicates the table according to your measurements. I do not go by my normal size. Subject perfectly without crushing chest.")</f>
        <v>Comfortable and good grip fastener Second I buy. It is perfectly Buyer size that indicates the table according to your measurements. I do not go by my normal size. Subject perfectly without crushing chest.</v>
      </c>
    </row>
    <row r="1834">
      <c r="A1834" s="1">
        <v>5.0</v>
      </c>
      <c r="B1834" s="1" t="s">
        <v>1824</v>
      </c>
      <c r="C1834" t="str">
        <f>IFERROR(__xludf.DUMMYFUNCTION("GOOGLETRANSLATE(B1834, ""es"", ""en"")"),"Super good good, my son has them all winter and are still new, they are unbreakable sure repeat for next time")</f>
        <v>Super good good, my son has them all winter and are still new, they are unbreakable sure repeat for next time</v>
      </c>
    </row>
    <row r="1835">
      <c r="A1835" s="1">
        <v>5.0</v>
      </c>
      <c r="B1835" s="1" t="s">
        <v>1825</v>
      </c>
      <c r="C1835" t="str">
        <f>IFERROR(__xludf.DUMMYFUNCTION("GOOGLETRANSLATE(B1835, ""es"", ""en"")"),"Perfect works very well, and does very well its role not overheats and is great for what we want.")</f>
        <v>Perfect works very well, and does very well its role not overheats and is great for what we want.</v>
      </c>
    </row>
    <row r="1836">
      <c r="A1836" s="1">
        <v>5.0</v>
      </c>
      <c r="B1836" s="1" t="s">
        <v>1826</v>
      </c>
      <c r="C1836" t="str">
        <f>IFERROR(__xludf.DUMMYFUNCTION("GOOGLETRANSLATE(B1836, ""es"", ""en"")"),"Beautiful and indestructible watch is a watch very nice and sturdy in all aspects. Do not be afraid to buy because you think it's great. It has a content size and looks good on the wrist. It is true that this watch would buy in a jewelry store or official"&amp;" store, because I bought two ga casio 100 Amazon and the first was a replica and the second was not clear it was original, so I decided to return it and buy it in a store official.")</f>
        <v>Beautiful and indestructible watch is a watch very nice and sturdy in all aspects. Do not be afraid to buy because you think it's great. It has a content size and looks good on the wrist. It is true that this watch would buy in a jewelry store or official store, because I bought two ga casio 100 Amazon and the first was a replica and the second was not clear it was original, so I decided to return it and buy it in a store official.</v>
      </c>
    </row>
    <row r="1837">
      <c r="A1837" s="1">
        <v>2.0</v>
      </c>
      <c r="B1837" s="1" t="s">
        <v>1827</v>
      </c>
      <c r="C1837" t="str">
        <f>IFERROR(__xludf.DUMMYFUNCTION("GOOGLETRANSLATE(B1837, ""es"", ""en"")"),"Attractive but only photo watch lacks visibility at night, also daytime schedules contrast digits with the field is almost zero with l which poor visibility. Let that picture to reality there is a great distance.")</f>
        <v>Attractive but only photo watch lacks visibility at night, also daytime schedules contrast digits with the field is almost zero with l which poor visibility. Let that picture to reality there is a great distance.</v>
      </c>
    </row>
    <row r="1838">
      <c r="A1838" s="1">
        <v>3.0</v>
      </c>
      <c r="B1838" s="1" t="s">
        <v>1828</v>
      </c>
      <c r="C1838" t="str">
        <f>IFERROR(__xludf.DUMMYFUNCTION("GOOGLETRANSLATE(B1838, ""es"", ""en"")"),"It is large and of good quality is good quality, is large and has good storage, my partner liked him because he has enough compartments and everything is in place")</f>
        <v>It is large and of good quality is good quality, is large and has good storage, my partner liked him because he has enough compartments and everything is in place</v>
      </c>
    </row>
    <row r="1839">
      <c r="A1839" s="1">
        <v>3.0</v>
      </c>
      <c r="B1839" s="1" t="s">
        <v>1829</v>
      </c>
      <c r="C1839" t="str">
        <f>IFERROR(__xludf.DUMMYFUNCTION("GOOGLETRANSLATE(B1839, ""es"", ""en"")"),"All right all right, there is hardly any noise, only appreciated more when heated.")</f>
        <v>All right all right, there is hardly any noise, only appreciated more when heated.</v>
      </c>
    </row>
    <row r="1840">
      <c r="A1840" s="1">
        <v>1.0</v>
      </c>
      <c r="B1840" s="1" t="s">
        <v>1830</v>
      </c>
      <c r="C1840" t="str">
        <f>IFERROR(__xludf.DUMMYFUNCTION("GOOGLETRANSLATE(B1840, ""es"", ""en"")"),"42 looks like a 38 My order arrived in time is expected but my surprise when I sack and the taste, or rather ... I try. My surprise is when shimming 42 and having asked for a shoe 42 is not that outgrow me, is that I can not enter or half foot. Descambiar"&amp;"las now I have to ask another of a size that will not if you will be right for my foot and follow the meantime unable to use a product that should be able to use morning in my day. ¿Draw near with 44 ?, Well I do not know. Indicáis If the numbers do not c"&amp;"orrespond to the actual ought Stating or less report that the size is small, we evitaríais returns and we evitaríais annoyances like right now I have")</f>
        <v>42 looks like a 38 My order arrived in time is expected but my surprise when I sack and the taste, or rather ... I try. My surprise is when shimming 42 and having asked for a shoe 42 is not that outgrow me, is that I can not enter or half foot. Descambiarlas now I have to ask another of a size that will not if you will be right for my foot and follow the meantime unable to use a product that should be able to use morning in my day. ¿Draw near with 44 ?, Well I do not know. Indicáis If the numbers do not correspond to the actual ought Stating or less report that the size is small, we evitaríais returns and we evitaríais annoyances like right now I have</v>
      </c>
    </row>
    <row r="1841">
      <c r="A1841" s="1">
        <v>1.0</v>
      </c>
      <c r="B1841" s="1" t="s">
        <v>1831</v>
      </c>
      <c r="C1841" t="str">
        <f>IFERROR(__xludf.DUMMYFUNCTION("GOOGLETRANSLATE(B1841, ""es"", ""en"")"),"Adidas Superstar I have returned because they are not the original Adidas superstar. They are of poor quality, are not even skin. Adidas says the insole instead of Ortholite. I have the original in another color and the many differences are compared.")</f>
        <v>Adidas Superstar I have returned because they are not the original Adidas superstar. They are of poor quality, are not even skin. Adidas says the insole instead of Ortholite. I have the original in another color and the many differences are compared.</v>
      </c>
    </row>
    <row r="1842">
      <c r="A1842" s="1">
        <v>4.0</v>
      </c>
      <c r="B1842" s="1" t="s">
        <v>1832</v>
      </c>
      <c r="C1842" t="str">
        <f>IFERROR(__xludf.DUMMYFUNCTION("GOOGLETRANSLATE(B1842, ""es"", ""en"")"),"I like Looking at the viewpoint money seems like a very good pendrive, I aesthetically like your material is sturdy and compact size is suitable or is micro button type and is large excess is has a good grip both introduce on the USB drive to remove it bu"&amp;"t not seen Excessive honestly it is one of the pendrive q me but I liked in recent years. Regarding product quality as I am still testeando but Kingston is a brand q really gives me confidence greetings")</f>
        <v>I like Looking at the viewpoint money seems like a very good pendrive, I aesthetically like your material is sturdy and compact size is suitable or is micro button type and is large excess is has a good grip both introduce on the USB drive to remove it but not seen Excessive honestly it is one of the pendrive q me but I liked in recent years. Regarding product quality as I am still testeando but Kingston is a brand q really gives me confidence greetings</v>
      </c>
    </row>
    <row r="1843">
      <c r="A1843" s="1">
        <v>4.0</v>
      </c>
      <c r="B1843" s="1" t="s">
        <v>1833</v>
      </c>
      <c r="C1843" t="str">
        <f>IFERROR(__xludf.DUMMYFUNCTION("GOOGLETRANSLATE(B1843, ""es"", ""en"")"),"a little flimsy but for the price you can not ask larger size, great to put little pictures of the kids :) although it is a bit tenuous.")</f>
        <v>a little flimsy but for the price you can not ask larger size, great to put little pictures of the kids :) although it is a bit tenuous.</v>
      </c>
    </row>
    <row r="1844">
      <c r="A1844" s="1">
        <v>4.0</v>
      </c>
      <c r="B1844" s="1" t="s">
        <v>1834</v>
      </c>
      <c r="C1844" t="str">
        <f>IFERROR(__xludf.DUMMYFUNCTION("GOOGLETRANSLATE(B1844, ""es"", ""en"")"),"Easy to train not have given it 5 stars because the size is very fair! Leggings are of good quality, comfortable to wear and useful for training, no show through and resist. Crossfit do regularly and so far put up! Sweats between legs, buttocks, etc .. no"&amp;"t appreciated !! The size is just, personally recommend buying one size up since they come huddled together (leggings are size sports bra size M and S). great design, good and good sewing material. Good product for quality / price. I recommend")</f>
        <v>Easy to train not have given it 5 stars because the size is very fair! Leggings are of good quality, comfortable to wear and useful for training, no show through and resist. Crossfit do regularly and so far put up! Sweats between legs, buttocks, etc .. not appreciated !! The size is just, personally recommend buying one size up since they come huddled together (leggings are size sports bra size M and S). great design, good and good sewing material. Good product for quality / price. I recommend</v>
      </c>
    </row>
    <row r="1845">
      <c r="A1845" s="1">
        <v>4.0</v>
      </c>
      <c r="B1845" s="1" t="s">
        <v>1835</v>
      </c>
      <c r="C1845" t="str">
        <f>IFERROR(__xludf.DUMMYFUNCTION("GOOGLETRANSLATE(B1845, ""es"", ""en"")"),"Highly recommended 100% recommend this product is comfortable as it has many positions, material like plastic is me because I prefer so weightless and easy to carry and has an ideal measure.")</f>
        <v>Highly recommended 100% recommend this product is comfortable as it has many positions, material like plastic is me because I prefer so weightless and easy to carry and has an ideal measure.</v>
      </c>
    </row>
    <row r="1846">
      <c r="A1846" s="1">
        <v>4.0</v>
      </c>
      <c r="B1846" s="1" t="s">
        <v>1836</v>
      </c>
      <c r="C1846" t="str">
        <f>IFERROR(__xludf.DUMMYFUNCTION("GOOGLETRANSLATE(B1846, ""es"", ""en"")"),"A handy mop and a mop effective This is practically NO PESA (its weight is 350 g) but it Super practice to clean the floor because their daily dusting cloths are very effective. It comes with BAT and handle disassembled into four pieces, three pieces of a"&amp;"luminum and a fourth piece of aluminum coated on the piece of the handle itself, which is quite ergonomic and slip. It is so easy to assemble and, if necessary, disassembly. A mounted time, the whole is robust and stands firm while you're cleaning (I mean"&amp;" you do not have the feeling that it will disassemble at any time). Has a total length of 124 cm, length seems to me appropriate for people of almost any height because we can grab the stick or by the handle or by any of its sections. The handle carries a"&amp;" washer at the top end we can store the mop hanging on a hook on the wall. The MOPA itself (ie the head) measuring 25 x 11 cm and at the top has slits rubber where dusting cloths are fixed. They are very well designed because the cloths were never release"&amp;"d. In the part where the stick is fixed you have a ball joint that can rotate 360 ​​degrees. That it makes it easy to reach any corner of the house and to clean under furniture but the space between them and the ground is little (when we flat mop and pate"&amp;"lla are about 5 cm high). As said, in conjunction with cloths of the same brand is very effective to trap dust from the floor, even between the joints of tiles. Also traps pet hair. Obviously not clean as thoroughly as a robot vacuum cleaner does its job "&amp;"but with the added advantage that you can mopping under furniture where the robot fails because it is too high fine. The kit comes with the mop and 8 parts, specifically, dry cloth. We also have the option to buy wipes moist and so we avoid scrubbing the "&amp;"floor (for example &amp; nbsp; &lt;a data-hook = ""product-link-linked"" class = ""a-link-normal"" href = ""/ - Swiffer-wipes -húmedas-x24 / dp / B003NGXDKM / ref = ie = UTF8 cm_cr_getr_d_rvw_txt ""&gt; - Swiffer wet wipes x24 &lt;/a&gt;). Dry cloths can be washed by han"&amp;"d (not I have dared to put them in the washing machine), and thus can be reused again. It seems to me a kit with a good value.")</f>
        <v>A handy mop and a mop effective This is practically NO PESA (its weight is 350 g) but it Super practice to clean the floor because their daily dusting cloths are very effective. It comes with BAT and handle disassembled into four pieces, three pieces of aluminum and a fourth piece of aluminum coated on the piece of the handle itself, which is quite ergonomic and slip. It is so easy to assemble and, if necessary, disassembly. A mounted time, the whole is robust and stands firm while you're cleaning (I mean you do not have the feeling that it will disassemble at any time). Has a total length of 124 cm, length seems to me appropriate for people of almost any height because we can grab the stick or by the handle or by any of its sections. The handle carries a washer at the top end we can store the mop hanging on a hook on the wall. The MOPA itself (ie the head) measuring 25 x 11 cm and at the top has slits rubber where dusting cloths are fixed. They are very well designed because the cloths were never released. In the part where the stick is fixed you have a ball joint that can rotate 360 ​​degrees. That it makes it easy to reach any corner of the house and to clean under furniture but the space between them and the ground is little (when we flat mop and patella are about 5 cm high). As said, in conjunction with cloths of the same brand is very effective to trap dust from the floor, even between the joints of tiles. Also traps pet hair. Obviously not clean as thoroughly as a robot vacuum cleaner does its job but with the added advantage that you can mopping under furniture where the robot fails because it is too high fine. The kit comes with the mop and 8 parts, specifically, dry cloth. We also have the option to buy wipes moist and so we avoid scrubbing the floor (for example &amp; nbsp; &lt;a data-hook = "product-link-linked" class = "a-link-normal" href = "/ - Swiffer-wipes -húmedas-x24 / dp / B003NGXDKM / ref = ie = UTF8 cm_cr_getr_d_rvw_txt "&gt; - Swiffer wet wipes x24 &lt;/a&gt;). Dry cloths can be washed by hand (not I have dared to put them in the washing machine), and thus can be reused again. It seems to me a kit with a good value.</v>
      </c>
    </row>
    <row r="1847">
      <c r="A1847" s="1">
        <v>5.0</v>
      </c>
      <c r="B1847" s="1" t="s">
        <v>1837</v>
      </c>
      <c r="C1847" t="str">
        <f>IFERROR(__xludf.DUMMYFUNCTION("GOOGLETRANSLATE(B1847, ""es"", ""en"")"),"reliability Perfect")</f>
        <v>reliability Perfect</v>
      </c>
    </row>
    <row r="1848">
      <c r="A1848" s="1">
        <v>5.0</v>
      </c>
      <c r="B1848" s="1" t="s">
        <v>1838</v>
      </c>
      <c r="C1848" t="str">
        <f>IFERROR(__xludf.DUMMYFUNCTION("GOOGLETRANSLATE(B1848, ""es"", ""en"")"),"Good value pleasantly surprised with these headphones on a budget price range. Cable apparently resistant. Metal connectors and headphones that gives a touch of quality. The box comes with a carrying bag, a clamp to hold the cable and replace pads. They a"&amp;"re very comfortable and I even running mate. Sound with good bass and clarity than good. The headset seals well enough in the ear and no sound is received from the outside")</f>
        <v>Good value pleasantly surprised with these headphones on a budget price range. Cable apparently resistant. Metal connectors and headphones that gives a touch of quality. The box comes with a carrying bag, a clamp to hold the cable and replace pads. They are very comfortable and I even running mate. Sound with good bass and clarity than good. The headset seals well enough in the ear and no sound is received from the outside</v>
      </c>
    </row>
    <row r="1849">
      <c r="A1849" s="1">
        <v>5.0</v>
      </c>
      <c r="B1849" s="1" t="s">
        <v>1839</v>
      </c>
      <c r="C1849" t="str">
        <f>IFERROR(__xludf.DUMMYFUNCTION("GOOGLETRANSLATE(B1849, ""es"", ""en"")"),"BEAUTIFUL AND FEEL GREAT I'm very glad I bought these sports tights. They are very good quality and have good back end tipo.Sientan great. I RECOMMEND IT.")</f>
        <v>BEAUTIFUL AND FEEL GREAT I'm very glad I bought these sports tights. They are very good quality and have good back end tipo.Sientan great. I RECOMMEND IT.</v>
      </c>
    </row>
    <row r="1850">
      <c r="A1850" s="1">
        <v>5.0</v>
      </c>
      <c r="B1850" s="1" t="s">
        <v>1840</v>
      </c>
      <c r="C1850" t="str">
        <f>IFERROR(__xludf.DUMMYFUNCTION("GOOGLETRANSLATE(B1850, ""es"", ""en"")"),"Ideal price quality. Perfect and good.")</f>
        <v>Ideal price quality. Perfect and good.</v>
      </c>
    </row>
    <row r="1851">
      <c r="A1851" s="1">
        <v>5.0</v>
      </c>
      <c r="B1851" s="1" t="s">
        <v>1841</v>
      </c>
      <c r="C1851" t="str">
        <f>IFERROR(__xludf.DUMMYFUNCTION("GOOGLETRANSLATE(B1851, ""es"", ""en"")"),"Fulfills its function properly fulfills its function correctly")</f>
        <v>Fulfills its function properly fulfills its function correctly</v>
      </c>
    </row>
    <row r="1852">
      <c r="A1852" s="1">
        <v>5.0</v>
      </c>
      <c r="B1852" s="1" t="s">
        <v>1842</v>
      </c>
      <c r="C1852" t="str">
        <f>IFERROR(__xludf.DUMMYFUNCTION("GOOGLETRANSLATE(B1852, ""es"", ""en"")"),"Super cool Super cool")</f>
        <v>Super cool Super cool</v>
      </c>
    </row>
    <row r="1853">
      <c r="A1853" s="1">
        <v>5.0</v>
      </c>
      <c r="B1853" s="1" t="s">
        <v>1843</v>
      </c>
      <c r="C1853" t="str">
        <f>IFERROR(__xludf.DUMMYFUNCTION("GOOGLETRANSLATE(B1853, ""es"", ""en"")"),"OK perfect")</f>
        <v>OK perfect</v>
      </c>
    </row>
    <row r="1854">
      <c r="A1854" s="1">
        <v>5.0</v>
      </c>
      <c r="B1854" s="1" t="s">
        <v>1844</v>
      </c>
      <c r="C1854" t="str">
        <f>IFERROR(__xludf.DUMMYFUNCTION("GOOGLETRANSLATE(B1854, ""es"", ""en"")"),"Perfect is great for cleaning the blades of the termomix. Reaches every corner, I'm happy with the brush.")</f>
        <v>Perfect is great for cleaning the blades of the termomix. Reaches every corner, I'm happy with the brush.</v>
      </c>
    </row>
    <row r="1855">
      <c r="A1855" s="1">
        <v>5.0</v>
      </c>
      <c r="B1855" s="1" t="s">
        <v>1845</v>
      </c>
      <c r="C1855" t="str">
        <f>IFERROR(__xludf.DUMMYFUNCTION("GOOGLETRANSLATE(B1855, ""es"", ""en"")"),"Perfect, expected already knew because I had other equally and fits perfectly expected. I recommend it without any doubt")</f>
        <v>Perfect, expected already knew because I had other equally and fits perfectly expected. I recommend it without any doubt</v>
      </c>
    </row>
    <row r="1856">
      <c r="A1856" s="1">
        <v>5.0</v>
      </c>
      <c r="B1856" s="1" t="s">
        <v>1846</v>
      </c>
      <c r="C1856" t="str">
        <f>IFERROR(__xludf.DUMMYFUNCTION("GOOGLETRANSLATE(B1856, ""es"", ""en"")"),"It is known seguna time I buy this model. The first he was damaged but it served very well 5 years. Regarding size and light logical to say that I see (something that I value), not like the ""medieval shields"" that are so fashionable now. Perfect for me.")</f>
        <v>It is known seguna time I buy this model. The first he was damaged but it served very well 5 years. Regarding size and light logical to say that I see (something that I value), not like the "medieval shields" that are so fashionable now. Perfect for me.</v>
      </c>
    </row>
    <row r="1857">
      <c r="A1857" s="1">
        <v>5.0</v>
      </c>
      <c r="B1857" s="1" t="s">
        <v>1847</v>
      </c>
      <c r="C1857" t="str">
        <f>IFERROR(__xludf.DUMMYFUNCTION("GOOGLETRANSLATE(B1857, ""es"", ""en"")"),"good card Maybe it's good or I was lucky, but for now luxury. I have it mounted on a raspberry that (among other things) take photos and timelapses every 10-20 '(the files are around 2MB-300MB). A being fed by solar panel, sudden cuts are common, and I re"&amp;"member that I have not had a problem in 1 year (fingers crossed ...). The operating temperature not think there down 5 ° C, but in summer if it will have been by 40 ° -50 ° C.")</f>
        <v>good card Maybe it's good or I was lucky, but for now luxury. I have it mounted on a raspberry that (among other things) take photos and timelapses every 10-20 '(the files are around 2MB-300MB). A being fed by solar panel, sudden cuts are common, and I remember that I have not had a problem in 1 year (fingers crossed ...). The operating temperature not think there down 5 ° C, but in summer if it will have been by 40 ° -50 ° C.</v>
      </c>
    </row>
    <row r="1858">
      <c r="A1858" s="1">
        <v>5.0</v>
      </c>
      <c r="B1858" s="1" t="s">
        <v>1848</v>
      </c>
      <c r="C1858" t="str">
        <f>IFERROR(__xludf.DUMMYFUNCTION("GOOGLETRANSLATE(B1858, ""es"", ""en"")"),"Value very good. I really like I put 10 days ago and have not removed me are comfortable and do not give allergy.")</f>
        <v>Value very good. I really like I put 10 days ago and have not removed me are comfortable and do not give allergy.</v>
      </c>
    </row>
    <row r="1859">
      <c r="A1859" s="1">
        <v>5.0</v>
      </c>
      <c r="B1859" s="1" t="s">
        <v>1849</v>
      </c>
      <c r="C1859" t="str">
        <f>IFERROR(__xludf.DUMMYFUNCTION("GOOGLETRANSLATE(B1859, ""es"", ""en"")"),"Perfect. I repeated and repeat Ideal. So I ended up buying more for me and most of my family ... The proper size. The inside is super soft, great adapts to the body and it dries very quickly. A few things I can give as good score. By putting a small but: "&amp;"the dark colorfast something (slightly) if you take another clear garment.")</f>
        <v>Perfect. I repeated and repeat Ideal. So I ended up buying more for me and most of my family ... The proper size. The inside is super soft, great adapts to the body and it dries very quickly. A few things I can give as good score. By putting a small but: the dark colorfast something (slightly) if you take another clear garment.</v>
      </c>
    </row>
    <row r="1860">
      <c r="A1860" s="1">
        <v>5.0</v>
      </c>
      <c r="B1860" s="1" t="s">
        <v>1850</v>
      </c>
      <c r="C1860" t="str">
        <f>IFERROR(__xludf.DUMMYFUNCTION("GOOGLETRANSLATE(B1860, ""es"", ""en"")"),"Anonymous I've had boots of this brand and continues to meet in comfort and quality. Good product and good price, recommended")</f>
        <v>Anonymous I've had boots of this brand and continues to meet in comfort and quality. Good product and good price, recommended</v>
      </c>
    </row>
    <row r="1861">
      <c r="A1861" s="1">
        <v>5.0</v>
      </c>
      <c r="B1861" s="1" t="s">
        <v>1851</v>
      </c>
      <c r="C1861" t="str">
        <f>IFERROR(__xludf.DUMMYFUNCTION("GOOGLETRANSLATE(B1861, ""es"", ""en"")"),"Good for what is on the assessment of whether relieves pain, it all depends on each person that question should be left over and q is not a drug.")</f>
        <v>Good for what is on the assessment of whether relieves pain, it all depends on each person that question should be left over and q is not a drug.</v>
      </c>
    </row>
    <row r="1862">
      <c r="A1862" s="1">
        <v>5.0</v>
      </c>
      <c r="B1862" s="1" t="s">
        <v>1852</v>
      </c>
      <c r="C1862" t="str">
        <f>IFERROR(__xludf.DUMMYFUNCTION("GOOGLETRANSLATE(B1862, ""es"", ""en"")"),"A mismatched width making the purchase indicated that it was wide special 2E, the product is wide standard.")</f>
        <v>A mismatched width making the purchase indicated that it was wide special 2E, the product is wide standard.</v>
      </c>
    </row>
    <row r="1863">
      <c r="A1863" s="1">
        <v>5.0</v>
      </c>
      <c r="B1863" s="1" t="s">
        <v>1853</v>
      </c>
      <c r="C1863" t="str">
        <f>IFERROR(__xludf.DUMMYFUNCTION("GOOGLETRANSLATE(B1863, ""es"", ""en"")"),"Perfect! They are the most comfortable shoes I've never been, I recommend 100% !!")</f>
        <v>Perfect! They are the most comfortable shoes I've never been, I recommend 100% !!</v>
      </c>
    </row>
    <row r="1864">
      <c r="A1864" s="1">
        <v>5.0</v>
      </c>
      <c r="B1864" s="1" t="s">
        <v>1854</v>
      </c>
      <c r="C1864" t="str">
        <f>IFERROR(__xludf.DUMMYFUNCTION("GOOGLETRANSLATE(B1864, ""es"", ""en"")"),"very good I like everything comfortable")</f>
        <v>very good I like everything comfortable</v>
      </c>
    </row>
    <row r="1865">
      <c r="A1865" s="1">
        <v>5.0</v>
      </c>
      <c r="B1865" s="1" t="s">
        <v>1855</v>
      </c>
      <c r="C1865" t="str">
        <f>IFERROR(__xludf.DUMMYFUNCTION("GOOGLETRANSLATE(B1865, ""es"", ""en"")"),"Good Oscar velvet brush discs, does not scratch and remove the dust particles easily, as the lid paste containing the cleaning brush is slightly loose.")</f>
        <v>Good Oscar velvet brush discs, does not scratch and remove the dust particles easily, as the lid paste containing the cleaning brush is slightly loose.</v>
      </c>
    </row>
    <row r="1866">
      <c r="A1866" s="1">
        <v>2.0</v>
      </c>
      <c r="B1866" s="1" t="s">
        <v>1856</v>
      </c>
      <c r="C1866" t="str">
        <f>IFERROR(__xludf.DUMMYFUNCTION("GOOGLETRANSLATE(B1866, ""es"", ""en"")"),"Good disappointment, I come to the shelter today and it turns out that the inside pocket is broken and has a hole")</f>
        <v>Good disappointment, I come to the shelter today and it turns out that the inside pocket is broken and has a hole</v>
      </c>
    </row>
    <row r="1867">
      <c r="A1867" s="1">
        <v>3.0</v>
      </c>
      <c r="B1867" s="1" t="s">
        <v>1857</v>
      </c>
      <c r="C1867" t="str">
        <f>IFERROR(__xludf.DUMMYFUNCTION("GOOGLETRANSLATE(B1867, ""es"", ""en"")"),"Good sound, but bad at everything else. The sound quality is good, but the manufacturing materials are bad (I broke a few weeks of use) and shape of the hulls is very uncomfortable to the point of hurting. And if I had to devir more, it lacks a volume con"&amp;"troller as well as a button to pause music and skip songs.")</f>
        <v>Good sound, but bad at everything else. The sound quality is good, but the manufacturing materials are bad (I broke a few weeks of use) and shape of the hulls is very uncomfortable to the point of hurting. And if I had to devir more, it lacks a volume controller as well as a button to pause music and skip songs.</v>
      </c>
    </row>
    <row r="1868">
      <c r="A1868" s="1">
        <v>3.0</v>
      </c>
      <c r="B1868" s="1" t="s">
        <v>1858</v>
      </c>
      <c r="C1868" t="str">
        <f>IFERROR(__xludf.DUMMYFUNCTION("GOOGLETRANSLATE(B1868, ""es"", ""en"")"),"Meli very small number")</f>
        <v>Meli very small number</v>
      </c>
    </row>
    <row r="1869">
      <c r="A1869" s="1">
        <v>1.0</v>
      </c>
      <c r="B1869" s="1" t="s">
        <v>1859</v>
      </c>
      <c r="C1869" t="str">
        <f>IFERROR(__xludf.DUMMYFUNCTION("GOOGLETRANSLATE(B1869, ""es"", ""en"")"),"False is false, do not buy it but some models are fake pictures online look at him")</f>
        <v>False is false, do not buy it but some models are fake pictures online look at him</v>
      </c>
    </row>
    <row r="1870">
      <c r="A1870" s="1">
        <v>1.0</v>
      </c>
      <c r="B1870" s="1" t="s">
        <v>1860</v>
      </c>
      <c r="C1870" t="str">
        <f>IFERROR(__xludf.DUMMYFUNCTION("GOOGLETRANSLATE(B1870, ""es"", ""en"")"),"Eye, something cheap is cheap for what it is and the price it is what is described. Simple, inexpensive and useful. Of time I actually works perfect and is water resistant to normal activities swimming in fresh water. I correct after a few months of use: "&amp;"Replace the battery to the month because it stopped working. Yesterday again equal. Result: watch away.")</f>
        <v>Eye, something cheap is cheap for what it is and the price it is what is described. Simple, inexpensive and useful. Of time I actually works perfect and is water resistant to normal activities swimming in fresh water. I correct after a few months of use: Replace the battery to the month because it stopped working. Yesterday again equal. Result: watch away.</v>
      </c>
    </row>
    <row r="1871">
      <c r="A1871" s="1">
        <v>4.0</v>
      </c>
      <c r="B1871" s="1" t="s">
        <v>1861</v>
      </c>
      <c r="C1871" t="str">
        <f>IFERROR(__xludf.DUMMYFUNCTION("GOOGLETRANSLATE(B1871, ""es"", ""en"")"),"Well I had the clock for several weeks. It does everything it claims. I bought it because I wanted an easy dial to see without using my reading glasses. I watched 24/7 even in the shower without problems I Have had the watch for Several weeks. It does all"&amp;" that is Claimed. I bought it as I wanted an easy to see dial without the need to wear my reading Spectacles. I wear 24/7 Including in the shower without any problem")</f>
        <v>Well I had the clock for several weeks. It does everything it claims. I bought it because I wanted an easy dial to see without using my reading glasses. I watched 24/7 even in the shower without problems I Have had the watch for Several weeks. It does all that is Claimed. I bought it as I wanted an easy to see dial without the need to wear my reading Spectacles. I wear 24/7 Including in the shower without any problem</v>
      </c>
    </row>
    <row r="1872">
      <c r="A1872" s="1">
        <v>4.0</v>
      </c>
      <c r="B1872" s="1" t="s">
        <v>1862</v>
      </c>
      <c r="C1872" t="str">
        <f>IFERROR(__xludf.DUMMYFUNCTION("GOOGLETRANSLATE(B1872, ""es"", ""en"")"),"Very high in back I ordered a 37 which is the size you used and I is a big Pelin, that I've solved it by putting some templates, do their job, do not slip and are nice but the fault is that they are too high in the heel and when make a day 10 or 14h with "&amp;"just the feet and legs destroyed, it is almost like working on heels. For shorter working days are ideal because with the air chamber seems Andes floating, failure is the height of the heel")</f>
        <v>Very high in back I ordered a 37 which is the size you used and I is a big Pelin, that I've solved it by putting some templates, do their job, do not slip and are nice but the fault is that they are too high in the heel and when make a day 10 or 14h with just the feet and legs destroyed, it is almost like working on heels. For shorter working days are ideal because with the air chamber seems Andes floating, failure is the height of the heel</v>
      </c>
    </row>
    <row r="1873">
      <c r="A1873" s="1">
        <v>4.0</v>
      </c>
      <c r="B1873" s="1" t="s">
        <v>1863</v>
      </c>
      <c r="C1873" t="str">
        <f>IFERROR(__xludf.DUMMYFUNCTION("GOOGLETRANSLATE(B1873, ""es"", ""en"")"),"Right Slightly smaller than expected q. The design is very nice")</f>
        <v>Right Slightly smaller than expected q. The design is very nice</v>
      </c>
    </row>
    <row r="1874">
      <c r="A1874" s="1">
        <v>4.0</v>
      </c>
      <c r="B1874" s="1" t="s">
        <v>1864</v>
      </c>
      <c r="C1874" t="str">
        <f>IFERROR(__xludf.DUMMYFUNCTION("GOOGLETRANSLATE(B1874, ""es"", ""en"")"),"Comfortable and good organization Although the filer is plastic is very convenient for organizing documents and with great capacity.")</f>
        <v>Comfortable and good organization Although the filer is plastic is very convenient for organizing documents and with great capacity.</v>
      </c>
    </row>
    <row r="1875">
      <c r="A1875" s="1">
        <v>5.0</v>
      </c>
      <c r="B1875" s="1" t="s">
        <v>1865</v>
      </c>
      <c r="C1875" t="str">
        <f>IFERROR(__xludf.DUMMYFUNCTION("GOOGLETRANSLATE(B1875, ""es"", ""en"")"),"Good value for money Good quality for the price being an expensive brand")</f>
        <v>Good value for money Good quality for the price being an expensive brand</v>
      </c>
    </row>
    <row r="1876">
      <c r="A1876" s="1">
        <v>5.0</v>
      </c>
      <c r="B1876" s="1" t="s">
        <v>1866</v>
      </c>
      <c r="C1876" t="str">
        <f>IFERROR(__xludf.DUMMYFUNCTION("GOOGLETRANSLATE(B1876, ""es"", ""en"")"),"Guaranteed quality It is buying penalty, the people behind this product are people working to improve day after day and it shows, nothing else to buy it before I arrive I knew already that I sent an email thanking them for esque buy it and see nothing but"&amp;" notes headphones that have very well kept, they are comfortable, durable and have a nice cable. Recommended if you want quality headphones.")</f>
        <v>Guaranteed quality It is buying penalty, the people behind this product are people working to improve day after day and it shows, nothing else to buy it before I arrive I knew already that I sent an email thanking them for esque buy it and see nothing but notes headphones that have very well kept, they are comfortable, durable and have a nice cable. Recommended if you want quality headphones.</v>
      </c>
    </row>
    <row r="1877">
      <c r="A1877" s="1">
        <v>5.0</v>
      </c>
      <c r="B1877" s="1" t="s">
        <v>1867</v>
      </c>
      <c r="C1877" t="str">
        <f>IFERROR(__xludf.DUMMYFUNCTION("GOOGLETRANSLATE(B1877, ""es"", ""en"")"),"Perfect for the price they have surprised me a lot. Good sound and control functions other thing that does not happen.")</f>
        <v>Perfect for the price they have surprised me a lot. Good sound and control functions other thing that does not happen.</v>
      </c>
    </row>
    <row r="1878">
      <c r="A1878" s="1">
        <v>5.0</v>
      </c>
      <c r="B1878" s="1" t="s">
        <v>1868</v>
      </c>
      <c r="C1878" t="str">
        <f>IFERROR(__xludf.DUMMYFUNCTION("GOOGLETRANSLATE(B1878, ""es"", ""en"")"),"I ordered my usual came big size in shoes but this style came to me bigger, recommend buying a number less usual. However I asked for the change, and came three days the other pair. I recommend it.")</f>
        <v>I ordered my usual came big size in shoes but this style came to me bigger, recommend buying a number less usual. However I asked for the change, and came three days the other pair. I recommend it.</v>
      </c>
    </row>
    <row r="1879">
      <c r="A1879" s="1">
        <v>5.0</v>
      </c>
      <c r="B1879" s="1" t="s">
        <v>1869</v>
      </c>
      <c r="C1879" t="str">
        <f>IFERROR(__xludf.DUMMYFUNCTION("GOOGLETRANSLATE(B1879, ""es"", ""en"")"),"As the speed with order")</f>
        <v>As the speed with order</v>
      </c>
    </row>
    <row r="1880">
      <c r="A1880" s="1">
        <v>5.0</v>
      </c>
      <c r="B1880" s="1" t="s">
        <v>1870</v>
      </c>
      <c r="C1880" t="str">
        <f>IFERROR(__xludf.DUMMYFUNCTION("GOOGLETRANSLATE(B1880, ""es"", ""en"")"),"Perfect in everything! The product is silicon and stainless steel. Price / excellent quality, easy to use and wash. I recommend it 100% purchase great.")</f>
        <v>Perfect in everything! The product is silicon and stainless steel. Price / excellent quality, easy to use and wash. I recommend it 100% purchase great.</v>
      </c>
    </row>
    <row r="1881">
      <c r="A1881" s="1">
        <v>5.0</v>
      </c>
      <c r="B1881" s="1" t="s">
        <v>1871</v>
      </c>
      <c r="C1881" t="str">
        <f>IFERROR(__xludf.DUMMYFUNCTION("GOOGLETRANSLATE(B1881, ""es"", ""en"")"),"The price is awesome and you get it FAST !! I LOVE this article I LOVE this article &amp; nbsp;! I Amazon Music on my phone and now this makes it much easier not to mention the ability to answer calls. &amp; Nbsp; The price is awesome and you get it FAST !!")</f>
        <v>The price is awesome and you get it FAST !! I LOVE this article I LOVE this article &amp; nbsp;! I Amazon Music on my phone and now this makes it much easier not to mention the ability to answer calls. &amp; Nbsp; The price is awesome and you get it FAST !!</v>
      </c>
    </row>
    <row r="1882">
      <c r="A1882" s="1">
        <v>5.0</v>
      </c>
      <c r="B1882" s="1" t="s">
        <v>1872</v>
      </c>
      <c r="C1882" t="str">
        <f>IFERROR(__xludf.DUMMYFUNCTION("GOOGLETRANSLATE(B1882, ""es"", ""en"")"),"A very functional wonder I have left quite surprised, I wanted to listen to music, but testing I realized that they are extremely versatile, as the can use hands-free talking on the phone (both wired and BT) that can use a headset for the Xbox, connecting"&amp;" cable to the controller with adapter to CTIA OMTP. Very happy with the purchase.")</f>
        <v>A very functional wonder I have left quite surprised, I wanted to listen to music, but testing I realized that they are extremely versatile, as the can use hands-free talking on the phone (both wired and BT) that can use a headset for the Xbox, connecting cable to the controller with adapter to CTIA OMTP. Very happy with the purchase.</v>
      </c>
    </row>
    <row r="1883">
      <c r="A1883" s="1">
        <v>5.0</v>
      </c>
      <c r="B1883" s="1" t="s">
        <v>1873</v>
      </c>
      <c r="C1883" t="str">
        <f>IFERROR(__xludf.DUMMYFUNCTION("GOOGLETRANSLATE(B1883, ""es"", ""en"")"),"Oriculares I go beautifully pole to take down the oricular calls even with another brand TLF with xiaomi")</f>
        <v>Oriculares I go beautifully pole to take down the oricular calls even with another brand TLF with xiaomi</v>
      </c>
    </row>
    <row r="1884">
      <c r="A1884" s="1">
        <v>5.0</v>
      </c>
      <c r="B1884" s="1" t="s">
        <v>1874</v>
      </c>
      <c r="C1884" t="str">
        <f>IFERROR(__xludf.DUMMYFUNCTION("GOOGLETRANSLATE(B1884, ""es"", ""en"")"),"Good blender has so far not given me any problems. Working properly and you can be quickly disassembled for cleaning. I recommend it")</f>
        <v>Good blender has so far not given me any problems. Working properly and you can be quickly disassembled for cleaning. I recommend it</v>
      </c>
    </row>
    <row r="1885">
      <c r="A1885" s="1">
        <v>5.0</v>
      </c>
      <c r="B1885" s="1" t="s">
        <v>1875</v>
      </c>
      <c r="C1885" t="str">
        <f>IFERROR(__xludf.DUMMYFUNCTION("GOOGLETRANSLATE(B1885, ""es"", ""en"")"),"Perfect is very nice to buy it for my father does not see very well and is contentisimo")</f>
        <v>Perfect is very nice to buy it for my father does not see very well and is contentisimo</v>
      </c>
    </row>
    <row r="1886">
      <c r="A1886" s="1">
        <v>5.0</v>
      </c>
      <c r="B1886" s="1" t="s">
        <v>1876</v>
      </c>
      <c r="C1886" t="str">
        <f>IFERROR(__xludf.DUMMYFUNCTION("GOOGLETRANSLATE(B1886, ""es"", ""en"")"),"Good it makes its role in short,")</f>
        <v>Good it makes its role in short,</v>
      </c>
    </row>
    <row r="1887">
      <c r="A1887" s="1">
        <v>5.0</v>
      </c>
      <c r="B1887" s="1" t="s">
        <v>1425</v>
      </c>
      <c r="C1887" t="str">
        <f>IFERROR(__xludf.DUMMYFUNCTION("GOOGLETRANSLATE(B1887, ""es"", ""en"")"),"perfect perfect")</f>
        <v>perfect perfect</v>
      </c>
    </row>
    <row r="1888">
      <c r="A1888" s="1">
        <v>5.0</v>
      </c>
      <c r="B1888" s="1" t="s">
        <v>1877</v>
      </c>
      <c r="C1888" t="str">
        <f>IFERROR(__xludf.DUMMYFUNCTION("GOOGLETRANSLATE(B1888, ""es"", ""en"")"),"Small and spacious Great for day to day portfolio fits perfectly mobile keys and a little something more")</f>
        <v>Small and spacious Great for day to day portfolio fits perfectly mobile keys and a little something more</v>
      </c>
    </row>
    <row r="1889">
      <c r="A1889" s="1">
        <v>5.0</v>
      </c>
      <c r="B1889" s="1" t="s">
        <v>1878</v>
      </c>
      <c r="C1889" t="str">
        <f>IFERROR(__xludf.DUMMYFUNCTION("GOOGLETRANSLATE(B1889, ""es"", ""en"")"),"Very nice and simple missus have loved you. Weigh nothing at all and he says they are comfortable. By design theme they are very nice and simple at the same time. I recommend it. In addition, as a detail, it is something that attracts attention and surely"&amp;" like.")</f>
        <v>Very nice and simple missus have loved you. Weigh nothing at all and he says they are comfortable. By design theme they are very nice and simple at the same time. I recommend it. In addition, as a detail, it is something that attracts attention and surely like.</v>
      </c>
    </row>
    <row r="1890">
      <c r="A1890" s="1">
        <v>5.0</v>
      </c>
      <c r="B1890" s="1" t="s">
        <v>1879</v>
      </c>
      <c r="C1890" t="str">
        <f>IFERROR(__xludf.DUMMYFUNCTION("GOOGLETRANSLATE(B1890, ""es"", ""en"")"),"Ok Comfortable sizes are very very fair")</f>
        <v>Ok Comfortable sizes are very very fair</v>
      </c>
    </row>
    <row r="1891">
      <c r="A1891" s="1">
        <v>5.0</v>
      </c>
      <c r="B1891" s="1" t="s">
        <v>1880</v>
      </c>
      <c r="C1891" t="str">
        <f>IFERROR(__xludf.DUMMYFUNCTION("GOOGLETRANSLATE(B1891, ""es"", ""en"")"),"Atria bluetooth I have really enjoyed these Bluetooth headphones. I find them a good choice for value for money. They are very comfortable to wear, do not bother though use for extended periods like me. The operation is very simple and pairing with the pl"&amp;"ayer has not given me problems at any time. They come in a box or carrying case with 800mAh battery, which can fully charge the headset from 7 or 8 times before having to recharge the battery. The truth is that you hear very well; I use them in the gym an"&amp;"d have always heard so sharp. For now I am very satisfied with the purchase.")</f>
        <v>Atria bluetooth I have really enjoyed these Bluetooth headphones. I find them a good choice for value for money. They are very comfortable to wear, do not bother though use for extended periods like me. The operation is very simple and pairing with the player has not given me problems at any time. They come in a box or carrying case with 800mAh battery, which can fully charge the headset from 7 or 8 times before having to recharge the battery. The truth is that you hear very well; I use them in the gym and have always heard so sharp. For now I am very satisfied with the purchase.</v>
      </c>
    </row>
    <row r="1892">
      <c r="A1892" s="1">
        <v>5.0</v>
      </c>
      <c r="B1892" s="1" t="s">
        <v>1881</v>
      </c>
      <c r="C1892" t="str">
        <f>IFERROR(__xludf.DUMMYFUNCTION("GOOGLETRANSLATE(B1892, ""es"", ""en"")"),"Very good truth are very comfortable to work are perfect and are very breathable s are very light and very good product")</f>
        <v>Very good truth are very comfortable to work are perfect and are very breathable s are very light and very good product</v>
      </c>
    </row>
    <row r="1893">
      <c r="A1893" s="1">
        <v>5.0</v>
      </c>
      <c r="B1893" s="1" t="s">
        <v>1882</v>
      </c>
      <c r="C1893" t="str">
        <f>IFERROR(__xludf.DUMMYFUNCTION("GOOGLETRANSLATE(B1893, ""es"", ""en"")"),"Excellent excellent design stainless steel design. It works very well.")</f>
        <v>Excellent excellent design stainless steel design. It works very well.</v>
      </c>
    </row>
    <row r="1894">
      <c r="A1894" s="1">
        <v>2.0</v>
      </c>
      <c r="B1894" s="1" t="s">
        <v>1883</v>
      </c>
      <c r="C1894" t="str">
        <f>IFERROR(__xludf.DUMMYFUNCTION("GOOGLETRANSLATE(B1894, ""es"", ""en"")"),"It's not what I was looking only takes reinforcement to sweat at the waist, not at all pantalon")</f>
        <v>It's not what I was looking only takes reinforcement to sweat at the waist, not at all pantalon</v>
      </c>
    </row>
    <row r="1895">
      <c r="A1895" s="1">
        <v>3.0</v>
      </c>
      <c r="B1895" s="1" t="s">
        <v>1884</v>
      </c>
      <c r="C1895" t="str">
        <f>IFERROR(__xludf.DUMMYFUNCTION("GOOGLETRANSLATE(B1895, ""es"", ""en"")"),"Okay but small article it is fine. However, it is not what we already expected that the clock is small enough for a normal adult wrist. If not buy it when I saw good specifications, but I think they were not fastened securely. Anyway, I'm just saying be c"&amp;"areful because it can be much smaller than you think.")</f>
        <v>Okay but small article it is fine. However, it is not what we already expected that the clock is small enough for a normal adult wrist. If not buy it when I saw good specifications, but I think they were not fastened securely. Anyway, I'm just saying be careful because it can be much smaller than you think.</v>
      </c>
    </row>
    <row r="1896">
      <c r="A1896" s="1">
        <v>1.0</v>
      </c>
      <c r="B1896" s="1" t="s">
        <v>1885</v>
      </c>
      <c r="C1896" t="str">
        <f>IFERROR(__xludf.DUMMYFUNCTION("GOOGLETRANSLATE(B1896, ""es"", ""en"")"),"Frail Poor quality")</f>
        <v>Frail Poor quality</v>
      </c>
    </row>
    <row r="1897">
      <c r="A1897" s="1">
        <v>1.0</v>
      </c>
      <c r="B1897" s="1" t="s">
        <v>1886</v>
      </c>
      <c r="C1897" t="str">
        <f>IFERROR(__xludf.DUMMYFUNCTION("GOOGLETRANSLATE(B1897, ""es"", ""en"")"),"Disgusting Puts it is a universal microphone stand, trying to use it to mine he has scratched to complete this practically to pull, and logically do not take care of the repair or replacement of the microphone")</f>
        <v>Disgusting Puts it is a universal microphone stand, trying to use it to mine he has scratched to complete this practically to pull, and logically do not take care of the repair or replacement of the microphone</v>
      </c>
    </row>
    <row r="1898">
      <c r="A1898" s="1">
        <v>4.0</v>
      </c>
      <c r="B1898" s="1" t="s">
        <v>1887</v>
      </c>
      <c r="C1898" t="str">
        <f>IFERROR(__xludf.DUMMYFUNCTION("GOOGLETRANSLATE(B1898, ""es"", ""en"")"),"For home user more than enough suitable only for simultaneous voice and a guitar")</f>
        <v>For home user more than enough suitable only for simultaneous voice and a guitar</v>
      </c>
    </row>
    <row r="1899">
      <c r="A1899" s="1">
        <v>4.0</v>
      </c>
      <c r="B1899" s="1" t="s">
        <v>1888</v>
      </c>
      <c r="C1899" t="str">
        <f>IFERROR(__xludf.DUMMYFUNCTION("GOOGLETRANSLATE(B1899, ""es"", ""en"")"),"Perfect fit foot Perfectly fit the foot, which is important when making routes up the mountain. But for my taste, exert too much pressure on the ankle (and my ankles are fine) and can cause feet to swell while walking.")</f>
        <v>Perfect fit foot Perfectly fit the foot, which is important when making routes up the mountain. But for my taste, exert too much pressure on the ankle (and my ankles are fine) and can cause feet to swell while walking.</v>
      </c>
    </row>
    <row r="1900">
      <c r="A1900" s="1">
        <v>4.0</v>
      </c>
      <c r="B1900" s="1" t="s">
        <v>1889</v>
      </c>
      <c r="C1900" t="str">
        <f>IFERROR(__xludf.DUMMYFUNCTION("GOOGLETRANSLATE(B1900, ""es"", ""en"")"),"Cheap and sturdy After evaluating the different formats pendrive and many existing brands, I decided on this for comments he had robustness and competitive price. I love the design, it is small, elegant and seems durable, but it only would it would it wou"&amp;"ld be interesting to incorporate an indicator LED read / write data.")</f>
        <v>Cheap and sturdy After evaluating the different formats pendrive and many existing brands, I decided on this for comments he had robustness and competitive price. I love the design, it is small, elegant and seems durable, but it only would it would it would be interesting to incorporate an indicator LED read / write data.</v>
      </c>
    </row>
    <row r="1901">
      <c r="A1901" s="1">
        <v>4.0</v>
      </c>
      <c r="B1901" s="1" t="s">
        <v>1890</v>
      </c>
      <c r="C1901" t="str">
        <f>IFERROR(__xludf.DUMMYFUNCTION("GOOGLETRANSLATE(B1901, ""es"", ""en"")"),"ENCHANTED've been using it a few weeks and just what I needed. Does not occupy much space and stored as juice (is poured directly into the glasses) can squeeze much or little without having to empty the jar. It is easy to clean and resistant material. The"&amp;" price seemed right to me.")</f>
        <v>ENCHANTED've been using it a few weeks and just what I needed. Does not occupy much space and stored as juice (is poured directly into the glasses) can squeeze much or little without having to empty the jar. It is easy to clean and resistant material. The price seemed right to me.</v>
      </c>
    </row>
    <row r="1902">
      <c r="A1902" s="1">
        <v>4.0</v>
      </c>
      <c r="B1902" s="1" t="s">
        <v>1891</v>
      </c>
      <c r="C1902" t="str">
        <f>IFERROR(__xludf.DUMMYFUNCTION("GOOGLETRANSLATE(B1902, ""es"", ""en"")"),"I feel comfortable good product, good fabric and clothing")</f>
        <v>I feel comfortable good product, good fabric and clothing</v>
      </c>
    </row>
    <row r="1903">
      <c r="A1903" s="1">
        <v>5.0</v>
      </c>
      <c r="B1903" s="1" t="s">
        <v>1892</v>
      </c>
      <c r="C1903" t="str">
        <f>IFERROR(__xludf.DUMMYFUNCTION("GOOGLETRANSLATE(B1903, ""es"", ""en"")"),"Good comfortable, to say of them, are Havaianas !!!")</f>
        <v>Good comfortable, to say of them, are Havaianas !!!</v>
      </c>
    </row>
    <row r="1904">
      <c r="A1904" s="1">
        <v>5.0</v>
      </c>
      <c r="B1904" s="1" t="s">
        <v>1893</v>
      </c>
      <c r="C1904" t="str">
        <f>IFERROR(__xludf.DUMMYFUNCTION("GOOGLETRANSLATE(B1904, ""es"", ""en"")"),"Better than expected Boil water in no time. Infusions were prepared at a time as the jug is removed from the base and is heat. Exceptional value to the least when I buy it. I arrive before marking time. Cable has collected at the bottom. When you buy must"&amp;" take into account that it is a device with high power more than 2500 w., But this is what makes the water boil in a jiffy.")</f>
        <v>Better than expected Boil water in no time. Infusions were prepared at a time as the jug is removed from the base and is heat. Exceptional value to the least when I buy it. I arrive before marking time. Cable has collected at the bottom. When you buy must take into account that it is a device with high power more than 2500 w., But this is what makes the water boil in a jiffy.</v>
      </c>
    </row>
    <row r="1905">
      <c r="A1905" s="1">
        <v>5.0</v>
      </c>
      <c r="B1905" s="1" t="s">
        <v>1894</v>
      </c>
      <c r="C1905" t="str">
        <f>IFERROR(__xludf.DUMMYFUNCTION("GOOGLETRANSLATE(B1905, ""es"", ""en"")"),"They buy perfect sneakers are perfect, I love and arrived earlier than expected. I am delighted with this purchase. They are very comfortable")</f>
        <v>They buy perfect sneakers are perfect, I love and arrived earlier than expected. I am delighted with this purchase. They are very comfortable</v>
      </c>
    </row>
    <row r="1906">
      <c r="A1906" s="1">
        <v>5.0</v>
      </c>
      <c r="B1906" s="1" t="s">
        <v>1895</v>
      </c>
      <c r="C1906" t="str">
        <f>IFERROR(__xludf.DUMMYFUNCTION("GOOGLETRANSLATE(B1906, ""es"", ""en"")"),"Fscil to use and clean This beautifully Value")</f>
        <v>Fscil to use and clean This beautifully Value</v>
      </c>
    </row>
    <row r="1907">
      <c r="A1907" s="1">
        <v>5.0</v>
      </c>
      <c r="B1907" s="1" t="s">
        <v>1896</v>
      </c>
      <c r="C1907" t="str">
        <f>IFERROR(__xludf.DUMMYFUNCTION("GOOGLETRANSLATE(B1907, ""es"", ""en"")"),"Very comfortable Super comfortable right size. Maybe something small for travel. Quality materials.")</f>
        <v>Very comfortable Super comfortable right size. Maybe something small for travel. Quality materials.</v>
      </c>
    </row>
    <row r="1908">
      <c r="A1908" s="1">
        <v>5.0</v>
      </c>
      <c r="B1908" s="1" t="s">
        <v>1897</v>
      </c>
      <c r="C1908" t="str">
        <f>IFERROR(__xludf.DUMMYFUNCTION("GOOGLETRANSLATE(B1908, ""es"", ""en"")"),"Fun and entertaining comes disassembled ... but if you follow the instructions is fairly easy, but takes time. A very original gift because you can decorate it as you like. Come a lot of stuff in a bag, it's fun and entertaining. A great idea.")</f>
        <v>Fun and entertaining comes disassembled ... but if you follow the instructions is fairly easy, but takes time. A very original gift because you can decorate it as you like. Come a lot of stuff in a bag, it's fun and entertaining. A great idea.</v>
      </c>
    </row>
    <row r="1909">
      <c r="A1909" s="1">
        <v>5.0</v>
      </c>
      <c r="B1909" s="1" t="s">
        <v>1898</v>
      </c>
      <c r="C1909" t="str">
        <f>IFERROR(__xludf.DUMMYFUNCTION("GOOGLETRANSLATE(B1909, ""es"", ""en"")"),"Perfect had already bought other products from this brand and I had liked the presentation: sending, accessories, instructions, .. and headphones are no less: the box comes with replacement pads, calipers clamping, all well finished and packed . The sound"&amp;" of headphones, super time.")</f>
        <v>Perfect had already bought other products from this brand and I had liked the presentation: sending, accessories, instructions, .. and headphones are no less: the box comes with replacement pads, calipers clamping, all well finished and packed . The sound of headphones, super time.</v>
      </c>
    </row>
    <row r="1910">
      <c r="A1910" s="1">
        <v>5.0</v>
      </c>
      <c r="B1910" s="1" t="s">
        <v>1899</v>
      </c>
      <c r="C1910" t="str">
        <f>IFERROR(__xludf.DUMMYFUNCTION("GOOGLETRANSLATE(B1910, ""es"", ""en"")"),"Good quality us sing my grandson is like crazy with his sweatshirt")</f>
        <v>Good quality us sing my grandson is like crazy with his sweatshirt</v>
      </c>
    </row>
    <row r="1911">
      <c r="A1911" s="1">
        <v>5.0</v>
      </c>
      <c r="B1911" s="1" t="s">
        <v>1900</v>
      </c>
      <c r="C1911" t="str">
        <f>IFERROR(__xludf.DUMMYFUNCTION("GOOGLETRANSLATE(B1911, ""es"", ""en"")"),"Great buy if somewhat expensive large kettle Bosh, which lets you heat it up to 70, 80, 90 or 100 degrees and goes only to the reach the desired temperature. Heated from half a liter to a 1.5 L. it is nice and works perfectly")</f>
        <v>Great buy if somewhat expensive large kettle Bosh, which lets you heat it up to 70, 80, 90 or 100 degrees and goes only to the reach the desired temperature. Heated from half a liter to a 1.5 L. it is nice and works perfectly</v>
      </c>
    </row>
    <row r="1912">
      <c r="A1912" s="1">
        <v>5.0</v>
      </c>
      <c r="B1912" s="1" t="s">
        <v>1901</v>
      </c>
      <c r="C1912" t="str">
        <f>IFERROR(__xludf.DUMMYFUNCTION("GOOGLETRANSLATE(B1912, ""es"", ""en"")"),"Soft lemon scent. I loved this oil. The shipping was very fast. What I like is more soft smell of lemon leaves. Very sweet but not sickly. I used a diffuser essence and dissolved great. He used it for their propiadades that are used in aromatherapy energi"&amp;"zing, anti-inflammatory. It's intense but smooth. It can also be used for scrubbing. A drop or two in the mop bucket and perfuming the house. highly recommended")</f>
        <v>Soft lemon scent. I loved this oil. The shipping was very fast. What I like is more soft smell of lemon leaves. Very sweet but not sickly. I used a diffuser essence and dissolved great. He used it for their propiadades that are used in aromatherapy energizing, anti-inflammatory. It's intense but smooth. It can also be used for scrubbing. A drop or two in the mop bucket and perfuming the house. highly recommended</v>
      </c>
    </row>
    <row r="1913">
      <c r="A1913" s="1">
        <v>5.0</v>
      </c>
      <c r="B1913" s="1" t="s">
        <v>1902</v>
      </c>
      <c r="C1913" t="str">
        <f>IFERROR(__xludf.DUMMYFUNCTION("GOOGLETRANSLATE(B1913, ""es"", ""en"")"),"Very good watch good value for money Very nice blue and elegant think it worth buying without a doubt")</f>
        <v>Very good watch good value for money Very nice blue and elegant think it worth buying without a doubt</v>
      </c>
    </row>
    <row r="1914">
      <c r="A1914" s="1">
        <v>5.0</v>
      </c>
      <c r="B1914" s="1" t="s">
        <v>1903</v>
      </c>
      <c r="C1914" t="str">
        <f>IFERROR(__xludf.DUMMYFUNCTION("GOOGLETRANSLATE(B1914, ""es"", ""en"")"),"Very useful for everyday The truth is that I bought to try and I've used it every day since I arrived. Does not occupy any space (I have it mounted in a corner of the kitchen), it is very convenient to use and keep clean, weighs nothing, and collects part"&amp;"icles even better than a normal broom! It is clear that he has surprised me very positively.")</f>
        <v>Very useful for everyday The truth is that I bought to try and I've used it every day since I arrived. Does not occupy any space (I have it mounted in a corner of the kitchen), it is very convenient to use and keep clean, weighs nothing, and collects particles even better than a normal broom! It is clear that he has surprised me very positively.</v>
      </c>
    </row>
    <row r="1915">
      <c r="A1915" s="1">
        <v>5.0</v>
      </c>
      <c r="B1915" s="1" t="s">
        <v>1904</v>
      </c>
      <c r="C1915" t="str">
        <f>IFERROR(__xludf.DUMMYFUNCTION("GOOGLETRANSLATE(B1915, ""es"", ""en"")"),"Simple and nice. This great gift or for oneself. It is simple and very nice. The. Chain is the correct measure reaches the belly perfectly so that the baby can hear without problems ad. It comes pretty fast.")</f>
        <v>Simple and nice. This great gift or for oneself. It is simple and very nice. The. Chain is the correct measure reaches the belly perfectly so that the baby can hear without problems ad. It comes pretty fast.</v>
      </c>
    </row>
    <row r="1916">
      <c r="A1916" s="1">
        <v>5.0</v>
      </c>
      <c r="B1916" s="1" t="s">
        <v>1905</v>
      </c>
      <c r="C1916" t="str">
        <f>IFERROR(__xludf.DUMMYFUNCTION("GOOGLETRANSLATE(B1916, ""es"", ""en"")"),"Okay No problem, just what I expected, accurate, convenient and very helpful being able to change the head to use the guide you want")</f>
        <v>Okay No problem, just what I expected, accurate, convenient and very helpful being able to change the head to use the guide you want</v>
      </c>
    </row>
    <row r="1917">
      <c r="A1917" s="1">
        <v>5.0</v>
      </c>
      <c r="B1917" s="1" t="s">
        <v>1906</v>
      </c>
      <c r="C1917" t="str">
        <f>IFERROR(__xludf.DUMMYFUNCTION("GOOGLETRANSLATE(B1917, ""es"", ""en"")"),"They are not shoes to give them too harshly. Then a little dissatisfaction break off the sole is 1 day. The manufacturer kindly told me, I would send others after 3 months I have not received anything.")</f>
        <v>They are not shoes to give them too harshly. Then a little dissatisfaction break off the sole is 1 day. The manufacturer kindly told me, I would send others after 3 months I have not received anything.</v>
      </c>
    </row>
    <row r="1918">
      <c r="A1918" s="1">
        <v>5.0</v>
      </c>
      <c r="B1918" s="1" t="s">
        <v>1907</v>
      </c>
      <c r="C1918" t="str">
        <f>IFERROR(__xludf.DUMMYFUNCTION("GOOGLETRANSLATE(B1918, ""es"", ""en"")"),"They are much better than imitations for my son, and noticed a huge change among similar white sandals and these marks. If used intensively vain worth the price difference.")</f>
        <v>They are much better than imitations for my son, and noticed a huge change among similar white sandals and these marks. If used intensively vain worth the price difference.</v>
      </c>
    </row>
    <row r="1919">
      <c r="A1919" s="1">
        <v>5.0</v>
      </c>
      <c r="B1919" s="1" t="s">
        <v>1908</v>
      </c>
      <c r="C1919" t="str">
        <f>IFERROR(__xludf.DUMMYFUNCTION("GOOGLETRANSLATE(B1919, ""es"", ""en"")"),"Very nice Ditto")</f>
        <v>Very nice Ditto</v>
      </c>
    </row>
    <row r="1920">
      <c r="A1920" s="1">
        <v>5.0</v>
      </c>
      <c r="B1920" s="1" t="s">
        <v>1909</v>
      </c>
      <c r="C1920" t="str">
        <f>IFERROR(__xludf.DUMMYFUNCTION("GOOGLETRANSLATE(B1920, ""es"", ""en"")"),"Cozy and comfortable I use them to work in the hospital and are very comfortable. I use size 38, and I grabbed the size 37-38 and I are perfect!")</f>
        <v>Cozy and comfortable I use them to work in the hospital and are very comfortable. I use size 38, and I grabbed the size 37-38 and I are perfect!</v>
      </c>
    </row>
    <row r="1921">
      <c r="A1921" s="1">
        <v>2.0</v>
      </c>
      <c r="B1921" s="1" t="s">
        <v>1910</v>
      </c>
      <c r="C1921" t="str">
        <f>IFERROR(__xludf.DUMMYFUNCTION("GOOGLETRANSLATE(B1921, ""es"", ""en"")"),"Incomodísimos The sound quality is good and synchronization with iPhone is very simple. Now, they are incredibly uncomfortable. They are very bulky and difficult to fit them into the ear, plus the hooks so that you have good grip handset to the ear are mo"&amp;"re trouble than anything else")</f>
        <v>Incomodísimos The sound quality is good and synchronization with iPhone is very simple. Now, they are incredibly uncomfortable. They are very bulky and difficult to fit them into the ear, plus the hooks so that you have good grip handset to the ear are more trouble than anything else</v>
      </c>
    </row>
    <row r="1922">
      <c r="A1922" s="1">
        <v>3.0</v>
      </c>
      <c r="B1922" s="1" t="s">
        <v>1911</v>
      </c>
      <c r="C1922" t="str">
        <f>IFERROR(__xludf.DUMMYFUNCTION("GOOGLETRANSLATE(B1922, ""es"", ""en"")"),"covering my expectations I'm happy with this purchase. Thank you")</f>
        <v>covering my expectations I'm happy with this purchase. Thank you</v>
      </c>
    </row>
    <row r="1923">
      <c r="A1923" s="1">
        <v>3.0</v>
      </c>
      <c r="B1923" s="1" t="s">
        <v>1912</v>
      </c>
      <c r="C1923" t="str">
        <f>IFERROR(__xludf.DUMMYFUNCTION("GOOGLETRANSLATE(B1923, ""es"", ""en"")"),"I like but I do not love When they reached the house I did not finish convincing, but good shoes if you plan to use a lot to do sports, or even to avoid damaging your other shoes, this was the use to which I personally will give")</f>
        <v>I like but I do not love When they reached the house I did not finish convincing, but good shoes if you plan to use a lot to do sports, or even to avoid damaging your other shoes, this was the use to which I personally will give</v>
      </c>
    </row>
    <row r="1924">
      <c r="A1924" s="1">
        <v>1.0</v>
      </c>
      <c r="B1924" s="1" t="s">
        <v>1913</v>
      </c>
      <c r="C1924" t="str">
        <f>IFERROR(__xludf.DUMMYFUNCTION("GOOGLETRANSLATE(B1924, ""es"", ""en"")"),"It comes undone only wear them are broke, they unstitched on the second day seed filling everything. And that, without walking with them and with the appropriate number of foot")</f>
        <v>It comes undone only wear them are broke, they unstitched on the second day seed filling everything. And that, without walking with them and with the appropriate number of foot</v>
      </c>
    </row>
    <row r="1925">
      <c r="A1925" s="1">
        <v>1.0</v>
      </c>
      <c r="B1925" s="1" t="s">
        <v>1914</v>
      </c>
      <c r="C1925" t="str">
        <f>IFERROR(__xludf.DUMMYFUNCTION("GOOGLETRANSLATE(B1925, ""es"", ""en"")"),"I carving returned to be very wide.")</f>
        <v>I carving returned to be very wide.</v>
      </c>
    </row>
    <row r="1926">
      <c r="A1926" s="1">
        <v>1.0</v>
      </c>
      <c r="B1926" s="1" t="s">
        <v>1915</v>
      </c>
      <c r="C1926" t="str">
        <f>IFERROR(__xludf.DUMMYFUNCTION("GOOGLETRANSLATE(B1926, ""es"", ""en"")"),"It does not work with most devices including computer does not work with your computer or with the external recorder or with inputs in line. Practically unusable. They should distribute it with a power adapter input jack.")</f>
        <v>It does not work with most devices including computer does not work with your computer or with the external recorder or with inputs in line. Practically unusable. They should distribute it with a power adapter input jack.</v>
      </c>
    </row>
    <row r="1927">
      <c r="A1927" s="1">
        <v>4.0</v>
      </c>
      <c r="B1927" s="1" t="s">
        <v>1916</v>
      </c>
      <c r="C1927" t="str">
        <f>IFERROR(__xludf.DUMMYFUNCTION("GOOGLETRANSLATE(B1927, ""es"", ""en"")"),"Very easy to use, it makes no noise but we used not sleeping. It's nice")</f>
        <v>Very easy to use, it makes no noise but we used not sleeping. It's nice</v>
      </c>
    </row>
    <row r="1928">
      <c r="A1928" s="1">
        <v>4.0</v>
      </c>
      <c r="B1928" s="1" t="s">
        <v>1917</v>
      </c>
      <c r="C1928" t="str">
        <f>IFERROR(__xludf.DUMMYFUNCTION("GOOGLETRANSLATE(B1928, ""es"", ""en"")"),"Good size and quality for the price it's pretty good for the price it is, I do not put it 5 stars because writing it moves a little.")</f>
        <v>Good size and quality for the price it's pretty good for the price it is, I do not put it 5 stars because writing it moves a little.</v>
      </c>
    </row>
    <row r="1929">
      <c r="A1929" s="1">
        <v>4.0</v>
      </c>
      <c r="B1929" s="1" t="s">
        <v>1918</v>
      </c>
      <c r="C1929" t="str">
        <f>IFERROR(__xludf.DUMMYFUNCTION("GOOGLETRANSLATE(B1929, ""es"", ""en"")"),"Correct dispatch quickly and smoothly. Correct packaging and well protected. The finish is not as perfect as seen in the pictures is what you have when the jewels are more photoshop above which they should.")</f>
        <v>Correct dispatch quickly and smoothly. Correct packaging and well protected. The finish is not as perfect as seen in the pictures is what you have when the jewels are more photoshop above which they should.</v>
      </c>
    </row>
    <row r="1930">
      <c r="A1930" s="1">
        <v>4.0</v>
      </c>
      <c r="B1930" s="1" t="s">
        <v>1919</v>
      </c>
      <c r="C1930" t="str">
        <f>IFERROR(__xludf.DUMMYFUNCTION("GOOGLETRANSLATE(B1930, ""es"", ""en"")"),"The shoes have a month ago, and so far so good and pretty comfortable light, perhaps a tad large but not over the top, I have more shoes of this brand, and I guess they will be somewhat larger by the model ...")</f>
        <v>The shoes have a month ago, and so far so good and pretty comfortable light, perhaps a tad large but not over the top, I have more shoes of this brand, and I guess they will be somewhat larger by the model ...</v>
      </c>
    </row>
    <row r="1931">
      <c r="A1931" s="1">
        <v>4.0</v>
      </c>
      <c r="B1931" s="1" t="s">
        <v>1920</v>
      </c>
      <c r="C1931" t="str">
        <f>IFERROR(__xludf.DUMMYFUNCTION("GOOGLETRANSLATE(B1931, ""es"", ""en"")"),"Great sound quality and clarity are maximized. Listening music perfectly. The only downside is that it does not have the power buttons to change the song or moment.")</f>
        <v>Great sound quality and clarity are maximized. Listening music perfectly. The only downside is that it does not have the power buttons to change the song or moment.</v>
      </c>
    </row>
    <row r="1932">
      <c r="A1932" s="1">
        <v>5.0</v>
      </c>
      <c r="B1932" s="1" t="s">
        <v>1921</v>
      </c>
      <c r="C1932" t="str">
        <f>IFERROR(__xludf.DUMMYFUNCTION("GOOGLETRANSLATE(B1932, ""es"", ""en"")"),"Good buy are very useful, I took a package and got in the trunk, always at hand. a basic")</f>
        <v>Good buy are very useful, I took a package and got in the trunk, always at hand. a basic</v>
      </c>
    </row>
    <row r="1933">
      <c r="A1933" s="1">
        <v>5.0</v>
      </c>
      <c r="B1933" s="1" t="s">
        <v>1922</v>
      </c>
      <c r="C1933" t="str">
        <f>IFERROR(__xludf.DUMMYFUNCTION("GOOGLETRANSLATE(B1933, ""es"", ""en"")"),"I would buy! I bought this album to make a gift to my partner. I consider it very good quality compared to the price it has. It includes many pages and are robust (I got to hook up to 4 photos in front and back and still stout). It also includes stickers "&amp;"and pens for decoration. Very good choice if you want to make a different and own gift. Customizable 100%.")</f>
        <v>I would buy! I bought this album to make a gift to my partner. I consider it very good quality compared to the price it has. It includes many pages and are robust (I got to hook up to 4 photos in front and back and still stout). It also includes stickers and pens for decoration. Very good choice if you want to make a different and own gift. Customizable 100%.</v>
      </c>
    </row>
    <row r="1934">
      <c r="A1934" s="1">
        <v>5.0</v>
      </c>
      <c r="B1934" s="1" t="s">
        <v>1923</v>
      </c>
      <c r="C1934" t="str">
        <f>IFERROR(__xludf.DUMMYFUNCTION("GOOGLETRANSLATE(B1934, ""es"", ""en"")"),"A good quality product with enough quality")</f>
        <v>A good quality product with enough quality</v>
      </c>
    </row>
    <row r="1935">
      <c r="A1935" s="1">
        <v>5.0</v>
      </c>
      <c r="B1935" s="1" t="s">
        <v>1924</v>
      </c>
      <c r="C1935" t="str">
        <f>IFERROR(__xludf.DUMMYFUNCTION("GOOGLETRANSLATE(B1935, ""es"", ""en"")"),"EXCELLENT was a gift for my niece is delighted.")</f>
        <v>EXCELLENT was a gift for my niece is delighted.</v>
      </c>
    </row>
    <row r="1936">
      <c r="A1936" s="1">
        <v>5.0</v>
      </c>
      <c r="B1936" s="1" t="s">
        <v>1925</v>
      </c>
      <c r="C1936" t="str">
        <f>IFERROR(__xludf.DUMMYFUNCTION("GOOGLETRANSLATE(B1936, ""es"", ""en"")"),"Perfect for my sport A product that I have purchased several times, perfect")</f>
        <v>Perfect for my sport A product that I have purchased several times, perfect</v>
      </c>
    </row>
    <row r="1937">
      <c r="A1937" s="1">
        <v>5.0</v>
      </c>
      <c r="B1937" s="1" t="s">
        <v>1926</v>
      </c>
      <c r="C1937" t="str">
        <f>IFERROR(__xludf.DUMMYFUNCTION("GOOGLETRANSLATE(B1937, ""es"", ""en"")"),"Warm comfortable and the sizing is good, we thought that maybe could be a bit bigger but it goes! You are the ideal size. the shoes are very comfortable, they are not very high or very low. They are very toasty and soft touch. I really liked the color is "&amp;"more beautiful in person than in the picture. In short slippers comfortable and fit perfectly to the foot")</f>
        <v>Warm comfortable and the sizing is good, we thought that maybe could be a bit bigger but it goes! You are the ideal size. the shoes are very comfortable, they are not very high or very low. They are very toasty and soft touch. I really liked the color is more beautiful in person than in the picture. In short slippers comfortable and fit perfectly to the foot</v>
      </c>
    </row>
    <row r="1938">
      <c r="A1938" s="1">
        <v>5.0</v>
      </c>
      <c r="B1938" s="1" t="s">
        <v>1927</v>
      </c>
      <c r="C1938" t="str">
        <f>IFERROR(__xludf.DUMMYFUNCTION("GOOGLETRANSLATE(B1938, ""es"", ""en"")"),"Very nice I was comparing with Lorus RXD425L8 at the end I was the Lorus being titanium, but that I loved, the strap has a-nice super, touch the numbers of hours glow in the dark, the readability is great and the contrast of the needles with black backgro"&amp;"und is great. If it had been titanium, although it would have been more expensive, or I would have thought, I was about to keep him anyway, but at the end the diameter seemed excessive, and I needed no other watch. If you like watches with this diameter, "&amp;"it is a great choice for many people Lorus as I've remained are small.")</f>
        <v>Very nice I was comparing with Lorus RXD425L8 at the end I was the Lorus being titanium, but that I loved, the strap has a-nice super, touch the numbers of hours glow in the dark, the readability is great and the contrast of the needles with black background is great. If it had been titanium, although it would have been more expensive, or I would have thought, I was about to keep him anyway, but at the end the diameter seemed excessive, and I needed no other watch. If you like watches with this diameter, it is a great choice for many people Lorus as I've remained are small.</v>
      </c>
    </row>
    <row r="1939">
      <c r="A1939" s="1">
        <v>5.0</v>
      </c>
      <c r="B1939" s="1" t="s">
        <v>1928</v>
      </c>
      <c r="C1939" t="str">
        <f>IFERROR(__xludf.DUMMYFUNCTION("GOOGLETRANSLATE(B1939, ""es"", ""en"")"),"MacBook worked hard drive in the drive works perfectly on a Macbook A1278. Hardware installation is very simple; the previous record was replaced by this Crucial in the Macbook Pro A1278 (Core i5, 2011), and once installed hardware is formatted and instal"&amp;"led the High Sierra MacOS operating system. If in doubt, the very site of Crucial has instructions in both English and Spanish to install, format and use on Mac; also it supports whether it is compatible with other teams and manufacturers. differences bet"&amp;"ween the previous drive (HDD) and Crucial MX500 noticeable: - The computer operates with a minimum effort of the processor. no longer hear the fan when running more than 4 programs (including Safari, Firefox, iTunes, Pages, and QuickTime) or when climbing"&amp;" and download files and videos. - Transferring files between your Mac and external storage drives are faster. - The operating system starts firing faster and MacOs installation was faster too.")</f>
        <v>MacBook worked hard drive in the drive works perfectly on a Macbook A1278. Hardware installation is very simple; the previous record was replaced by this Crucial in the Macbook Pro A1278 (Core i5, 2011), and once installed hardware is formatted and installed the High Sierra MacOS operating system. If in doubt, the very site of Crucial has instructions in both English and Spanish to install, format and use on Mac; also it supports whether it is compatible with other teams and manufacturers. differences between the previous drive (HDD) and Crucial MX500 noticeable: - The computer operates with a minimum effort of the processor. no longer hear the fan when running more than 4 programs (including Safari, Firefox, iTunes, Pages, and QuickTime) or when climbing and download files and videos. - Transferring files between your Mac and external storage drives are faster. - The operating system starts firing faster and MacOs installation was faster too.</v>
      </c>
    </row>
    <row r="1940">
      <c r="A1940" s="1">
        <v>5.0</v>
      </c>
      <c r="B1940" s="1" t="s">
        <v>1929</v>
      </c>
      <c r="C1940" t="str">
        <f>IFERROR(__xludf.DUMMYFUNCTION("GOOGLETRANSLATE(B1940, ""es"", ""en"")"),"Very fast service was a birthday gift and happy has, no buts.")</f>
        <v>Very fast service was a birthday gift and happy has, no buts.</v>
      </c>
    </row>
    <row r="1941">
      <c r="A1941" s="1">
        <v>5.0</v>
      </c>
      <c r="B1941" s="1" t="s">
        <v>1930</v>
      </c>
      <c r="C1941" t="str">
        <f>IFERROR(__xludf.DUMMYFUNCTION("GOOGLETRANSLATE(B1941, ""es"", ""en"")"),"Very good fragrance smells good. I use a humidifier and leaves a very pleasant and relaxing scent. I would buy.")</f>
        <v>Very good fragrance smells good. I use a humidifier and leaves a very pleasant and relaxing scent. I would buy.</v>
      </c>
    </row>
    <row r="1942">
      <c r="A1942" s="1">
        <v>5.0</v>
      </c>
      <c r="B1942" s="1" t="s">
        <v>1931</v>
      </c>
      <c r="C1942" t="str">
        <f>IFERROR(__xludf.DUMMYFUNCTION("GOOGLETRANSLATE(B1942, ""es"", ""en"")"),"It is phenomenal 2 times faster than crucial p1")</f>
        <v>It is phenomenal 2 times faster than crucial p1</v>
      </c>
    </row>
    <row r="1943">
      <c r="A1943" s="1">
        <v>5.0</v>
      </c>
      <c r="B1943" s="1" t="s">
        <v>1932</v>
      </c>
      <c r="C1943" t="str">
        <f>IFERROR(__xludf.DUMMYFUNCTION("GOOGLETRANSLATE(B1943, ""es"", ""en"")"),"Son guante😀 as a perfect, comfortable ...")</f>
        <v>Son guante😀 as a perfect, comfortable ...</v>
      </c>
    </row>
    <row r="1944">
      <c r="A1944" s="1">
        <v>5.0</v>
      </c>
      <c r="B1944" s="1" t="s">
        <v>1933</v>
      </c>
      <c r="C1944" t="str">
        <f>IFERROR(__xludf.DUMMYFUNCTION("GOOGLETRANSLATE(B1944, ""es"", ""en"")"),"Comfortable and cool shoes are very comfortable and I think are really cool")</f>
        <v>Comfortable and cool shoes are very comfortable and I think are really cool</v>
      </c>
    </row>
    <row r="1945">
      <c r="A1945" s="1">
        <v>5.0</v>
      </c>
      <c r="B1945" s="1" t="s">
        <v>1934</v>
      </c>
      <c r="C1945" t="str">
        <f>IFERROR(__xludf.DUMMYFUNCTION("GOOGLETRANSLATE(B1945, ""es"", ""en"")"),"Very useful to mark the children's clothes I've used to make clothes for the nursery. Mark on all fabrics I've tried, perhaps going somewhere rather than others, but still, the ink holds many washings, with dryer included. I recommend it because it is ver"&amp;"y comfortable. You have to catch a little tino so that the ink does not run, but it's a matter of trying a few times on paper or cloth you will use.")</f>
        <v>Very useful to mark the children's clothes I've used to make clothes for the nursery. Mark on all fabrics I've tried, perhaps going somewhere rather than others, but still, the ink holds many washings, with dryer included. I recommend it because it is very comfortable. You have to catch a little tino so that the ink does not run, but it's a matter of trying a few times on paper or cloth you will use.</v>
      </c>
    </row>
    <row r="1946">
      <c r="A1946" s="1">
        <v>5.0</v>
      </c>
      <c r="B1946" s="1" t="s">
        <v>1935</v>
      </c>
      <c r="C1946" t="str">
        <f>IFERROR(__xludf.DUMMYFUNCTION("GOOGLETRANSLATE(B1946, ""es"", ""en"")"),"Recommended 100% Value In first comment on the speed and effectiveness of Amazon logistics on its distribution and delivery, fulfilled the right time. Second comment that case the product was not at its best. Because you could tell he had long been in the"&amp;" store and due to the amount of dust and scratches. Obviating that on opening the box, the microphone was in perfect condition, with appropriate accessories (USB cable and holster + instruction book). In the test it had to download software program samson"&amp;", as it is not included in the purchase. On the Internet you can find it on the official store at a price of $ 4.99. The quality of the microphone is spectacular, I've noticed an incredible change with the previous one had. And best of all is the price, n"&amp;"ot expensive for the quality it gives. Recommend purchase 100%")</f>
        <v>Recommended 100% Value In first comment on the speed and effectiveness of Amazon logistics on its distribution and delivery, fulfilled the right time. Second comment that case the product was not at its best. Because you could tell he had long been in the store and due to the amount of dust and scratches. Obviating that on opening the box, the microphone was in perfect condition, with appropriate accessories (USB cable and holster + instruction book). In the test it had to download software program samson, as it is not included in the purchase. On the Internet you can find it on the official store at a price of $ 4.99. The quality of the microphone is spectacular, I've noticed an incredible change with the previous one had. And best of all is the price, not expensive for the quality it gives. Recommend purchase 100%</v>
      </c>
    </row>
    <row r="1947">
      <c r="A1947" s="1">
        <v>5.0</v>
      </c>
      <c r="B1947" s="1" t="s">
        <v>1936</v>
      </c>
      <c r="C1947" t="str">
        <f>IFERROR(__xludf.DUMMYFUNCTION("GOOGLETRANSLATE(B1947, ""es"", ""en"")"),"128Gbs I bought it to serve as a mini pc HD and luxury is time, if the price of the product is good for you ...;)")</f>
        <v>128Gbs I bought it to serve as a mini pc HD and luxury is time, if the price of the product is good for you ...;)</v>
      </c>
    </row>
    <row r="1948">
      <c r="A1948" s="1">
        <v>5.0</v>
      </c>
      <c r="B1948" s="1" t="s">
        <v>1937</v>
      </c>
      <c r="C1948" t="str">
        <f>IFERROR(__xludf.DUMMYFUNCTION("GOOGLETRANSLATE(B1948, ""es"", ""en"")"),"All good screw does not come unless Okay good, does not come screws, luckily not pull the motherboard box in there that had one specific to the ssd but this really bad not to come screw. For now goes well I hope it stays that way, the Windows no longer st"&amp;"utters me, I catch me I pitched well in SSDs")</f>
        <v>All good screw does not come unless Okay good, does not come screws, luckily not pull the motherboard box in there that had one specific to the ssd but this really bad not to come screw. For now goes well I hope it stays that way, the Windows no longer stutters me, I catch me I pitched well in SSDs</v>
      </c>
    </row>
    <row r="1949">
      <c r="A1949" s="1">
        <v>5.0</v>
      </c>
      <c r="B1949" s="1" t="s">
        <v>1938</v>
      </c>
      <c r="C1949" t="str">
        <f>IFERROR(__xludf.DUMMYFUNCTION("GOOGLETRANSLATE(B1949, ""es"", ""en"")"),"What I expected I like, it looks good. It is a little bigger than I expected but well")</f>
        <v>What I expected I like, it looks good. It is a little bigger than I expected but well</v>
      </c>
    </row>
    <row r="1950">
      <c r="A1950" s="1">
        <v>5.0</v>
      </c>
      <c r="B1950" s="1" t="s">
        <v>1939</v>
      </c>
      <c r="C1950" t="str">
        <f>IFERROR(__xludf.DUMMYFUNCTION("GOOGLETRANSLATE(B1950, ""es"", ""en"")"),"Super comfortable and beautiful They adapt fully to my expectations and are as nice as in the photos. Materials correspond to those described in Amazon. Thank you")</f>
        <v>Super comfortable and beautiful They adapt fully to my expectations and are as nice as in the photos. Materials correspond to those described in Amazon. Thank you</v>
      </c>
    </row>
    <row r="1951">
      <c r="A1951" s="1">
        <v>2.0</v>
      </c>
      <c r="B1951" s="1" t="s">
        <v>1940</v>
      </c>
      <c r="C1951" t="str">
        <f>IFERROR(__xludf.DUMMYFUNCTION("GOOGLETRANSLATE(B1951, ""es"", ""en"")"),"The quality is not good. Are deformed with little use have shoes that are asked and wanted but eventually the poor quality leaves.")</f>
        <v>The quality is not good. Are deformed with little use have shoes that are asked and wanted but eventually the poor quality leaves.</v>
      </c>
    </row>
    <row r="1952">
      <c r="A1952" s="1">
        <v>3.0</v>
      </c>
      <c r="B1952" s="1" t="s">
        <v>1941</v>
      </c>
      <c r="C1952" t="str">
        <f>IFERROR(__xludf.DUMMYFUNCTION("GOOGLETRANSLATE(B1952, ""es"", ""en"")"),"I expected better quality I expected to be more satiny and stick together better, the truth is that peel off easily, so I had to repeat a label.")</f>
        <v>I expected better quality I expected to be more satiny and stick together better, the truth is that peel off easily, so I had to repeat a label.</v>
      </c>
    </row>
    <row r="1953">
      <c r="A1953" s="1">
        <v>3.0</v>
      </c>
      <c r="B1953" s="1" t="s">
        <v>1942</v>
      </c>
      <c r="C1953" t="str">
        <f>IFERROR(__xludf.DUMMYFUNCTION("GOOGLETRANSLATE(B1953, ""es"", ""en"")"),"Too bright and plásticosos pintones but pintones")</f>
        <v>Too bright and plásticosos pintones but pintones</v>
      </c>
    </row>
    <row r="1954">
      <c r="A1954" s="1">
        <v>1.0</v>
      </c>
      <c r="B1954" s="1" t="s">
        <v>1943</v>
      </c>
      <c r="C1954" t="str">
        <f>IFERROR(__xludf.DUMMYFUNCTION("GOOGLETRANSLATE(B1954, ""es"", ""en"")"),"SLIME does not serve. SLIME does not serve. They should include a note with that data. It is a very expensive product, so that not even serve for what we look for most mothers. This is not a substitute for the Borax. It is a different product and thymus i"&amp;"n turn, promote as such. I hope this review helps other parents not to buy your product and check its uselessness.")</f>
        <v>SLIME does not serve. SLIME does not serve. They should include a note with that data. It is a very expensive product, so that not even serve for what we look for most mothers. This is not a substitute for the Borax. It is a different product and thymus in turn, promote as such. I hope this review helps other parents not to buy your product and check its uselessness.</v>
      </c>
    </row>
    <row r="1955">
      <c r="A1955" s="1">
        <v>1.0</v>
      </c>
      <c r="B1955" s="1" t="s">
        <v>1944</v>
      </c>
      <c r="C1955" t="str">
        <f>IFERROR(__xludf.DUMMYFUNCTION("GOOGLETRANSLATE(B1955, ""es"", ""en"")"),"Copy and shoddy I bought a year ago and has run out of batteries twice. Moreover, the belt is very deteriorated and stained corrosion in the bottom plate. Watchmaking have told me that is not original, but a copy. Finally, commenting that it is extremely "&amp;"difficult to match the time that give the hands with digits. In short, absolute disappointment.")</f>
        <v>Copy and shoddy I bought a year ago and has run out of batteries twice. Moreover, the belt is very deteriorated and stained corrosion in the bottom plate. Watchmaking have told me that is not original, but a copy. Finally, commenting that it is extremely difficult to match the time that give the hands with digits. In short, absolute disappointment.</v>
      </c>
    </row>
    <row r="1956">
      <c r="A1956" s="1">
        <v>4.0</v>
      </c>
      <c r="B1956" s="1" t="s">
        <v>1945</v>
      </c>
      <c r="C1956" t="str">
        <f>IFERROR(__xludf.DUMMYFUNCTION("GOOGLETRANSLATE(B1956, ""es"", ""en"")"),"ideal for perfect cards. I should have taken more, I made short, so take advantage of free shipping. I have to ask again the next order you make.")</f>
        <v>ideal for perfect cards. I should have taken more, I made short, so take advantage of free shipping. I have to ask again the next order you make.</v>
      </c>
    </row>
    <row r="1957">
      <c r="A1957" s="1">
        <v>4.0</v>
      </c>
      <c r="B1957" s="1" t="s">
        <v>1946</v>
      </c>
      <c r="C1957" t="str">
        <f>IFERROR(__xludf.DUMMYFUNCTION("GOOGLETRANSLATE(B1957, ""es"", ""en"")"),"Very comfortable I brought one of each number but it took little to bring me other correctly. They are very comfortable. They weigh nothing. Hold the foot. Two friends commissioned the vérmelos me one. nice color. And carve well. I use 37 and pedi 37-38.")</f>
        <v>Very comfortable I brought one of each number but it took little to bring me other correctly. They are very comfortable. They weigh nothing. Hold the foot. Two friends commissioned the vérmelos me one. nice color. And carve well. I use 37 and pedi 37-38.</v>
      </c>
    </row>
    <row r="1958">
      <c r="A1958" s="1">
        <v>4.0</v>
      </c>
      <c r="B1958" s="1" t="s">
        <v>1947</v>
      </c>
      <c r="C1958" t="str">
        <f>IFERROR(__xludf.DUMMYFUNCTION("GOOGLETRANSLATE(B1958, ""es"", ""en"")"),"no surprises Value")</f>
        <v>no surprises Value</v>
      </c>
    </row>
    <row r="1959">
      <c r="A1959" s="1">
        <v>4.0</v>
      </c>
      <c r="B1959" s="1" t="s">
        <v>1948</v>
      </c>
      <c r="C1959" t="str">
        <f>IFERROR(__xludf.DUMMYFUNCTION("GOOGLETRANSLATE(B1959, ""es"", ""en"")"),"OK, but somewhat complicated. Great design and sound pretty good. On the other hand I think they are a bit complicated to match. Subjection to the ear is not 100x100 safe. They are not suitable for sports. Overall they fulfill their conetido.")</f>
        <v>OK, but somewhat complicated. Great design and sound pretty good. On the other hand I think they are a bit complicated to match. Subjection to the ear is not 100x100 safe. They are not suitable for sports. Overall they fulfill their conetido.</v>
      </c>
    </row>
    <row r="1960">
      <c r="A1960" s="1">
        <v>5.0</v>
      </c>
      <c r="B1960" s="1" t="s">
        <v>1949</v>
      </c>
      <c r="C1960" t="str">
        <f>IFERROR(__xludf.DUMMYFUNCTION("GOOGLETRANSLATE(B1960, ""es"", ""en"")"),"Very good quality best bottles of the market and the offer is good quality.")</f>
        <v>Very good quality best bottles of the market and the offer is good quality.</v>
      </c>
    </row>
    <row r="1961">
      <c r="A1961" s="1">
        <v>5.0</v>
      </c>
      <c r="B1961" s="1" t="s">
        <v>1950</v>
      </c>
      <c r="C1961" t="str">
        <f>IFERROR(__xludf.DUMMYFUNCTION("GOOGLETRANSLATE(B1961, ""es"", ""en"")"),"Precious gift perfect microphone. My baby girl is delighted. Super listen well and is very easy to handle (5 years old). In addition, the battery lasts a lot and loaded into 4 or 5 hours. I recommend it. It is ideal as a gift")</f>
        <v>Precious gift perfect microphone. My baby girl is delighted. Super listen well and is very easy to handle (5 years old). In addition, the battery lasts a lot and loaded into 4 or 5 hours. I recommend it. It is ideal as a gift</v>
      </c>
    </row>
    <row r="1962">
      <c r="A1962" s="1">
        <v>5.0</v>
      </c>
      <c r="B1962" s="1" t="s">
        <v>1951</v>
      </c>
      <c r="C1962" t="str">
        <f>IFERROR(__xludf.DUMMYFUNCTION("GOOGLETRANSLATE(B1962, ""es"", ""en"")"),"Perfect is a good product, arrived in perfect condition: The clock now has more than 6 months of use and works perfectly!")</f>
        <v>Perfect is a good product, arrived in perfect condition: The clock now has more than 6 months of use and works perfectly!</v>
      </c>
    </row>
    <row r="1963">
      <c r="A1963" s="1">
        <v>5.0</v>
      </c>
      <c r="B1963" s="1" t="s">
        <v>1952</v>
      </c>
      <c r="C1963" t="str">
        <f>IFERROR(__xludf.DUMMYFUNCTION("GOOGLETRANSLATE(B1963, ""es"", ""en"")"),"Bonitos comfort .cómodos I love.")</f>
        <v>Bonitos comfort .cómodos I love.</v>
      </c>
    </row>
    <row r="1964">
      <c r="A1964" s="1">
        <v>5.0</v>
      </c>
      <c r="B1964" s="1" t="s">
        <v>1953</v>
      </c>
      <c r="C1964" t="str">
        <f>IFERROR(__xludf.DUMMYFUNCTION("GOOGLETRANSLATE(B1964, ""es"", ""en"")"),"perfect gift! I gave him my niece and I liked it. Sounds pretty good and as you can insert an SD card can record songs without relying on a cellphone, computer ... The main club lights also have happy ;-)")</f>
        <v>perfect gift! I gave him my niece and I liked it. Sounds pretty good and as you can insert an SD card can record songs without relying on a cellphone, computer ... The main club lights also have happy ;-)</v>
      </c>
    </row>
    <row r="1965">
      <c r="A1965" s="1">
        <v>5.0</v>
      </c>
      <c r="B1965" s="1" t="s">
        <v>1954</v>
      </c>
      <c r="C1965" t="str">
        <f>IFERROR(__xludf.DUMMYFUNCTION("GOOGLETRANSLATE(B1965, ""es"", ""en"")"),"Ideal for smartphones bought it to be configured as internal memory of the smartphone, and must be a quick card to access data and worked perfectly, noticed much difference with the lower speed, when viewing photos, videos or download data to the PC. High"&amp;"ly recommend using these cards or higher for speed and efficiency and not die trying.")</f>
        <v>Ideal for smartphones bought it to be configured as internal memory of the smartphone, and must be a quick card to access data and worked perfectly, noticed much difference with the lower speed, when viewing photos, videos or download data to the PC. Highly recommend using these cards or higher for speed and efficiency and not die trying.</v>
      </c>
    </row>
    <row r="1966">
      <c r="A1966" s="1">
        <v>5.0</v>
      </c>
      <c r="B1966" s="1" t="s">
        <v>1955</v>
      </c>
      <c r="C1966" t="str">
        <f>IFERROR(__xludf.DUMMYFUNCTION("GOOGLETRANSLATE(B1966, ""es"", ""en"")"),"All right all right, as expected.")</f>
        <v>All right all right, as expected.</v>
      </c>
    </row>
    <row r="1967">
      <c r="A1967" s="1">
        <v>5.0</v>
      </c>
      <c r="B1967" s="1" t="s">
        <v>1956</v>
      </c>
      <c r="C1967" t="str">
        <f>IFERROR(__xludf.DUMMYFUNCTION("GOOGLETRANSLATE(B1967, ""es"", ""en"")"),"Complies with what is said, so good. great fit")</f>
        <v>Complies with what is said, so good. great fit</v>
      </c>
    </row>
    <row r="1968">
      <c r="A1968" s="1">
        <v>5.0</v>
      </c>
      <c r="B1968" s="1" t="s">
        <v>1957</v>
      </c>
      <c r="C1968" t="str">
        <f>IFERROR(__xludf.DUMMYFUNCTION("GOOGLETRANSLATE(B1968, ""es"", ""en"")"),"Perfect and are originals, not copies. They are original, no replicas.")</f>
        <v>Perfect and are originals, not copies. They are original, no replicas.</v>
      </c>
    </row>
    <row r="1969">
      <c r="A1969" s="1">
        <v>5.0</v>
      </c>
      <c r="B1969" s="1" t="s">
        <v>1958</v>
      </c>
      <c r="C1969" t="str">
        <f>IFERROR(__xludf.DUMMYFUNCTION("GOOGLETRANSLATE(B1969, ""es"", ""en"")"),"The best quality, price. It has great strength and gives warmth while massage is helping me a lot thanks to the store.")</f>
        <v>The best quality, price. It has great strength and gives warmth while massage is helping me a lot thanks to the store.</v>
      </c>
    </row>
    <row r="1970">
      <c r="A1970" s="1">
        <v>5.0</v>
      </c>
      <c r="B1970" s="1" t="s">
        <v>1959</v>
      </c>
      <c r="C1970" t="str">
        <f>IFERROR(__xludf.DUMMYFUNCTION("GOOGLETRANSLATE(B1970, ""es"", ""en"")"),"To start this good 👍 For the price I think it's fine. Short-range sounds good, sounds a little old radio; but it has several effects, do not change much, but as I say .. For the price to have this wireless, to start this quite well.")</f>
        <v>To start this good 👍 For the price I think it's fine. Short-range sounds good, sounds a little old radio; but it has several effects, do not change much, but as I say .. For the price to have this wireless, to start this quite well.</v>
      </c>
    </row>
    <row r="1971">
      <c r="A1971" s="1">
        <v>5.0</v>
      </c>
      <c r="B1971" s="1" t="s">
        <v>1960</v>
      </c>
      <c r="C1971" t="str">
        <f>IFERROR(__xludf.DUMMYFUNCTION("GOOGLETRANSLATE(B1971, ""es"", ""en"")"),"Small and fast. Frankly very fast.")</f>
        <v>Small and fast. Frankly very fast.</v>
      </c>
    </row>
    <row r="1972">
      <c r="A1972" s="1">
        <v>5.0</v>
      </c>
      <c r="B1972" s="1" t="s">
        <v>1961</v>
      </c>
      <c r="C1972" t="str">
        <f>IFERROR(__xludf.DUMMYFUNCTION("GOOGLETRANSLATE(B1972, ""es"", ""en"")"),"An electric blanket super diceindo had read previous reviews that it was a very good electric blanket, but could come with UK plug. For I have good, I tasted the manta and is also great and I was lucky and Spanish plug is the normal two pins. Very good bu"&amp;"y and very good price.")</f>
        <v>An electric blanket super diceindo had read previous reviews that it was a very good electric blanket, but could come with UK plug. For I have good, I tasted the manta and is also great and I was lucky and Spanish plug is the normal two pins. Very good buy and very good price.</v>
      </c>
    </row>
    <row r="1973">
      <c r="A1973" s="1">
        <v>5.0</v>
      </c>
      <c r="B1973" s="1" t="s">
        <v>1962</v>
      </c>
      <c r="C1973" t="str">
        <f>IFERROR(__xludf.DUMMYFUNCTION("GOOGLETRANSLATE(B1973, ""es"", ""en"")"),"Shoulder bag Refund Total")</f>
        <v>Shoulder bag Refund Total</v>
      </c>
    </row>
    <row r="1974">
      <c r="A1974" s="1">
        <v>5.0</v>
      </c>
      <c r="B1974" s="1" t="s">
        <v>1963</v>
      </c>
      <c r="C1974" t="str">
        <f>IFERROR(__xludf.DUMMYFUNCTION("GOOGLETRANSLATE(B1974, ""es"", ""en"")"),"CECOTEC blender am very happy of this mixer, it is super powerful and very complete, has many speeds and very quiet, and very competitive price.")</f>
        <v>CECOTEC blender am very happy of this mixer, it is super powerful and very complete, has many speeds and very quiet, and very competitive price.</v>
      </c>
    </row>
    <row r="1975">
      <c r="A1975" s="1">
        <v>5.0</v>
      </c>
      <c r="B1975" s="1" t="s">
        <v>1964</v>
      </c>
      <c r="C1975" t="str">
        <f>IFERROR(__xludf.DUMMYFUNCTION("GOOGLETRANSLATE(B1975, ""es"", ""en"")"),"SORTED BY END CABLES I finally ordered cables. Easy to use thanks to the guide attached. I've used for cable TV, router, etc ... and spare me one for any other installation.")</f>
        <v>SORTED BY END CABLES I finally ordered cables. Easy to use thanks to the guide attached. I've used for cable TV, router, etc ... and spare me one for any other installation.</v>
      </c>
    </row>
    <row r="1976">
      <c r="A1976" s="1">
        <v>5.0</v>
      </c>
      <c r="B1976" s="1" t="s">
        <v>1965</v>
      </c>
      <c r="C1976" t="str">
        <f>IFERROR(__xludf.DUMMYFUNCTION("GOOGLETRANSLATE(B1976, ""es"", ""en"")"),"These are the best for me These hiking boots are the best for me because they are relatively light, have a decent arch support and their soles are sturdy enough to walk on the pavement and in the woods.")</f>
        <v>These are the best for me These hiking boots are the best for me because they are relatively light, have a decent arch support and their soles are sturdy enough to walk on the pavement and in the woods.</v>
      </c>
    </row>
    <row r="1977">
      <c r="A1977" s="1">
        <v>5.0</v>
      </c>
      <c r="B1977" s="1" t="s">
        <v>1966</v>
      </c>
      <c r="C1977" t="str">
        <f>IFERROR(__xludf.DUMMYFUNCTION("GOOGLETRANSLATE(B1977, ""es"", ""en"")"),"It is preciosa.muy good money I was pretty encantado.muy")</f>
        <v>It is preciosa.muy good money I was pretty encantado.muy</v>
      </c>
    </row>
    <row r="1978">
      <c r="A1978" s="1">
        <v>5.0</v>
      </c>
      <c r="B1978" s="1" t="s">
        <v>1967</v>
      </c>
      <c r="C1978" t="str">
        <f>IFERROR(__xludf.DUMMYFUNCTION("GOOGLETRANSLATE(B1978, ""es"", ""en"")"),"Very good buy Perfect comfortable enters the refrigerator by its small size about almost 1 liter can be filled to the brim does not miss anything thanks to a double sealing system glass very thick bone of the good I like it because it also has different o"&amp;"ptions from very loose to a powerful and efficace speed and best of all is that almost no noise I made a smoothie at 5am and did not wake anyone at home one pass through Amazon 😘😘😘😘")</f>
        <v>Very good buy Perfect comfortable enters the refrigerator by its small size about almost 1 liter can be filled to the brim does not miss anything thanks to a double sealing system glass very thick bone of the good I like it because it also has different options from very loose to a powerful and efficace speed and best of all is that almost no noise I made a smoothie at 5am and did not wake anyone at home one pass through Amazon 😘😘😘😘</v>
      </c>
    </row>
    <row r="1979">
      <c r="A1979" s="1">
        <v>2.0</v>
      </c>
      <c r="B1979" s="1" t="s">
        <v>1968</v>
      </c>
      <c r="C1979" t="str">
        <f>IFERROR(__xludf.DUMMYFUNCTION("GOOGLETRANSLATE(B1979, ""es"", ""en"")"),"Material a bit hard to feel comfortable at the walk I find it very hard material and is not comfortable for me. I bought another model fabric ...")</f>
        <v>Material a bit hard to feel comfortable at the walk I find it very hard material and is not comfortable for me. I bought another model fabric ...</v>
      </c>
    </row>
    <row r="1980">
      <c r="A1980" s="1">
        <v>3.0</v>
      </c>
      <c r="B1980" s="1" t="s">
        <v>1969</v>
      </c>
      <c r="C1980" t="str">
        <f>IFERROR(__xludf.DUMMYFUNCTION("GOOGLETRANSLATE(B1980, ""es"", ""en"")"),"Standares headphones good value What I did not like is that the cable is a bit short, I wish they had more measured about 20cm, about 128cm are approximately in length. Otherwise for the price it cost and have a battle considered good value for money. If "&amp;"you want better quality should increase the budget.")</f>
        <v>Standares headphones good value What I did not like is that the cable is a bit short, I wish they had more measured about 20cm, about 128cm are approximately in length. Otherwise for the price it cost and have a battle considered good value for money. If you want better quality should increase the budget.</v>
      </c>
    </row>
    <row r="1981">
      <c r="A1981" s="1">
        <v>3.0</v>
      </c>
      <c r="B1981" s="1" t="s">
        <v>1970</v>
      </c>
      <c r="C1981" t="str">
        <f>IFERROR(__xludf.DUMMYFUNCTION("GOOGLETRANSLATE(B1981, ""es"", ""en"")"),"Satisfied OK for price, but the moon seems to me first and great, very attached to his neck ... small little necklace that if the price is not a paste ... no more can you ask")</f>
        <v>Satisfied OK for price, but the moon seems to me first and great, very attached to his neck ... small little necklace that if the price is not a paste ... no more can you ask</v>
      </c>
    </row>
    <row r="1982">
      <c r="A1982" s="1">
        <v>1.0</v>
      </c>
      <c r="B1982" s="1" t="s">
        <v>1971</v>
      </c>
      <c r="C1982" t="str">
        <f>IFERROR(__xludf.DUMMYFUNCTION("GOOGLETRANSLATE(B1982, ""es"", ""en"")"),"A shameful disgrace. Request the change is too small product without how bad product) and not even deign to answer. Regrettable")</f>
        <v>A shameful disgrace. Request the change is too small product without how bad product) and not even deign to answer. Regrettable</v>
      </c>
    </row>
    <row r="1983">
      <c r="A1983" s="1">
        <v>1.0</v>
      </c>
      <c r="B1983" s="1" t="s">
        <v>1972</v>
      </c>
      <c r="C1983" t="str">
        <f>IFERROR(__xludf.DUMMYFUNCTION("GOOGLETRANSLATE(B1983, ""es"", ""en"")"),"Very low quality sound Very bad sound, especially in the treble. Although prices are expected much more uncomfortable to wear Additionally: earmuffs not perspire synthetic leather, enough weight and pressure on the ears")</f>
        <v>Very low quality sound Very bad sound, especially in the treble. Although prices are expected much more uncomfortable to wear Additionally: earmuffs not perspire synthetic leather, enough weight and pressure on the ears</v>
      </c>
    </row>
    <row r="1984">
      <c r="A1984" s="1">
        <v>4.0</v>
      </c>
      <c r="B1984" s="1" t="s">
        <v>1973</v>
      </c>
      <c r="C1984" t="str">
        <f>IFERROR(__xludf.DUMMYFUNCTION("GOOGLETRANSLATE(B1984, ""es"", ""en"")"),"Large very well priced and fresh")</f>
        <v>Large very well priced and fresh</v>
      </c>
    </row>
    <row r="1985">
      <c r="A1985" s="1">
        <v>4.0</v>
      </c>
      <c r="B1985" s="1" t="s">
        <v>1974</v>
      </c>
      <c r="C1985" t="str">
        <f>IFERROR(__xludf.DUMMYFUNCTION("GOOGLETRANSLATE(B1985, ""es"", ""en"")"),"Bigger than I expected good quality. It's a little bigger than I expected, otherwise it is spacious. It has many pockets to carry lots of stuff.")</f>
        <v>Bigger than I expected good quality. It's a little bigger than I expected, otherwise it is spacious. It has many pockets to carry lots of stuff.</v>
      </c>
    </row>
    <row r="1986">
      <c r="A1986" s="1">
        <v>4.0</v>
      </c>
      <c r="B1986" s="1" t="s">
        <v>1975</v>
      </c>
      <c r="C1986" t="str">
        <f>IFERROR(__xludf.DUMMYFUNCTION("GOOGLETRANSLATE(B1986, ""es"", ""en"")"),"Comfort soft and comfortable")</f>
        <v>Comfort soft and comfortable</v>
      </c>
    </row>
    <row r="1987">
      <c r="A1987" s="1">
        <v>4.0</v>
      </c>
      <c r="B1987" s="1" t="s">
        <v>1976</v>
      </c>
      <c r="C1987" t="str">
        <f>IFERROR(__xludf.DUMMYFUNCTION("GOOGLETRANSLATE(B1987, ""es"", ""en"")"),"Good value for money. The bag is working properly. It is what was advertised and what I expected. The worst thing is that shipping is random in terms of design, you'll like it or not. Otherwise well. The fabric is suitable retaining heat, the closure cap "&amp;"is good, the cover can be removed for washing ...")</f>
        <v>Good value for money. The bag is working properly. It is what was advertised and what I expected. The worst thing is that shipping is random in terms of design, you'll like it or not. Otherwise well. The fabric is suitable retaining heat, the closure cap is good, the cover can be removed for washing ...</v>
      </c>
    </row>
    <row r="1988">
      <c r="A1988" s="1">
        <v>4.0</v>
      </c>
      <c r="B1988" s="1" t="s">
        <v>1977</v>
      </c>
      <c r="C1988" t="str">
        <f>IFERROR(__xludf.DUMMYFUNCTION("GOOGLETRANSLATE(B1988, ""es"", ""en"")"),"Good quality but it was complicated set is fine, the sound is good for karaoke. It is complicated when linked to a channel. But with patience you get.")</f>
        <v>Good quality but it was complicated set is fine, the sound is good for karaoke. It is complicated when linked to a channel. But with patience you get.</v>
      </c>
    </row>
    <row r="1989">
      <c r="A1989" s="1">
        <v>5.0</v>
      </c>
      <c r="B1989" s="1" t="s">
        <v>1978</v>
      </c>
      <c r="C1989" t="str">
        <f>IFERROR(__xludf.DUMMYFUNCTION("GOOGLETRANSLATE(B1989, ""es"", ""en"")"),"Like the photo I liked the shirt and the measure is also well")</f>
        <v>Like the photo I liked the shirt and the measure is also well</v>
      </c>
    </row>
    <row r="1990">
      <c r="A1990" s="1">
        <v>5.0</v>
      </c>
      <c r="B1990" s="1" t="s">
        <v>1979</v>
      </c>
      <c r="C1990" t="str">
        <f>IFERROR(__xludf.DUMMYFUNCTION("GOOGLETRANSLATE(B1990, ""es"", ""en"")"),"Very satisfied with the term card very fast delivery, perfect packaging. The card I am using a NOTE 8. came already formatted (remove it from the package, insert it into the terminal and ready). Currently I have stored in it some 6,500 photos and several "&amp;"videos in different resolutions, both 4K and FullHD @ FPS. Uncut recording, quick access. No problem now, after 2 and a half months of use. Reasonable price. I recommend it. Furthermore, according to the specifications of the manufacturer, it is resistant"&amp;" to water and temperature extremes. I recommend it.")</f>
        <v>Very satisfied with the term card very fast delivery, perfect packaging. The card I am using a NOTE 8. came already formatted (remove it from the package, insert it into the terminal and ready). Currently I have stored in it some 6,500 photos and several videos in different resolutions, both 4K and FullHD @ FPS. Uncut recording, quick access. No problem now, after 2 and a half months of use. Reasonable price. I recommend it. Furthermore, according to the specifications of the manufacturer, it is resistant to water and temperature extremes. I recommend it.</v>
      </c>
    </row>
    <row r="1991">
      <c r="A1991" s="1">
        <v>5.0</v>
      </c>
      <c r="B1991" s="1" t="s">
        <v>1980</v>
      </c>
      <c r="C1991" t="str">
        <f>IFERROR(__xludf.DUMMYFUNCTION("GOOGLETRANSLATE(B1991, ""es"", ""en"")"),"Very satisfied with the purchase Delighted with this vacuum cleaner to its maximum aspires power very well thanks to its rotating roller to suck vehicles also delighted with sufficient autonomy to suck a vehicle and enough autonomy to aspirate a small hou"&amp;"se normal low speed mode lasts much faster to recharge very manageable and essential lighting and lower mouth very satisfied 100% would recommend essential in my home")</f>
        <v>Very satisfied with the purchase Delighted with this vacuum cleaner to its maximum aspires power very well thanks to its rotating roller to suck vehicles also delighted with sufficient autonomy to suck a vehicle and enough autonomy to aspirate a small house normal low speed mode lasts much faster to recharge very manageable and essential lighting and lower mouth very satisfied 100% would recommend essential in my home</v>
      </c>
    </row>
    <row r="1992">
      <c r="A1992" s="1">
        <v>5.0</v>
      </c>
      <c r="B1992" s="1" t="s">
        <v>1981</v>
      </c>
      <c r="C1992" t="str">
        <f>IFERROR(__xludf.DUMMYFUNCTION("GOOGLETRANSLATE(B1992, ""es"", ""en"")"),"Very good boot money. Bota very good money after one week of use adapts perfectly to the foot and is very light. I used more expensive boots but the truth is very good for this price. Repetire without hesitation. Pedi 41 to 41 and is perfect.")</f>
        <v>Very good boot money. Bota very good money after one week of use adapts perfectly to the foot and is very light. I used more expensive boots but the truth is very good for this price. Repetire without hesitation. Pedi 41 to 41 and is perfect.</v>
      </c>
    </row>
    <row r="1993">
      <c r="A1993" s="1">
        <v>5.0</v>
      </c>
      <c r="B1993" s="1" t="s">
        <v>1982</v>
      </c>
      <c r="C1993" t="str">
        <f>IFERROR(__xludf.DUMMYFUNCTION("GOOGLETRANSLATE(B1993, ""es"", ""en"")"),"Very good very good. You do not have anything to envy to a more recognized brand. Shreds well. I recommend that for the price is super good. I have a bigger processor, but I prefer this")</f>
        <v>Very good very good. You do not have anything to envy to a more recognized brand. Shreds well. I recommend that for the price is super good. I have a bigger processor, but I prefer this</v>
      </c>
    </row>
    <row r="1994">
      <c r="A1994" s="1">
        <v>5.0</v>
      </c>
      <c r="B1994" s="1" t="s">
        <v>1983</v>
      </c>
      <c r="C1994" t="str">
        <f>IFERROR(__xludf.DUMMYFUNCTION("GOOGLETRANSLATE(B1994, ""es"", ""en"")"),"Recommended to apply heat in area located cushion practical and highly recommended to apply heat in localized areas Interesting security system that counts ....")</f>
        <v>Recommended to apply heat in area located cushion practical and highly recommended to apply heat in localized areas Interesting security system that counts ....</v>
      </c>
    </row>
    <row r="1995">
      <c r="A1995" s="1">
        <v>5.0</v>
      </c>
      <c r="B1995" s="1" t="s">
        <v>1984</v>
      </c>
      <c r="C1995" t="str">
        <f>IFERROR(__xludf.DUMMYFUNCTION("GOOGLETRANSLATE(B1995, ""es"", ""en"")"),"Very nice, good sound. I love it, very good sound.")</f>
        <v>Very nice, good sound. I love it, very good sound.</v>
      </c>
    </row>
    <row r="1996">
      <c r="A1996" s="1">
        <v>5.0</v>
      </c>
      <c r="B1996" s="1" t="s">
        <v>1985</v>
      </c>
      <c r="C1996" t="str">
        <f>IFERROR(__xludf.DUMMYFUNCTION("GOOGLETRANSLATE(B1996, ""es"", ""en"")"),"Good shoes are really cool sneakers, arrived quickly, all having caught a number of more still is a bit tight")</f>
        <v>Good shoes are really cool sneakers, arrived quickly, all having caught a number of more still is a bit tight</v>
      </c>
    </row>
    <row r="1997">
      <c r="A1997" s="1">
        <v>5.0</v>
      </c>
      <c r="B1997" s="1" t="s">
        <v>1986</v>
      </c>
      <c r="C1997" t="str">
        <f>IFERROR(__xludf.DUMMYFUNCTION("GOOGLETRANSLATE(B1997, ""es"", ""en"")"),"It pretty comfortable and are comfortable and well miss, sure he buys more")</f>
        <v>It pretty comfortable and are comfortable and well miss, sure he buys more</v>
      </c>
    </row>
    <row r="1998">
      <c r="A1998" s="1">
        <v>5.0</v>
      </c>
      <c r="B1998" s="1" t="s">
        <v>1987</v>
      </c>
      <c r="C1998" t="str">
        <f>IFERROR(__xludf.DUMMYFUNCTION("GOOGLETRANSLATE(B1998, ""es"", ""en"")"),"Diffuser'm happy if you put essential oils smell leaves a great house")</f>
        <v>Diffuser'm happy if you put essential oils smell leaves a great house</v>
      </c>
    </row>
    <row r="1999">
      <c r="A1999" s="1">
        <v>5.0</v>
      </c>
      <c r="B1999" s="1" t="s">
        <v>1988</v>
      </c>
      <c r="C1999" t="str">
        <f>IFERROR(__xludf.DUMMYFUNCTION("GOOGLETRANSLATE(B1999, ""es"", ""en"")"),"Comfy Very handy, very convenient to use, I have others like that, but this especially liked by the fact of having three types of connection rather than the usual two.")</f>
        <v>Comfy Very handy, very convenient to use, I have others like that, but this especially liked by the fact of having three types of connection rather than the usual two.</v>
      </c>
    </row>
    <row r="2000">
      <c r="A2000" s="1">
        <v>5.0</v>
      </c>
      <c r="B2000" s="1" t="s">
        <v>1989</v>
      </c>
      <c r="C2000" t="str">
        <f>IFERROR(__xludf.DUMMYFUNCTION("GOOGLETRANSLATE(B2000, ""es"", ""en"")"),"Powerful and useful accessories I bought this mixer for complete varieties and uses that have offered, and so it is true for many more things, not just for smoothies. I have tried some of smoothies, ice and coffee beans and grinds and chops certainly very"&amp;" well, of course it depends on the blades to say, I love your turbo mode even I think it has plenty of power for not abuse it. Its function is to stop overheating in case but I wanted to force obviously itching and neither has suffered coffee bean, is sup"&amp;"er powerful. Stability aspects in also love having the suckers as legs and as I said before the quality of materials and different sizes of glasses and accessories, all very secretive, anyway. As an paste, the noise emitted mainly in ice for example but i"&amp;"s practically invitable guess for this type of machine.")</f>
        <v>Powerful and useful accessories I bought this mixer for complete varieties and uses that have offered, and so it is true for many more things, not just for smoothies. I have tried some of smoothies, ice and coffee beans and grinds and chops certainly very well, of course it depends on the blades to say, I love your turbo mode even I think it has plenty of power for not abuse it. Its function is to stop overheating in case but I wanted to force obviously itching and neither has suffered coffee bean, is super powerful. Stability aspects in also love having the suckers as legs and as I said before the quality of materials and different sizes of glasses and accessories, all very secretive, anyway. As an paste, the noise emitted mainly in ice for example but is practically invitable guess for this type of machine.</v>
      </c>
    </row>
    <row r="2001">
      <c r="A2001" s="1">
        <v>5.0</v>
      </c>
      <c r="B2001" s="1" t="s">
        <v>1990</v>
      </c>
      <c r="C2001" t="str">
        <f>IFERROR(__xludf.DUMMYFUNCTION("GOOGLETRANSLATE(B2001, ""es"", ""en"")"),"smells fresh and pure lemon lemon scent smells Perfection whole thing as home use also use the smell lasts days without using the humidifier .. super happy d good result")</f>
        <v>smells fresh and pure lemon lemon scent smells Perfection whole thing as home use also use the smell lasts days without using the humidifier .. super happy d good result</v>
      </c>
    </row>
    <row r="2002">
      <c r="A2002" s="1">
        <v>5.0</v>
      </c>
      <c r="B2002" s="1" t="s">
        <v>1991</v>
      </c>
      <c r="C2002" t="str">
        <f>IFERROR(__xludf.DUMMYFUNCTION("GOOGLETRANSLATE(B2002, ""es"", ""en"")"),"Very nice model. The price is expensive but good can happen.")</f>
        <v>Very nice model. The price is expensive but good can happen.</v>
      </c>
    </row>
    <row r="2003">
      <c r="A2003" s="1">
        <v>5.0</v>
      </c>
      <c r="B2003" s="1" t="s">
        <v>1992</v>
      </c>
      <c r="C2003" t="str">
        <f>IFERROR(__xludf.DUMMYFUNCTION("GOOGLETRANSLATE(B2003, ""es"", ""en"")"),"Very comfortable. The main thing, that are comfortable and they are, are the second to buy this brand and can assure you that back to buy a pair of sandals in Chinese in my life, although the use at home, this summer will go with them all frank sides to t"&amp;"he jungle and who does not like to drink water.")</f>
        <v>Very comfortable. The main thing, that are comfortable and they are, are the second to buy this brand and can assure you that back to buy a pair of sandals in Chinese in my life, although the use at home, this summer will go with them all frank sides to the jungle and who does not like to drink water.</v>
      </c>
    </row>
    <row r="2004">
      <c r="A2004" s="1">
        <v>5.0</v>
      </c>
      <c r="B2004" s="1" t="s">
        <v>1993</v>
      </c>
      <c r="C2004" t="str">
        <f>IFERROR(__xludf.DUMMYFUNCTION("GOOGLETRANSLATE(B2004, ""es"", ""en"")"),"shoes comfortable shoes arrived in the specified time, are very light and comfortable to walk")</f>
        <v>shoes comfortable shoes arrived in the specified time, are very light and comfortable to walk</v>
      </c>
    </row>
    <row r="2005">
      <c r="A2005" s="1">
        <v>5.0</v>
      </c>
      <c r="B2005" s="1" t="s">
        <v>1994</v>
      </c>
      <c r="C2005" t="str">
        <f>IFERROR(__xludf.DUMMYFUNCTION("GOOGLETRANSLATE(B2005, ""es"", ""en"")"),"Smoothies magnificant and gazpacho Very powerful and quick and easy to clean. The only negative is that it is a bit cumbersome")</f>
        <v>Smoothies magnificant and gazpacho Very powerful and quick and easy to clean. The only negative is that it is a bit cumbersome</v>
      </c>
    </row>
    <row r="2006">
      <c r="A2006" s="1">
        <v>5.0</v>
      </c>
      <c r="B2006" s="1" t="s">
        <v>1995</v>
      </c>
      <c r="C2006" t="str">
        <f>IFERROR(__xludf.DUMMYFUNCTION("GOOGLETRANSLATE(B2006, ""es"", ""en"")"),"You are very great")</f>
        <v>You are very great</v>
      </c>
    </row>
    <row r="2007">
      <c r="A2007" s="1">
        <v>2.0</v>
      </c>
      <c r="B2007" s="1" t="s">
        <v>1996</v>
      </c>
      <c r="C2007" t="str">
        <f>IFERROR(__xludf.DUMMYFUNCTION("GOOGLETRANSLATE(B2007, ""es"", ""en"")"),"Chain chain fine fine, I had to return because it was for a gift and it seemed very fragile, and being so thin")</f>
        <v>Chain chain fine fine, I had to return because it was for a gift and it seemed very fragile, and being so thin</v>
      </c>
    </row>
    <row r="2008">
      <c r="A2008" s="1">
        <v>3.0</v>
      </c>
      <c r="B2008" s="1" t="s">
        <v>1997</v>
      </c>
      <c r="C2008" t="str">
        <f>IFERROR(__xludf.DUMMYFUNCTION("GOOGLETRANSLATE(B2008, ""es"", ""en"")"),"Soled velvet. I bought impossible for Street heel for a wedding. I recognize that I saw something strange in the template velvet ... But I did not realize that the sole is also velvet !! It is impossible to put it on to go out, a shame. While I recognize "&amp;"that it appears clear that are for dancing, but maybe my opinion will be useful to anyone you pass the same as my")</f>
        <v>Soled velvet. I bought impossible for Street heel for a wedding. I recognize that I saw something strange in the template velvet ... But I did not realize that the sole is also velvet !! It is impossible to put it on to go out, a shame. While I recognize that it appears clear that are for dancing, but maybe my opinion will be useful to anyone you pass the same as my</v>
      </c>
    </row>
    <row r="2009">
      <c r="A2009" s="1">
        <v>3.0</v>
      </c>
      <c r="B2009" s="1" t="s">
        <v>1998</v>
      </c>
      <c r="C2009" t="str">
        <f>IFERROR(__xludf.DUMMYFUNCTION("GOOGLETRANSLATE(B2009, ""es"", ""en"")"),"Although the function is good good weigh much and hurt you in the nose it is the magnifiers batteries are good but would be better if the light was more powerful")</f>
        <v>Although the function is good good weigh much and hurt you in the nose it is the magnifiers batteries are good but would be better if the light was more powerful</v>
      </c>
    </row>
    <row r="2010">
      <c r="A2010" s="1">
        <v>1.0</v>
      </c>
      <c r="B2010" s="1" t="s">
        <v>1999</v>
      </c>
      <c r="C2010" t="str">
        <f>IFERROR(__xludf.DUMMYFUNCTION("GOOGLETRANSLATE(B2010, ""es"", ""en"")"),"BarataPero not meet respective carton for packaging does not stick breaks easily enough and shooting to pack")</f>
        <v>BarataPero not meet respective carton for packaging does not stick breaks easily enough and shooting to pack</v>
      </c>
    </row>
    <row r="2011">
      <c r="A2011" s="1">
        <v>1.0</v>
      </c>
      <c r="B2011" s="1" t="s">
        <v>2000</v>
      </c>
      <c r="C2011" t="str">
        <f>IFERROR(__xludf.DUMMYFUNCTION("GOOGLETRANSLATE(B2011, ""es"", ""en"")"),"Very uncomfortable! They are false, the truth is that I have many brand shoes and none are so uncomfortable how are you !!! The take a while, well, as you are more than 2 hours .... wracking feet ...")</f>
        <v>Very uncomfortable! They are false, the truth is that I have many brand shoes and none are so uncomfortable how are you !!! The take a while, well, as you are more than 2 hours .... wracking feet ...</v>
      </c>
    </row>
    <row r="2012">
      <c r="A2012" s="1">
        <v>4.0</v>
      </c>
      <c r="B2012" s="1" t="s">
        <v>2001</v>
      </c>
      <c r="C2012" t="str">
        <f>IFERROR(__xludf.DUMMYFUNCTION("GOOGLETRANSLATE(B2012, ""es"", ""en"")"),"Petite is light but the sizes are quite small. I have given it to someone else.")</f>
        <v>Petite is light but the sizes are quite small. I have given it to someone else.</v>
      </c>
    </row>
    <row r="2013">
      <c r="A2013" s="1">
        <v>4.0</v>
      </c>
      <c r="B2013" s="1" t="s">
        <v>2002</v>
      </c>
      <c r="C2013" t="str">
        <f>IFERROR(__xludf.DUMMYFUNCTION("GOOGLETRANSLATE(B2013, ""es"", ""en"")"),"Great naked eye The truth is simple great view. As negative is that they did not come in the original box, they came in a white with a sticker saying that the box had been broken in transit and so put this. I asked others from another number and if they c"&amp;"ame in the original box so good, everything will be try. Carve small, I read in comments so for me it took a 38 2/3 and are great (just enough to use in winter with a sock too big) but very strong grip with Quicklace system. I read that are hard, and lack"&amp;" of try walking I would not have found if it is true that this is the model of cloth (not Goretex) and perhaps that's a bit more ""soft"". Let's go do some trekking in the coming weeks, so we'll be updating the comment!")</f>
        <v>Great naked eye The truth is simple great view. As negative is that they did not come in the original box, they came in a white with a sticker saying that the box had been broken in transit and so put this. I asked others from another number and if they came in the original box so good, everything will be try. Carve small, I read in comments so for me it took a 38 2/3 and are great (just enough to use in winter with a sock too big) but very strong grip with Quicklace system. I read that are hard, and lack of try walking I would not have found if it is true that this is the model of cloth (not Goretex) and perhaps that's a bit more "soft". Let's go do some trekking in the coming weeks, so we'll be updating the comment!</v>
      </c>
    </row>
    <row r="2014">
      <c r="A2014" s="1">
        <v>4.0</v>
      </c>
      <c r="B2014" s="1" t="s">
        <v>2003</v>
      </c>
      <c r="C2014" t="str">
        <f>IFERROR(__xludf.DUMMYFUNCTION("GOOGLETRANSLATE(B2014, ""es"", ""en"")"),"Sound very good but stick out from the ears. The sound is very good and perfectly fulfill their handsfree and headphones but put some negative aspects have to say about out much of the ears and this makes them a little uncomfortable when listening to musi"&amp;"c lying in bed for example .")</f>
        <v>Sound very good but stick out from the ears. The sound is very good and perfectly fulfill their handsfree and headphones but put some negative aspects have to say about out much of the ears and this makes them a little uncomfortable when listening to music lying in bed for example .</v>
      </c>
    </row>
    <row r="2015">
      <c r="A2015" s="1">
        <v>4.0</v>
      </c>
      <c r="B2015" s="1" t="s">
        <v>2004</v>
      </c>
      <c r="C2015" t="str">
        <f>IFERROR(__xludf.DUMMYFUNCTION("GOOGLETRANSLATE(B2015, ""es"", ""en"")"),"Powerful sound sounds great. It's a bit bulky carry, not very well where to place the speaker and the headset as I have a small head left me a little big ... has USB reader and high and sharp music also sounds. I'm pretty happy with the")</f>
        <v>Powerful sound sounds great. It's a bit bulky carry, not very well where to place the speaker and the headset as I have a small head left me a little big ... has USB reader and high and sharp music also sounds. I'm pretty happy with the</v>
      </c>
    </row>
    <row r="2016">
      <c r="A2016" s="1">
        <v>4.0</v>
      </c>
      <c r="B2016" s="1" t="s">
        <v>2005</v>
      </c>
      <c r="C2016" t="str">
        <f>IFERROR(__xludf.DUMMYFUNCTION("GOOGLETRANSLATE(B2016, ""es"", ""en"")"),"Powerful mixer The mixer is super powerful .... but part of anchor mincing wore to the first use ... shame they do not improve those parts in a blender ... I is that I need tantonla comonla mincer mixer .. ..if you only use the blender is good would recom"&amp;"mend maquina..la")</f>
        <v>Powerful mixer The mixer is super powerful .... but part of anchor mincing wore to the first use ... shame they do not improve those parts in a blender ... I is that I need tantonla comonla mincer mixer .. ..if you only use the blender is good would recommend maquina..la</v>
      </c>
    </row>
    <row r="2017">
      <c r="A2017" s="1">
        <v>5.0</v>
      </c>
      <c r="B2017" s="1" t="s">
        <v>2006</v>
      </c>
      <c r="C2017" t="str">
        <f>IFERROR(__xludf.DUMMYFUNCTION("GOOGLETRANSLATE(B2017, ""es"", ""en"")"),"Good presentation, good price. I use it to soothe nasal congestion. It's going great. Good presentation, good price.")</f>
        <v>Good presentation, good price. I use it to soothe nasal congestion. It's going great. Good presentation, good price.</v>
      </c>
    </row>
    <row r="2018">
      <c r="A2018" s="1">
        <v>5.0</v>
      </c>
      <c r="B2018" s="1" t="s">
        <v>2007</v>
      </c>
      <c r="C2018" t="str">
        <f>IFERROR(__xludf.DUMMYFUNCTION("GOOGLETRANSLATE(B2018, ""es"", ""en"")"),"Comfortable and spacious I change model or color, but Skechers sports are you used to work and go to the gym for years. Within cms their sizing is somewhat wider than other brands but for my perfect pq is my ideal size (in other female models no my measur"&amp;"e or hardly any) someone commented that did not come with the extra pair of laces, had to be the model change or something pq and go several sporting this brand come without that extra cord before")</f>
        <v>Comfortable and spacious I change model or color, but Skechers sports are you used to work and go to the gym for years. Within cms their sizing is somewhat wider than other brands but for my perfect pq is my ideal size (in other female models no my measure or hardly any) someone commented that did not come with the extra pair of laces, had to be the model change or something pq and go several sporting this brand come without that extra cord before</v>
      </c>
    </row>
    <row r="2019">
      <c r="A2019" s="1">
        <v>5.0</v>
      </c>
      <c r="B2019" s="1" t="s">
        <v>2008</v>
      </c>
      <c r="C2019" t="str">
        <f>IFERROR(__xludf.DUMMYFUNCTION("GOOGLETRANSLATE(B2019, ""es"", ""en"")"),"Comodisimos The most comfortable I've ever had; nor are loose or tighten the ears. The sound seems pretty good. The microphone works perfectly. They can be used on your computer.")</f>
        <v>Comodisimos The most comfortable I've ever had; nor are loose or tighten the ears. The sound seems pretty good. The microphone works perfectly. They can be used on your computer.</v>
      </c>
    </row>
    <row r="2020">
      <c r="A2020" s="1">
        <v>5.0</v>
      </c>
      <c r="B2020" s="1" t="s">
        <v>2009</v>
      </c>
      <c r="C2020" t="str">
        <f>IFERROR(__xludf.DUMMYFUNCTION("GOOGLETRANSLATE(B2020, ""es"", ""en"")"),"Amplifier amplifies your voice a lot also with some ec and I join the mobile play any song and sing wing tua time in a mixing effect is very good.")</f>
        <v>Amplifier amplifies your voice a lot also with some ec and I join the mobile play any song and sing wing tua time in a mixing effect is very good.</v>
      </c>
    </row>
    <row r="2021">
      <c r="A2021" s="1">
        <v>5.0</v>
      </c>
      <c r="B2021" s="1" t="s">
        <v>2010</v>
      </c>
      <c r="C2021" t="str">
        <f>IFERROR(__xludf.DUMMYFUNCTION("GOOGLETRANSLATE(B2021, ""es"", ""en"")"),"Micro SD, at a good price when you buy it, 5 years later half. Used in a sports camera for 4 years Sporadic use still works without problem, recording at 1080 @ 60, also used a mobile during winter it gives transfer rates of about 6MB in writing. (My phon"&amp;"e is a xiaomi redmi note 5 Pro) Actual capacity same as I have come to fill the card with the camera sports without any kind of problem. Any questions I'll be happy to help resolve it.")</f>
        <v>Micro SD, at a good price when you buy it, 5 years later half. Used in a sports camera for 4 years Sporadic use still works without problem, recording at 1080 @ 60, also used a mobile during winter it gives transfer rates of about 6MB in writing. (My phone is a xiaomi redmi note 5 Pro) Actual capacity same as I have come to fill the card with the camera sports without any kind of problem. Any questions I'll be happy to help resolve it.</v>
      </c>
    </row>
    <row r="2022">
      <c r="A2022" s="1">
        <v>5.0</v>
      </c>
      <c r="B2022" s="1" t="s">
        <v>2011</v>
      </c>
      <c r="C2022" t="str">
        <f>IFERROR(__xludf.DUMMYFUNCTION("GOOGLETRANSLATE(B2022, ""es"", ""en"")"),"Super nice beautiful")</f>
        <v>Super nice beautiful</v>
      </c>
    </row>
    <row r="2023">
      <c r="A2023" s="1">
        <v>5.0</v>
      </c>
      <c r="B2023" s="1" t="s">
        <v>2012</v>
      </c>
      <c r="C2023" t="str">
        <f>IFERROR(__xludf.DUMMYFUNCTION("GOOGLETRANSLATE(B2023, ""es"", ""en"")"),"They fit well okay unmarked positions are very good and are economical. These very well priced and has many models")</f>
        <v>They fit well okay unmarked positions are very good and are economical. These very well priced and has many models</v>
      </c>
    </row>
    <row r="2024">
      <c r="A2024" s="1">
        <v>5.0</v>
      </c>
      <c r="B2024" s="1" t="s">
        <v>2013</v>
      </c>
      <c r="C2024" t="str">
        <f>IFERROR(__xludf.DUMMYFUNCTION("GOOGLETRANSLATE(B2024, ""es"", ""en"")"),"Good headphones with very good good autonomia headphones at a reasonable price. I have liked these headphones that are loaded alone in its case when you put them on. Light alone when you get on and off and loaded when you put them in their case, thus havi"&amp;"ng up to 24 hours of battery life according to its manual since it has not yet had time to discharge the battery box. I struggled a bit because I did not read link manual and must be linked-connect only the right and the left is automatically connected. S"&amp;"ummarizing. Good product, you hear very well, light and very good autonomy. What more could you want?")</f>
        <v>Good headphones with very good good autonomia headphones at a reasonable price. I have liked these headphones that are loaded alone in its case when you put them on. Light alone when you get on and off and loaded when you put them in their case, thus having up to 24 hours of battery life according to its manual since it has not yet had time to discharge the battery box. I struggled a bit because I did not read link manual and must be linked-connect only the right and the left is automatically connected. Summarizing. Good product, you hear very well, light and very good autonomy. What more could you want?</v>
      </c>
    </row>
    <row r="2025">
      <c r="A2025" s="1">
        <v>5.0</v>
      </c>
      <c r="B2025" s="1" t="s">
        <v>2014</v>
      </c>
      <c r="C2025" t="str">
        <f>IFERROR(__xludf.DUMMYFUNCTION("GOOGLETRANSLATE(B2025, ""es"", ""en"")"),"Very handy size size and quality of the materials used makes it very suitable for recording small reminder messages, the shopping list, taking medication, etc.")</f>
        <v>Very handy size size and quality of the materials used makes it very suitable for recording small reminder messages, the shopping list, taking medication, etc.</v>
      </c>
    </row>
    <row r="2026">
      <c r="A2026" s="1">
        <v>5.0</v>
      </c>
      <c r="B2026" s="1" t="s">
        <v>2015</v>
      </c>
      <c r="C2026" t="str">
        <f>IFERROR(__xludf.DUMMYFUNCTION("GOOGLETRANSLATE(B2026, ""es"", ""en"")"),"It's great It was a gift for my partner, and loves it. It has been using since 8 months and does not have a scratch despite being training with that clock.")</f>
        <v>It's great It was a gift for my partner, and loves it. It has been using since 8 months and does not have a scratch despite being training with that clock.</v>
      </c>
    </row>
    <row r="2027">
      <c r="A2027" s="1">
        <v>5.0</v>
      </c>
      <c r="B2027" s="1" t="s">
        <v>2016</v>
      </c>
      <c r="C2027" t="str">
        <f>IFERROR(__xludf.DUMMYFUNCTION("GOOGLETRANSLATE(B2027, ""es"", ""en"")"),"Authentic aroma and the mixture seems genuine aroma is quite strong because I used to sleep, and with a drop goes a long way.")</f>
        <v>Authentic aroma and the mixture seems genuine aroma is quite strong because I used to sleep, and with a drop goes a long way.</v>
      </c>
    </row>
    <row r="2028">
      <c r="A2028" s="1">
        <v>5.0</v>
      </c>
      <c r="B2028" s="1" t="s">
        <v>2017</v>
      </c>
      <c r="C2028" t="str">
        <f>IFERROR(__xludf.DUMMYFUNCTION("GOOGLETRANSLATE(B2028, ""es"", ""en"")"),"I needed an external hdd is that it works very well. Bring several extras like Cloud Save ... etc but I have not used at all. It was for my girlfriend and goes perfect, the truth is that it's faster than I experaba but without becoming an ssd hdd but to b"&amp;"e doing well and is now serving.")</f>
        <v>I needed an external hdd is that it works very well. Bring several extras like Cloud Save ... etc but I have not used at all. It was for my girlfriend and goes perfect, the truth is that it's faster than I experaba but without becoming an ssd hdd but to be doing well and is now serving.</v>
      </c>
    </row>
    <row r="2029">
      <c r="A2029" s="1">
        <v>5.0</v>
      </c>
      <c r="B2029" s="1" t="s">
        <v>2018</v>
      </c>
      <c r="C2029" t="str">
        <f>IFERROR(__xludf.DUMMYFUNCTION("GOOGLETRANSLATE(B2029, ""es"", ""en"")"),"Great Genial.Como always converse never fails. I order a number minus, as always. It is to know that Converse and Vans carved large.")</f>
        <v>Great Genial.Como always converse never fails. I order a number minus, as always. It is to know that Converse and Vans carved large.</v>
      </c>
    </row>
    <row r="2030">
      <c r="A2030" s="1">
        <v>5.0</v>
      </c>
      <c r="B2030" s="1" t="s">
        <v>2019</v>
      </c>
      <c r="C2030" t="str">
        <f>IFERROR(__xludf.DUMMYFUNCTION("GOOGLETRANSLATE(B2030, ""es"", ""en"")"),"prompt delivery are I wanted, I like")</f>
        <v>prompt delivery are I wanted, I like</v>
      </c>
    </row>
    <row r="2031">
      <c r="A2031" s="1">
        <v>5.0</v>
      </c>
      <c r="B2031" s="1" t="s">
        <v>2020</v>
      </c>
      <c r="C2031" t="str">
        <f>IFERROR(__xludf.DUMMYFUNCTION("GOOGLETRANSLATE(B2031, ""es"", ""en"")"),"Le perfectly fulfills its function give 5 stars to this product because it perfectly fulfills its function giving very good quality. I use it for radio podcast and so far has not given me any problems. The product but, if we seek it, you do not own button"&amp;" ON / OFF")</f>
        <v>Le perfectly fulfills its function give 5 stars to this product because it perfectly fulfills its function giving very good quality. I use it for radio podcast and so far has not given me any problems. The product but, if we seek it, you do not own button ON / OFF</v>
      </c>
    </row>
    <row r="2032">
      <c r="A2032" s="1">
        <v>5.0</v>
      </c>
      <c r="B2032" s="1" t="s">
        <v>2021</v>
      </c>
      <c r="C2032" t="str">
        <f>IFERROR(__xludf.DUMMYFUNCTION("GOOGLETRANSLATE(B2032, ""es"", ""en"")"),"Excellent Super useful, the same box made of dispenser simplifies work gluing and super fine paste.")</f>
        <v>Excellent Super useful, the same box made of dispenser simplifies work gluing and super fine paste.</v>
      </c>
    </row>
    <row r="2033">
      <c r="A2033" s="1">
        <v>5.0</v>
      </c>
      <c r="B2033" s="1" t="s">
        <v>2022</v>
      </c>
      <c r="C2033" t="str">
        <f>IFERROR(__xludf.DUMMYFUNCTION("GOOGLETRANSLATE(B2033, ""es"", ""en"")"),"It's what I wanted Perfect")</f>
        <v>It's what I wanted Perfect</v>
      </c>
    </row>
    <row r="2034">
      <c r="A2034" s="1">
        <v>5.0</v>
      </c>
      <c r="B2034" s="1" t="s">
        <v>2023</v>
      </c>
      <c r="C2034" t="str">
        <f>IFERROR(__xludf.DUMMYFUNCTION("GOOGLETRANSLATE(B2034, ""es"", ""en"")"),"Good sound So I could try the moment, sounds pretty good and strong, the only fault I see is him bluetooth you have to be pretty close if sometimes is not cut")</f>
        <v>Good sound So I could try the moment, sounds pretty good and strong, the only fault I see is him bluetooth you have to be pretty close if sometimes is not cut</v>
      </c>
    </row>
    <row r="2035">
      <c r="A2035" s="1">
        <v>5.0</v>
      </c>
      <c r="B2035" s="1" t="s">
        <v>2024</v>
      </c>
      <c r="C2035" t="str">
        <f>IFERROR(__xludf.DUMMYFUNCTION("GOOGLETRANSLATE(B2035, ""es"", ""en"")"),"Perfect use good buy for a couple, very soft and my partner likes me. The controller detects well and although it sounds a bit is perfect. 12 positions and are changed very well from one another")</f>
        <v>Perfect use good buy for a couple, very soft and my partner likes me. The controller detects well and although it sounds a bit is perfect. 12 positions and are changed very well from one another</v>
      </c>
    </row>
    <row r="2036">
      <c r="A2036" s="1">
        <v>2.0</v>
      </c>
      <c r="B2036" s="1" t="s">
        <v>2025</v>
      </c>
      <c r="C2036" t="str">
        <f>IFERROR(__xludf.DUMMYFUNCTION("GOOGLETRANSLATE(B2036, ""es"", ""en"")"),"Well tinged A washing a brown or yellowish spots remain .... by side and where abujeros cords")</f>
        <v>Well tinged A washing a brown or yellowish spots remain .... by side and where abujeros cords</v>
      </c>
    </row>
    <row r="2037">
      <c r="A2037" s="1">
        <v>3.0</v>
      </c>
      <c r="B2037" s="1" t="s">
        <v>2026</v>
      </c>
      <c r="C2037" t="str">
        <f>IFERROR(__xludf.DUMMYFUNCTION("GOOGLETRANSLATE(B2037, ""es"", ""en"")"),"In the picture looks better I gave the bag to my boyfriend, he is more or less happy, but to me it seems a bit big and canvas, for my taste if smaller would be cuter and less robust.")</f>
        <v>In the picture looks better I gave the bag to my boyfriend, he is more or less happy, but to me it seems a bit big and canvas, for my taste if smaller would be cuter and less robust.</v>
      </c>
    </row>
    <row r="2038">
      <c r="A2038" s="1">
        <v>1.0</v>
      </c>
      <c r="B2038" s="1" t="s">
        <v>2027</v>
      </c>
      <c r="C2038" t="str">
        <f>IFERROR(__xludf.DUMMYFUNCTION("GOOGLETRANSLATE(B2038, ""es"", ""en"")"),"Very disappointing The cap is the most uncomfortable I've seen in a kettle in my life. Is supposed to have to take the water from the outlet nozzle but, oh, there is the lime filter, so if water will miss all to within. It also has a strange vertical meta"&amp;"l rod that is not there and know what makes it very difficult to clean. Plastic is bad, very disappointing for this brand because I have another model for years and nothing to do. Finally, the design has nothing compact. If I return it is not doing the ha"&amp;"ssle of having to go to the post office.")</f>
        <v>Very disappointing The cap is the most uncomfortable I've seen in a kettle in my life. Is supposed to have to take the water from the outlet nozzle but, oh, there is the lime filter, so if water will miss all to within. It also has a strange vertical metal rod that is not there and know what makes it very difficult to clean. Plastic is bad, very disappointing for this brand because I have another model for years and nothing to do. Finally, the design has nothing compact. If I return it is not doing the hassle of having to go to the post office.</v>
      </c>
    </row>
    <row r="2039">
      <c r="A2039" s="1">
        <v>1.0</v>
      </c>
      <c r="B2039" s="1" t="s">
        <v>2028</v>
      </c>
      <c r="C2039" t="str">
        <f>IFERROR(__xludf.DUMMYFUNCTION("GOOGLETRANSLATE(B2039, ""es"", ""en"")"),"Cable fa d'antenna. A cop connectat, amb els auriculars posats, quan touches the cable sents soroll, which indicates that is not ben aillat. Lathe d'immediat.")</f>
        <v>Cable fa d'antenna. A cop connectat, amb els auriculars posats, quan touches the cable sents soroll, which indicates that is not ben aillat. Lathe d'immediat.</v>
      </c>
    </row>
    <row r="2040">
      <c r="A2040" s="1">
        <v>4.0</v>
      </c>
      <c r="B2040" s="1" t="s">
        <v>2029</v>
      </c>
      <c r="C2040" t="str">
        <f>IFERROR(__xludf.DUMMYFUNCTION("GOOGLETRANSLATE(B2040, ""es"", ""en"")"),"A Casio .... like most of those in a lifetime. In the images it appears to be a robust clock as before, but the fact that when you have it in hand seems pretty weak, but everything inside is what was intended, a Casio of lifelong except as mentioned.")</f>
        <v>A Casio .... like most of those in a lifetime. In the images it appears to be a robust clock as before, but the fact that when you have it in hand seems pretty weak, but everything inside is what was intended, a Casio of lifelong except as mentioned.</v>
      </c>
    </row>
    <row r="2041">
      <c r="A2041" s="1">
        <v>4.0</v>
      </c>
      <c r="B2041" s="1" t="s">
        <v>2030</v>
      </c>
      <c r="C2041" t="str">
        <f>IFERROR(__xludf.DUMMYFUNCTION("GOOGLETRANSLATE(B2041, ""es"", ""en"")"),"Looks good! Looks good! Felted fabric inside and very smooth. He arrived earlier than expected")</f>
        <v>Looks good! Looks good! Felted fabric inside and very smooth. He arrived earlier than expected</v>
      </c>
    </row>
    <row r="2042">
      <c r="A2042" s="1">
        <v>4.0</v>
      </c>
      <c r="B2042" s="1" t="s">
        <v>2031</v>
      </c>
      <c r="C2042" t="str">
        <f>IFERROR(__xludf.DUMMYFUNCTION("GOOGLETRANSLATE(B2042, ""es"", ""en"")"),"Discreet is nice, but not as much as in the photo. In the picture looks larger, and it is actually quite small, so would not recommend it as a gift, something would be ""poor"". But overall it's okay, I take her warmly.")</f>
        <v>Discreet is nice, but not as much as in the photo. In the picture looks larger, and it is actually quite small, so would not recommend it as a gift, something would be "poor". But overall it's okay, I take her warmly.</v>
      </c>
    </row>
    <row r="2043">
      <c r="A2043" s="1">
        <v>4.0</v>
      </c>
      <c r="B2043" s="1" t="s">
        <v>2032</v>
      </c>
      <c r="C2043" t="str">
        <f>IFERROR(__xludf.DUMMYFUNCTION("GOOGLETRANSLATE(B2043, ""es"", ""en"")"),"COMFORTABLE AND GOOD QUALITY surprising how light they are. Although they appear larger than normal headphones, once you place them and adjust well, nor feel. The sound quality is acceptable, without distortion or parasites, but sin a little lack of bass."&amp;" The charging base is very practical and small and fits into any pocket, even if it costs a little remove the earphones from her, because of the strong bond magnetic when they are in your accommodation, is welcome because it guarantees they will not fall "&amp;"or being upside down. Unfortunately I could not test them with live radio broadcast because my phone uses the headphone jack as well as an antenna and if you put a jack simulated shooting, do not duplicate the sound by bluetooth.")</f>
        <v>COMFORTABLE AND GOOD QUALITY surprising how light they are. Although they appear larger than normal headphones, once you place them and adjust well, nor feel. The sound quality is acceptable, without distortion or parasites, but sin a little lack of bass. The charging base is very practical and small and fits into any pocket, even if it costs a little remove the earphones from her, because of the strong bond magnetic when they are in your accommodation, is welcome because it guarantees they will not fall or being upside down. Unfortunately I could not test them with live radio broadcast because my phone uses the headphone jack as well as an antenna and if you put a jack simulated shooting, do not duplicate the sound by bluetooth.</v>
      </c>
    </row>
    <row r="2044">
      <c r="A2044" s="1">
        <v>4.0</v>
      </c>
      <c r="B2044" s="1" t="s">
        <v>2033</v>
      </c>
      <c r="C2044" t="str">
        <f>IFERROR(__xludf.DUMMYFUNCTION("GOOGLETRANSLATE(B2044, ""es"", ""en"")"),"Small Hello I like very much, really not as expected good quality, but have to return, I remain very tight, I really tightens the waist, no larger sizes, very kind when asking the why of the return without problems when money back annoyingly, I'm going to"&amp;" have to put on a diet, I miss him of course, but already after summer. saludoss")</f>
        <v>Small Hello I like very much, really not as expected good quality, but have to return, I remain very tight, I really tightens the waist, no larger sizes, very kind when asking the why of the return without problems when money back annoyingly, I'm going to have to put on a diet, I miss him of course, but already after summer. saludoss</v>
      </c>
    </row>
    <row r="2045">
      <c r="A2045" s="1">
        <v>5.0</v>
      </c>
      <c r="B2045" s="1" t="s">
        <v>2034</v>
      </c>
      <c r="C2045" t="str">
        <f>IFERROR(__xludf.DUMMYFUNCTION("GOOGLETRANSLATE(B2045, ""es"", ""en"")"),"Ideal for running comfortable and perfect for running. The size I chose is perfect me")</f>
        <v>Ideal for running comfortable and perfect for running. The size I chose is perfect me</v>
      </c>
    </row>
    <row r="2046">
      <c r="A2046" s="1">
        <v>5.0</v>
      </c>
      <c r="B2046" s="1" t="s">
        <v>2035</v>
      </c>
      <c r="C2046" t="str">
        <f>IFERROR(__xludf.DUMMYFUNCTION("GOOGLETRANSLATE(B2046, ""es"", ""en"")"),"Ro Perfect for its price. Feel great. Yes, it is ajustadita. Decathlon normally use S and M this model is perfect me (Entalladita, again).")</f>
        <v>Ro Perfect for its price. Feel great. Yes, it is ajustadita. Decathlon normally use S and M this model is perfect me (Entalladita, again).</v>
      </c>
    </row>
    <row r="2047">
      <c r="A2047" s="1">
        <v>5.0</v>
      </c>
      <c r="B2047" s="1" t="s">
        <v>2036</v>
      </c>
      <c r="C2047" t="str">
        <f>IFERROR(__xludf.DUMMYFUNCTION("GOOGLETRANSLATE(B2047, ""es"", ""en"")"),"The shoes are perfect! I love them, do not weigh anything, being perfect wedge are, are very comfortable and the number is as it should be, are great. I recommend them without any doubt and I'm thinking of asking others.")</f>
        <v>The shoes are perfect! I love them, do not weigh anything, being perfect wedge are, are very comfortable and the number is as it should be, are great. I recommend them without any doubt and I'm thinking of asking others.</v>
      </c>
    </row>
    <row r="2048">
      <c r="A2048" s="1">
        <v>5.0</v>
      </c>
      <c r="B2048" s="1" t="s">
        <v>2037</v>
      </c>
      <c r="C2048" t="str">
        <f>IFERROR(__xludf.DUMMYFUNCTION("GOOGLETRANSLATE(B2048, ""es"", ""en"")"),"Very comfortable and lightweight comfortable for summer. Feet do not overheat. The use with work boots and very comfortable")</f>
        <v>Very comfortable and lightweight comfortable for summer. Feet do not overheat. The use with work boots and very comfortable</v>
      </c>
    </row>
    <row r="2049">
      <c r="A2049" s="1">
        <v>5.0</v>
      </c>
      <c r="B2049" s="1" t="s">
        <v>2038</v>
      </c>
      <c r="C2049" t="str">
        <f>IFERROR(__xludf.DUMMYFUNCTION("GOOGLETRANSLATE(B2049, ""es"", ""en"")"),"Very happy with the purchase .As expected chulas")</f>
        <v>Very happy with the purchase .As expected chulas</v>
      </c>
    </row>
    <row r="2050">
      <c r="A2050" s="1">
        <v>5.0</v>
      </c>
      <c r="B2050" s="1" t="s">
        <v>2039</v>
      </c>
      <c r="C2050" t="str">
        <f>IFERROR(__xludf.DUMMYFUNCTION("GOOGLETRANSLATE(B2050, ""es"", ""en"")"),"Todo perfecto trouble")</f>
        <v>Todo perfecto trouble</v>
      </c>
    </row>
    <row r="2051">
      <c r="A2051" s="1">
        <v>5.0</v>
      </c>
      <c r="B2051" s="1" t="s">
        <v>2040</v>
      </c>
      <c r="C2051" t="str">
        <f>IFERROR(__xludf.DUMMYFUNCTION("GOOGLETRANSLATE(B2051, ""es"", ""en"")"),"All great! Everything as expected")</f>
        <v>All great! Everything as expected</v>
      </c>
    </row>
    <row r="2052">
      <c r="A2052" s="1">
        <v>5.0</v>
      </c>
      <c r="B2052" s="1" t="s">
        <v>2041</v>
      </c>
      <c r="C2052" t="str">
        <f>IFERROR(__xludf.DUMMYFUNCTION("GOOGLETRANSLATE(B2052, ""es"", ""en"")"),"I liked different looks fine but is very warm and me is great.")</f>
        <v>I liked different looks fine but is very warm and me is great.</v>
      </c>
    </row>
    <row r="2053">
      <c r="A2053" s="1">
        <v>5.0</v>
      </c>
      <c r="B2053" s="1" t="s">
        <v>2042</v>
      </c>
      <c r="C2053" t="str">
        <f>IFERROR(__xludf.DUMMYFUNCTION("GOOGLETRANSLATE(B2053, ""es"", ""en"")"),"Very cool Very cool and comfortable")</f>
        <v>Very cool Very cool and comfortable</v>
      </c>
    </row>
    <row r="2054">
      <c r="A2054" s="1">
        <v>5.0</v>
      </c>
      <c r="B2054" s="1" t="s">
        <v>2043</v>
      </c>
      <c r="C2054" t="str">
        <f>IFERROR(__xludf.DUMMYFUNCTION("GOOGLETRANSLATE(B2054, ""es"", ""en"")"),"Very comfortable Very comfortable and cool Leggings. It fits perfectly to my body and quite sturdy. It looks good on me, and gives me freedom and dynamism.")</f>
        <v>Very comfortable Very comfortable and cool Leggings. It fits perfectly to my body and quite sturdy. It looks good on me, and gives me freedom and dynamism.</v>
      </c>
    </row>
    <row r="2055">
      <c r="A2055" s="1">
        <v>5.0</v>
      </c>
      <c r="B2055" s="1" t="s">
        <v>2044</v>
      </c>
      <c r="C2055" t="str">
        <f>IFERROR(__xludf.DUMMYFUNCTION("GOOGLETRANSLATE(B2055, ""es"", ""en"")"),"very good quality these folders was just what I wanted to also fit into the box I bought the brand Jalema atlanta. Good value for money.")</f>
        <v>very good quality these folders was just what I wanted to also fit into the box I bought the brand Jalema atlanta. Good value for money.</v>
      </c>
    </row>
    <row r="2056">
      <c r="A2056" s="1">
        <v>5.0</v>
      </c>
      <c r="B2056" s="1" t="s">
        <v>2045</v>
      </c>
      <c r="C2056" t="str">
        <f>IFERROR(__xludf.DUMMYFUNCTION("GOOGLETRANSLATE(B2056, ""es"", ""en"")"),"recommended Perfect")</f>
        <v>recommended Perfect</v>
      </c>
    </row>
    <row r="2057">
      <c r="A2057" s="1">
        <v>5.0</v>
      </c>
      <c r="B2057" s="1" t="s">
        <v>2046</v>
      </c>
      <c r="C2057" t="str">
        <f>IFERROR(__xludf.DUMMYFUNCTION("GOOGLETRANSLATE(B2057, ""es"", ""en"")"),"I liked the palm rest is extremely comfortable, it fits perfectly to the wrist. Soft touch and precise with the mouse. It only remains to see how it evolves over time. It is the best I've had at first sight.")</f>
        <v>I liked the palm rest is extremely comfortable, it fits perfectly to the wrist. Soft touch and precise with the mouse. It only remains to see how it evolves over time. It is the best I've had at first sight.</v>
      </c>
    </row>
    <row r="2058">
      <c r="A2058" s="1">
        <v>5.0</v>
      </c>
      <c r="B2058" s="1" t="s">
        <v>2047</v>
      </c>
      <c r="C2058" t="str">
        <f>IFERROR(__xludf.DUMMYFUNCTION("GOOGLETRANSLATE(B2058, ""es"", ""en"")"),"Prefect perfect purchase.")</f>
        <v>Prefect perfect purchase.</v>
      </c>
    </row>
    <row r="2059">
      <c r="A2059" s="1">
        <v>5.0</v>
      </c>
      <c r="B2059" s="1" t="s">
        <v>2048</v>
      </c>
      <c r="C2059" t="str">
        <f>IFERROR(__xludf.DUMMYFUNCTION("GOOGLETRANSLATE(B2059, ""es"", ""en"")"),"Ideal for shopping list I bought the small to place four notes and shopping list. It makes me laugh that comes with the ledge to leave the pens and eraser, despite how small the board. This repisita is optional, you can not put it if you do not. The board"&amp;" comes with a protective film to prevent scratches, it is a very bright white and paint and erase moment super well and easy.")</f>
        <v>Ideal for shopping list I bought the small to place four notes and shopping list. It makes me laugh that comes with the ledge to leave the pens and eraser, despite how small the board. This repisita is optional, you can not put it if you do not. The board comes with a protective film to prevent scratches, it is a very bright white and paint and erase moment super well and easy.</v>
      </c>
    </row>
    <row r="2060">
      <c r="A2060" s="1">
        <v>5.0</v>
      </c>
      <c r="B2060" s="1" t="s">
        <v>2049</v>
      </c>
      <c r="C2060" t="str">
        <f>IFERROR(__xludf.DUMMYFUNCTION("GOOGLETRANSLATE(B2060, ""es"", ""en"")"),"Quality memory. I tried several cards from different manufacturers and can say that the best, the Samsung. I use all my devices and have never given me a problem.")</f>
        <v>Quality memory. I tried several cards from different manufacturers and can say that the best, the Samsung. I use all my devices and have never given me a problem.</v>
      </c>
    </row>
    <row r="2061">
      <c r="A2061" s="1">
        <v>5.0</v>
      </c>
      <c r="B2061" s="1" t="s">
        <v>2050</v>
      </c>
      <c r="C2061" t="str">
        <f>IFERROR(__xludf.DUMMYFUNCTION("GOOGLETRANSLATE(B2061, ""es"", ""en"")"),"super comfortable super comfortable to work all day standing")</f>
        <v>super comfortable super comfortable to work all day standing</v>
      </c>
    </row>
    <row r="2062">
      <c r="A2062" s="1">
        <v>5.0</v>
      </c>
      <c r="B2062" s="1" t="s">
        <v>2051</v>
      </c>
      <c r="C2062" t="str">
        <f>IFERROR(__xludf.DUMMYFUNCTION("GOOGLETRANSLATE(B2062, ""es"", ""en"")"),"Very practical and it works Va very well, not only for massage. I use it to move those Kilos more and it shows. It is very handy and not having cord will greatly facilitates life at all ... I am very happy with the purchase. It has many modes, many heads "&amp;"and a lot of intensity.")</f>
        <v>Very practical and it works Va very well, not only for massage. I use it to move those Kilos more and it shows. It is very handy and not having cord will greatly facilitates life at all ... I am very happy with the purchase. It has many modes, many heads and a lot of intensity.</v>
      </c>
    </row>
    <row r="2063">
      <c r="A2063" s="1">
        <v>5.0</v>
      </c>
      <c r="B2063" s="1" t="s">
        <v>2052</v>
      </c>
      <c r="C2063" t="str">
        <f>IFERROR(__xludf.DUMMYFUNCTION("GOOGLETRANSLATE(B2063, ""es"", ""en"")"),"Preciosa recommend is beautiful, although not bring box is the k pego I see him, comes in a velvet bag Pandora, but if not for gift recommend 😍, was the regale my sister loved it, it is the original")</f>
        <v>Preciosa recommend is beautiful, although not bring box is the k pego I see him, comes in a velvet bag Pandora, but if not for gift recommend 😍, was the regale my sister loved it, it is the original</v>
      </c>
    </row>
    <row r="2064">
      <c r="A2064" s="1">
        <v>2.0</v>
      </c>
      <c r="B2064" s="1" t="s">
        <v>2053</v>
      </c>
      <c r="C2064" t="str">
        <f>IFERROR(__xludf.DUMMYFUNCTION("GOOGLETRANSLATE(B2064, ""es"", ""en"")"),"As I had years ago works perfectly, even Made in China. Water-resistant and functional. But Crappy belt, has broken the year just buy it for use because it is decaying due to its poor quality. For this reason I do not advise your purchase.")</f>
        <v>As I had years ago works perfectly, even Made in China. Water-resistant and functional. But Crappy belt, has broken the year just buy it for use because it is decaying due to its poor quality. For this reason I do not advise your purchase.</v>
      </c>
    </row>
    <row r="2065">
      <c r="A2065" s="1">
        <v>3.0</v>
      </c>
      <c r="B2065" s="1" t="s">
        <v>2054</v>
      </c>
      <c r="C2065" t="str">
        <f>IFERROR(__xludf.DUMMYFUNCTION("GOOGLETRANSLATE(B2065, ""es"", ""en"")"),"After asking and must reach me the same day. I rode in the Tower of the PC (I recommend the adapter for 2 / 3.5 and secure it) In no more than 20 minutes; He had all connected, ordered cable and the Windows 10 (6/7 minutes installation led in total). Afte"&amp;"r that (and it takes about 15secs to enter the new Windows) I can say that compared to the other hard drive I use (WD Caviar Black 1TB with noise ""ratcheting"") Change is interesting; in my case more noise than the speed (the WD I have more than 6 years "&amp;"will superápido) but it is certainly advisable to have a SSD especially with programs that use both retouching photography and illustration, as video editing . Its 480 gigas enough, that if you already have added other discs is perfect. Very satisfied wit"&amp;"h the purchase, although there SSD's most powerful writing and reading. Cheers")</f>
        <v>After asking and must reach me the same day. I rode in the Tower of the PC (I recommend the adapter for 2 / 3.5 and secure it) In no more than 20 minutes; He had all connected, ordered cable and the Windows 10 (6/7 minutes installation led in total). After that (and it takes about 15secs to enter the new Windows) I can say that compared to the other hard drive I use (WD Caviar Black 1TB with noise "ratcheting") Change is interesting; in my case more noise than the speed (the WD I have more than 6 years will superápido) but it is certainly advisable to have a SSD especially with programs that use both retouching photography and illustration, as video editing . Its 480 gigas enough, that if you already have added other discs is perfect. Very satisfied with the purchase, although there SSD's most powerful writing and reading. Cheers</v>
      </c>
    </row>
    <row r="2066">
      <c r="A2066" s="1">
        <v>3.0</v>
      </c>
      <c r="B2066" s="1" t="s">
        <v>2055</v>
      </c>
      <c r="C2066" t="str">
        <f>IFERROR(__xludf.DUMMYFUNCTION("GOOGLETRANSLATE(B2066, ""es"", ""en"")"),"The headset is disconnected only worked properly and I have a very good insulation and functionality, but all of a sudden having the battery charge to 90% are reset themselves losing communication with devices.")</f>
        <v>The headset is disconnected only worked properly and I have a very good insulation and functionality, but all of a sudden having the battery charge to 90% are reset themselves losing communication with devices.</v>
      </c>
    </row>
    <row r="2067">
      <c r="A2067" s="1">
        <v>1.0</v>
      </c>
      <c r="B2067" s="1" t="s">
        <v>2056</v>
      </c>
      <c r="C2067" t="str">
        <f>IFERROR(__xludf.DUMMYFUNCTION("GOOGLETRANSLATE(B2067, ""es"", ""en"")"),"Misleading advertising The robot cleans well, but it happens several times zones depleted battery, which does not finish cleaning the house, because the battery is depleted early. My house is 50 meters and if we remove less furniture. At the end just me c"&amp;"lean kitchen, lounge and bathroom. If you put it back, does not continue where you left starts over again. The application of mobile, constantly off and stops working. The robot goes haywire in areas with mirrors and add a nonexistent space. Pretty things"&amp;" still need to adjust this robot to work well. I have returned for not fulfilling what they promise. I'm in the process of reintegrating me that money. 10 for Amazon, returns without any problem.")</f>
        <v>Misleading advertising The robot cleans well, but it happens several times zones depleted battery, which does not finish cleaning the house, because the battery is depleted early. My house is 50 meters and if we remove less furniture. At the end just me clean kitchen, lounge and bathroom. If you put it back, does not continue where you left starts over again. The application of mobile, constantly off and stops working. The robot goes haywire in areas with mirrors and add a nonexistent space. Pretty things still need to adjust this robot to work well. I have returned for not fulfilling what they promise. I'm in the process of reintegrating me that money. 10 for Amazon, returns without any problem.</v>
      </c>
    </row>
    <row r="2068">
      <c r="A2068" s="1">
        <v>1.0</v>
      </c>
      <c r="B2068" s="1" t="s">
        <v>2057</v>
      </c>
      <c r="C2068" t="str">
        <f>IFERROR(__xludf.DUMMYFUNCTION("GOOGLETRANSLATE(B2068, ""es"", ""en"")"),"In less disappointed than two months has stopped vacuuming, it worked very well and suddenly has no power. A disappointment because I had read good reviews about it.")</f>
        <v>In less disappointed than two months has stopped vacuuming, it worked very well and suddenly has no power. A disappointment because I had read good reviews about it.</v>
      </c>
    </row>
    <row r="2069">
      <c r="A2069" s="1">
        <v>1.0</v>
      </c>
      <c r="B2069" s="1" t="s">
        <v>2058</v>
      </c>
      <c r="C2069" t="str">
        <f>IFERROR(__xludf.DUMMYFUNCTION("GOOGLETRANSLATE(B2069, ""es"", ""en"")"),"Not worth it. Does not fulfill its function The small removable vacuum cleaner has no power and the main either. After 6 months to have it and I regret buying. Better to spend some more money and have something to really aspire to have a home gizmo that d"&amp;"oes not fulfill its function. I am totally disappointed.")</f>
        <v>Not worth it. Does not fulfill its function The small removable vacuum cleaner has no power and the main either. After 6 months to have it and I regret buying. Better to spend some more money and have something to really aspire to have a home gizmo that does not fulfill its function. I am totally disappointed.</v>
      </c>
    </row>
    <row r="2070">
      <c r="A2070" s="1">
        <v>4.0</v>
      </c>
      <c r="B2070" s="1" t="s">
        <v>2059</v>
      </c>
      <c r="C2070" t="str">
        <f>IFERROR(__xludf.DUMMYFUNCTION("GOOGLETRANSLATE(B2070, ""es"", ""en"")"),"well well")</f>
        <v>well well</v>
      </c>
    </row>
    <row r="2071">
      <c r="A2071" s="1">
        <v>4.0</v>
      </c>
      <c r="B2071" s="1" t="s">
        <v>2060</v>
      </c>
      <c r="C2071" t="str">
        <f>IFERROR(__xludf.DUMMYFUNCTION("GOOGLETRANSLATE(B2071, ""es"", ""en"")"),"Very good buy boots very comfortable. Fully recommended. Although security are weigh nothing. Buy very successful. Would repeat")</f>
        <v>Very good buy boots very comfortable. Fully recommended. Although security are weigh nothing. Buy very successful. Would repeat</v>
      </c>
    </row>
    <row r="2072">
      <c r="A2072" s="1">
        <v>4.0</v>
      </c>
      <c r="B2072" s="1" t="s">
        <v>2061</v>
      </c>
      <c r="C2072" t="str">
        <f>IFERROR(__xludf.DUMMYFUNCTION("GOOGLETRANSLATE(B2072, ""es"", ""en"")"),"Light oil light, pleasant and odorless because using sunflower oil instead of olive oil. I prefer it. Do not expect that smacks of fruit that does not happen to anyone, unless you add artificial aroma, something not desirable. Plastic container; I prefer "&amp;"glass.")</f>
        <v>Light oil light, pleasant and odorless because using sunflower oil instead of olive oil. I prefer it. Do not expect that smacks of fruit that does not happen to anyone, unless you add artificial aroma, something not desirable. Plastic container; I prefer glass.</v>
      </c>
    </row>
    <row r="2073">
      <c r="A2073" s="1">
        <v>4.0</v>
      </c>
      <c r="B2073" s="1" t="s">
        <v>2062</v>
      </c>
      <c r="C2073" t="str">
        <f>IFERROR(__xludf.DUMMYFUNCTION("GOOGLETRANSLATE(B2073, ""es"", ""en"")"),"Functionality and fashion together. Good quality and improved communication with iOS is a clock that is stylish to get dressed and after months of use are not resentful finishes. It is hipercompatible Android (without taking active clock phone application"&amp;" and communicate with a very high level of information) and less with IOS, which does not carry the WearOS active application you off the clock")</f>
        <v>Functionality and fashion together. Good quality and improved communication with iOS is a clock that is stylish to get dressed and after months of use are not resentful finishes. It is hipercompatible Android (without taking active clock phone application and communicate with a very high level of information) and less with IOS, which does not carry the WearOS active application you off the clock</v>
      </c>
    </row>
    <row r="2074">
      <c r="A2074" s="1">
        <v>5.0</v>
      </c>
      <c r="B2074" s="1" t="s">
        <v>2063</v>
      </c>
      <c r="C2074" t="str">
        <f>IFERROR(__xludf.DUMMYFUNCTION("GOOGLETRANSLATE(B2074, ""es"", ""en"")"),"While they are fine, carved as expected. It takes a week to arrive")</f>
        <v>While they are fine, carved as expected. It takes a week to arrive</v>
      </c>
    </row>
    <row r="2075">
      <c r="A2075" s="1">
        <v>5.0</v>
      </c>
      <c r="B2075" s="1" t="s">
        <v>2064</v>
      </c>
      <c r="C2075" t="str">
        <f>IFERROR(__xludf.DUMMYFUNCTION("GOOGLETRANSLATE(B2075, ""es"", ""en"")"),"Good price and good quality. noise it is minimal, no engine is heard, vaporizes well and last long, has the timer for 1,2,3h and longer.")</f>
        <v>Good price and good quality. noise it is minimal, no engine is heard, vaporizes well and last long, has the timer for 1,2,3h and longer.</v>
      </c>
    </row>
    <row r="2076">
      <c r="A2076" s="1">
        <v>5.0</v>
      </c>
      <c r="B2076" s="1" t="s">
        <v>2065</v>
      </c>
      <c r="C2076" t="str">
        <f>IFERROR(__xludf.DUMMYFUNCTION("GOOGLETRANSLATE(B2076, ""es"", ""en"")"),"Good performance can already comment on the SD card because I have done a lot of photos and video. I like how does the video without ""jumps"" or failures in HD. Photos and speed of data transfer is correct. Good buying a brand with great prestige. Would "&amp;"buy it.")</f>
        <v>Good performance can already comment on the SD card because I have done a lot of photos and video. I like how does the video without "jumps" or failures in HD. Photos and speed of data transfer is correct. Good buying a brand with great prestige. Would buy it.</v>
      </c>
    </row>
    <row r="2077">
      <c r="A2077" s="1">
        <v>5.0</v>
      </c>
      <c r="B2077" s="1" t="s">
        <v>2066</v>
      </c>
      <c r="C2077" t="str">
        <f>IFERROR(__xludf.DUMMYFUNCTION("GOOGLETRANSLATE(B2077, ""es"", ""en"")"),"Expected Very good quality, easy to adjust.")</f>
        <v>Expected Very good quality, easy to adjust.</v>
      </c>
    </row>
    <row r="2078">
      <c r="A2078" s="1">
        <v>5.0</v>
      </c>
      <c r="B2078" s="1" t="s">
        <v>2067</v>
      </c>
      <c r="C2078" t="str">
        <f>IFERROR(__xludf.DUMMYFUNCTION("GOOGLETRANSLATE(B2078, ""es"", ""en"")"),"TWS- 9 DELINUO GENIALES headphones. I decided on these headphones because he had bought a few days ago for my husband and not to confuse the different bought. These headphones fit better not fall off me. They have twice the battery to charge mobile or oth"&amp;"er device. The great sounding headphones with impressive and very powerful bass. Seamless connectivity in a second were connected as it out of the box my daughter to one and another, a Samsung S9 and the other with a A 40 one for each, great. It has many "&amp;"features that is very well explained in the book of instructions in Spanish has an indicator with the percentage of the battery so that not to get thrown, a cover very apparent to save it and the box, spare parts rubber bands of different is not damaged s"&amp;"izes, red color is very nice headphones. Very good value has two products in one: wireless headphones and a battery booster charge that can carry in your pocket. Also so I decided on these headphones was for the charging cable which is USB Type C as charg"&amp;"ers mobile my family so you do not have to carry more cables only the q comes to charge your battery. They are resistant to water and showering me like me listening to music so everything very well. For now five star.")</f>
        <v>TWS- 9 DELINUO GENIALES headphones. I decided on these headphones because he had bought a few days ago for my husband and not to confuse the different bought. These headphones fit better not fall off me. They have twice the battery to charge mobile or other device. The great sounding headphones with impressive and very powerful bass. Seamless connectivity in a second were connected as it out of the box my daughter to one and another, a Samsung S9 and the other with a A 40 one for each, great. It has many features that is very well explained in the book of instructions in Spanish has an indicator with the percentage of the battery so that not to get thrown, a cover very apparent to save it and the box, spare parts rubber bands of different is not damaged sizes, red color is very nice headphones. Very good value has two products in one: wireless headphones and a battery booster charge that can carry in your pocket. Also so I decided on these headphones was for the charging cable which is USB Type C as chargers mobile my family so you do not have to carry more cables only the q comes to charge your battery. They are resistant to water and showering me like me listening to music so everything very well. For now five star.</v>
      </c>
    </row>
    <row r="2079">
      <c r="A2079" s="1">
        <v>5.0</v>
      </c>
      <c r="B2079" s="1" t="s">
        <v>2068</v>
      </c>
      <c r="C2079" t="str">
        <f>IFERROR(__xludf.DUMMYFUNCTION("GOOGLETRANSLATE(B2079, ""es"", ""en"")"),"Well my orders")</f>
        <v>Well my orders</v>
      </c>
    </row>
    <row r="2080">
      <c r="A2080" s="1">
        <v>5.0</v>
      </c>
      <c r="B2080" s="1" t="s">
        <v>2069</v>
      </c>
      <c r="C2080" t="str">
        <f>IFERROR(__xludf.DUMMYFUNCTION("GOOGLETRANSLATE(B2080, ""es"", ""en"")"),"Perfect buy good start in the world of recordings. Recommended 100%.")</f>
        <v>Perfect buy good start in the world of recordings. Recommended 100%.</v>
      </c>
    </row>
    <row r="2081">
      <c r="A2081" s="1">
        <v>5.0</v>
      </c>
      <c r="B2081" s="1" t="s">
        <v>2070</v>
      </c>
      <c r="C2081" t="str">
        <f>IFERROR(__xludf.DUMMYFUNCTION("GOOGLETRANSLATE(B2081, ""es"", ""en"")"),"Amazing Really good sound, very happy with them, too They Came quick. If you are looking for a top quality sound for your studio this is my pick. Sennheiser HD 280 I tried too, but this is another level up, much clearer sound and you can even hear all bas"&amp;"eline very accurately. With HD 280 Senh Sounded like it from a can :-D ... well done Sony again!")</f>
        <v>Amazing Really good sound, very happy with them, too They Came quick. If you are looking for a top quality sound for your studio this is my pick. Sennheiser HD 280 I tried too, but this is another level up, much clearer sound and you can even hear all baseline very accurately. With HD 280 Senh Sounded like it from a can :-D ... well done Sony again!</v>
      </c>
    </row>
    <row r="2082">
      <c r="A2082" s="1">
        <v>5.0</v>
      </c>
      <c r="B2082" s="1" t="s">
        <v>2071</v>
      </c>
      <c r="C2082" t="str">
        <f>IFERROR(__xludf.DUMMYFUNCTION("GOOGLETRANSLATE(B2082, ""es"", ""en"")"),"Elegant Simply Perfect")</f>
        <v>Elegant Simply Perfect</v>
      </c>
    </row>
    <row r="2083">
      <c r="A2083" s="1">
        <v>5.0</v>
      </c>
      <c r="B2083" s="1" t="s">
        <v>2072</v>
      </c>
      <c r="C2083" t="str">
        <f>IFERROR(__xludf.DUMMYFUNCTION("GOOGLETRANSLATE(B2083, ""es"", ""en"")"),"Brilliant brilliant. It's like going barefoot, but protected. In addition, you become aware of how bad q run or walk on, ""thanks"" to the conventional running shoes")</f>
        <v>Brilliant brilliant. It's like going barefoot, but protected. In addition, you become aware of how bad q run or walk on, "thanks" to the conventional running shoes</v>
      </c>
    </row>
    <row r="2084">
      <c r="A2084" s="1">
        <v>5.0</v>
      </c>
      <c r="B2084" s="1" t="s">
        <v>2073</v>
      </c>
      <c r="C2084" t="str">
        <f>IFERROR(__xludf.DUMMYFUNCTION("GOOGLETRANSLATE(B2084, ""es"", ""en"")"),"Recommended materials Good noticeable quality to accessories, weighs very little very manageable at the time of use, good suction power, has three speeds downloading and using the app manual mode only two lowest speeds and turbo, I think it is a good buy "&amp;"Value, accessories and intuitive disassembly")</f>
        <v>Recommended materials Good noticeable quality to accessories, weighs very little very manageable at the time of use, good suction power, has three speeds downloading and using the app manual mode only two lowest speeds and turbo, I think it is a good buy Value, accessories and intuitive disassembly</v>
      </c>
    </row>
    <row r="2085">
      <c r="A2085" s="1">
        <v>5.0</v>
      </c>
      <c r="B2085" s="1" t="s">
        <v>2074</v>
      </c>
      <c r="C2085" t="str">
        <f>IFERROR(__xludf.DUMMYFUNCTION("GOOGLETRANSLATE(B2085, ""es"", ""en"")"),"ok ok")</f>
        <v>ok ok</v>
      </c>
    </row>
    <row r="2086">
      <c r="A2086" s="1">
        <v>5.0</v>
      </c>
      <c r="B2086" s="1" t="s">
        <v>2075</v>
      </c>
      <c r="C2086" t="str">
        <f>IFERROR(__xludf.DUMMYFUNCTION("GOOGLETRANSLATE(B2086, ""es"", ""en"")"),"A DROP OF SHINE is a silver pendant J.ROSÉE brand. It is made of sterling silver and cubic zirconia, making it ideal for allergy sufferers. The size of the string is about 43 cm with a quick closure. Pendant measures approximately 21x12 mm and curved rhom"&amp;"bus-shaped or drop with an interior detail. It is bright and discreet at the same time, so it is perfect for conjuntarlo at parties and events. Chain is thin and almost unnoticeable when worn. ADVANTAGES - Discreet and elegant - Suitable for allergy suffe"&amp;"rers - Design nice DISADVANTAGES - None at the moment Package Contents: - Pendant - Cleaning cloth - Carrying case - Greeting Card")</f>
        <v>A DROP OF SHINE is a silver pendant J.ROSÉE brand. It is made of sterling silver and cubic zirconia, making it ideal for allergy sufferers. The size of the string is about 43 cm with a quick closure. Pendant measures approximately 21x12 mm and curved rhombus-shaped or drop with an interior detail. It is bright and discreet at the same time, so it is perfect for conjuntarlo at parties and events. Chain is thin and almost unnoticeable when worn. ADVANTAGES - Discreet and elegant - Suitable for allergy sufferers - Design nice DISADVANTAGES - None at the moment Package Contents: - Pendant - Cleaning cloth - Carrying case - Greeting Card</v>
      </c>
    </row>
    <row r="2087">
      <c r="A2087" s="1">
        <v>5.0</v>
      </c>
      <c r="B2087" s="1" t="s">
        <v>2076</v>
      </c>
      <c r="C2087" t="str">
        <f>IFERROR(__xludf.DUMMYFUNCTION("GOOGLETRANSLATE(B2087, ""es"", ""en"")"),"I loved arrived earlier than expected and without any problems. I premiered at the moment and I'm delighted. Easy and comfortable. The bad, the same as when you go to the physio: to the next day had a horrible pain. But as always, that's what most relieve"&amp;"d.")</f>
        <v>I loved arrived earlier than expected and without any problems. I premiered at the moment and I'm delighted. Easy and comfortable. The bad, the same as when you go to the physio: to the next day had a horrible pain. But as always, that's what most relieved.</v>
      </c>
    </row>
    <row r="2088">
      <c r="A2088" s="1">
        <v>5.0</v>
      </c>
      <c r="B2088" s="1" t="s">
        <v>2077</v>
      </c>
      <c r="C2088" t="str">
        <f>IFERROR(__xludf.DUMMYFUNCTION("GOOGLETRANSLATE(B2088, ""es"", ""en"")"),"Softness, various levels of heat and very used've given this blanket and people who are using it are quite happy. Comment that is soft, has several options for different levels of heat and cold that comes now is widely used. they are also used to improve "&amp;"muscle back problems and as relaxation of charged areas.")</f>
        <v>Softness, various levels of heat and very used've given this blanket and people who are using it are quite happy. Comment that is soft, has several options for different levels of heat and cold that comes now is widely used. they are also used to improve muscle back problems and as relaxation of charged areas.</v>
      </c>
    </row>
    <row r="2089">
      <c r="A2089" s="1">
        <v>5.0</v>
      </c>
      <c r="B2089" s="1" t="s">
        <v>2078</v>
      </c>
      <c r="C2089" t="str">
        <f>IFERROR(__xludf.DUMMYFUNCTION("GOOGLETRANSLATE(B2089, ""es"", ""en"")"),"Amazing sound quality, Sennheiser never disappoints for me personally, as fond of music, are the best headphones I've used for that price (I'm a fan of Sennheiser headphones). They are a little more expensive than some basic headphones but it's worth inve"&amp;"sting in them, and have nothing to envy headphones higher price. They do not weigh much and durán enough. This model I have for 2 years and working perfectly. I also tried others in the same house, model MX375 also expectaularmente sound good. Clear sound"&amp;" and good bass.")</f>
        <v>Amazing sound quality, Sennheiser never disappoints for me personally, as fond of music, are the best headphones I've used for that price (I'm a fan of Sennheiser headphones). They are a little more expensive than some basic headphones but it's worth investing in them, and have nothing to envy headphones higher price. They do not weigh much and durán enough. This model I have for 2 years and working perfectly. I also tried others in the same house, model MX375 also expectaularmente sound good. Clear sound and good bass.</v>
      </c>
    </row>
    <row r="2090">
      <c r="A2090" s="1">
        <v>5.0</v>
      </c>
      <c r="B2090" s="1" t="s">
        <v>2079</v>
      </c>
      <c r="C2090" t="str">
        <f>IFERROR(__xludf.DUMMYFUNCTION("GOOGLETRANSLATE(B2090, ""es"", ""en"")"),"Perfect very comfortable. It is not the first superga I buy me. I recommend 100%. The color and material are very good.")</f>
        <v>Perfect very comfortable. It is not the first superga I buy me. I recommend 100%. The color and material are very good.</v>
      </c>
    </row>
    <row r="2091">
      <c r="A2091" s="1">
        <v>5.0</v>
      </c>
      <c r="B2091" s="1" t="s">
        <v>2080</v>
      </c>
      <c r="C2091" t="str">
        <f>IFERROR(__xludf.DUMMYFUNCTION("GOOGLETRANSLATE(B2091, ""es"", ""en"")"),"Xulíssim Molt bonic")</f>
        <v>Xulíssim Molt bonic</v>
      </c>
    </row>
    <row r="2092">
      <c r="A2092" s="1">
        <v>2.0</v>
      </c>
      <c r="B2092" s="1" t="s">
        <v>2081</v>
      </c>
      <c r="C2092" t="str">
        <f>IFERROR(__xludf.DUMMYFUNCTION("GOOGLETRANSLATE(B2092, ""es"", ""en"")"),"Perspires not think I was wrong, because that shoe does not sweat and hang the foot is wet. Regarding other details, in otherwise well.")</f>
        <v>Perspires not think I was wrong, because that shoe does not sweat and hang the foot is wet. Regarding other details, in otherwise well.</v>
      </c>
    </row>
    <row r="2093">
      <c r="A2093" s="1">
        <v>3.0</v>
      </c>
      <c r="B2093" s="1" t="s">
        <v>2082</v>
      </c>
      <c r="C2093" t="str">
        <f>IFERROR(__xludf.DUMMYFUNCTION("GOOGLETRANSLATE(B2093, ""es"", ""en"")"),"Good watch The watch it is a little bigger than imagined, but have removed links in the chain and now good.")</f>
        <v>Good watch The watch it is a little bigger than imagined, but have removed links in the chain and now good.</v>
      </c>
    </row>
    <row r="2094">
      <c r="A2094" s="1">
        <v>3.0</v>
      </c>
      <c r="B2094" s="1" t="s">
        <v>2083</v>
      </c>
      <c r="C2094" t="str">
        <f>IFERROR(__xludf.DUMMYFUNCTION("GOOGLETRANSLATE(B2094, ""es"", ""en"")"),"Very practical Compared to a previous brand I bought Amazón green, I liked the black color. On the other hand this is not activated at the pressionar the glass the other it does and therefore is easier to use.")</f>
        <v>Very practical Compared to a previous brand I bought Amazón green, I liked the black color. On the other hand this is not activated at the pressionar the glass the other it does and therefore is easier to use.</v>
      </c>
    </row>
    <row r="2095">
      <c r="A2095" s="1">
        <v>1.0</v>
      </c>
      <c r="B2095" s="1" t="s">
        <v>2084</v>
      </c>
      <c r="C2095" t="str">
        <f>IFERROR(__xludf.DUMMYFUNCTION("GOOGLETRANSLATE(B2095, ""es"", ""en"")"),"Very unhappy with poor quality shoes. They seem original but quickly, and with little or use, will ""stripping"" and slitting the material of the shoe. mine are white with 1 month and longer seen as his had 5 years. Bad quality. I do not recommend it")</f>
        <v>Very unhappy with poor quality shoes. They seem original but quickly, and with little or use, will "stripping" and slitting the material of the shoe. mine are white with 1 month and longer seen as his had 5 years. Bad quality. I do not recommend it</v>
      </c>
    </row>
    <row r="2096">
      <c r="A2096" s="1">
        <v>1.0</v>
      </c>
      <c r="B2096" s="1" t="s">
        <v>2085</v>
      </c>
      <c r="C2096" t="str">
        <f>IFERROR(__xludf.DUMMYFUNCTION("GOOGLETRANSLATE(B2096, ""es"", ""en"")"),"Lousy product quality is sub-par Pants, super thin fabric, everything was transparent, I had to throw")</f>
        <v>Lousy product quality is sub-par Pants, super thin fabric, everything was transparent, I had to throw</v>
      </c>
    </row>
    <row r="2097">
      <c r="A2097" s="1">
        <v>4.0</v>
      </c>
      <c r="B2097" s="1" t="s">
        <v>2086</v>
      </c>
      <c r="C2097" t="str">
        <f>IFERROR(__xludf.DUMMYFUNCTION("GOOGLETRANSLATE(B2097, ""es"", ""en"")"),"Very nice beautiful and functional although the quality is somewhat lacking")</f>
        <v>Very nice beautiful and functional although the quality is somewhat lacking</v>
      </c>
    </row>
    <row r="2098">
      <c r="A2098" s="1">
        <v>4.0</v>
      </c>
      <c r="B2098" s="1" t="s">
        <v>2087</v>
      </c>
      <c r="C2098" t="str">
        <f>IFERROR(__xludf.DUMMYFUNCTION("GOOGLETRANSLATE(B2098, ""es"", ""en"")"),"Dan lot size. Big. Super fast delivery. Quality, excellent. Product original and as it appeared in the photos. Surprise: the day before I tried it in a store the same number and model, 37, was perfect. The received, despite being 37, I was too big, too mu"&amp;"ch 1 cm. How can this be? I do not get it.")</f>
        <v>Dan lot size. Big. Super fast delivery. Quality, excellent. Product original and as it appeared in the photos. Surprise: the day before I tried it in a store the same number and model, 37, was perfect. The received, despite being 37, I was too big, too much 1 cm. How can this be? I do not get it.</v>
      </c>
    </row>
    <row r="2099">
      <c r="A2099" s="1">
        <v>4.0</v>
      </c>
      <c r="B2099" s="1" t="s">
        <v>2088</v>
      </c>
      <c r="C2099" t="str">
        <f>IFERROR(__xludf.DUMMYFUNCTION("GOOGLETRANSLATE(B2099, ""es"", ""en"")"),"To play guitar anywhere I served to play guitar when he could not carry amp. It is basic and limited functions. Perhaps he is having had more knowledge, would have bought another product, but it would have been more expensive. I'm happy, has made no funct"&amp;"ion and I'm still using, without giving problems, so magnificent.")</f>
        <v>To play guitar anywhere I served to play guitar when he could not carry amp. It is basic and limited functions. Perhaps he is having had more knowledge, would have bought another product, but it would have been more expensive. I'm happy, has made no function and I'm still using, without giving problems, so magnificent.</v>
      </c>
    </row>
    <row r="2100">
      <c r="A2100" s="1">
        <v>4.0</v>
      </c>
      <c r="B2100" s="1" t="s">
        <v>2089</v>
      </c>
      <c r="C2100" t="str">
        <f>IFERROR(__xludf.DUMMYFUNCTION("GOOGLETRANSLATE(B2100, ""es"", ""en"")"),"Good, nice, cheap is very nice and works very well. I do not put it 5 stars because it's not a flashy watch. The only downside belt is a little short for those who have wide wrist.")</f>
        <v>Good, nice, cheap is very nice and works very well. I do not put it 5 stars because it's not a flashy watch. The only downside belt is a little short for those who have wide wrist.</v>
      </c>
    </row>
    <row r="2101">
      <c r="A2101" s="1">
        <v>4.0</v>
      </c>
      <c r="B2101" s="1" t="s">
        <v>2090</v>
      </c>
      <c r="C2101" t="str">
        <f>IFERROR(__xludf.DUMMYFUNCTION("GOOGLETRANSLATE(B2101, ""es"", ""en"")"),"It is what they advertise is a comfortable watch, very light and advertising functions. Perhaps the end most of them are not used, but not more. Fine detail protected glass to be lower than the ring, with which it is difficult to be scratched.")</f>
        <v>It is what they advertise is a comfortable watch, very light and advertising functions. Perhaps the end most of them are not used, but not more. Fine detail protected glass to be lower than the ring, with which it is difficult to be scratched.</v>
      </c>
    </row>
    <row r="2102">
      <c r="A2102" s="1">
        <v>5.0</v>
      </c>
      <c r="B2102" s="1" t="s">
        <v>2091</v>
      </c>
      <c r="C2102" t="str">
        <f>IFERROR(__xludf.DUMMYFUNCTION("GOOGLETRANSLATE(B2102, ""es"", ""en"")"),"great very good size and fast heating. very happy")</f>
        <v>great very good size and fast heating. very happy</v>
      </c>
    </row>
    <row r="2103">
      <c r="A2103" s="1">
        <v>5.0</v>
      </c>
      <c r="B2103" s="1" t="s">
        <v>2092</v>
      </c>
      <c r="C2103" t="str">
        <f>IFERROR(__xludf.DUMMYFUNCTION("GOOGLETRANSLATE(B2103, ""es"", ""en"")"),"Good buy. This does its job very well, very easy tour and capsules are placed without difficulty. good buy")</f>
        <v>Good buy. This does its job very well, very easy tour and capsules are placed without difficulty. good buy</v>
      </c>
    </row>
    <row r="2104">
      <c r="A2104" s="1">
        <v>5.0</v>
      </c>
      <c r="B2104" s="1" t="s">
        <v>2093</v>
      </c>
      <c r="C2104" t="str">
        <f>IFERROR(__xludf.DUMMYFUNCTION("GOOGLETRANSLATE(B2104, ""es"", ""en"")"),"Seagate 4TB HDD, a classic data storage Seagate is a safe bet for any hdd. With multiple partitions works perfectly independent formats")</f>
        <v>Seagate 4TB HDD, a classic data storage Seagate is a safe bet for any hdd. With multiple partitions works perfectly independent formats</v>
      </c>
    </row>
    <row r="2105">
      <c r="A2105" s="1">
        <v>5.0</v>
      </c>
      <c r="B2105" s="1" t="s">
        <v>2094</v>
      </c>
      <c r="C2105" t="str">
        <f>IFERROR(__xludf.DUMMYFUNCTION("GOOGLETRANSLATE(B2105, ""es"", ""en"")"),"Pandora is perfect comes with the book and pandora's box")</f>
        <v>Pandora is perfect comes with the book and pandora's box</v>
      </c>
    </row>
    <row r="2106">
      <c r="A2106" s="1">
        <v>5.0</v>
      </c>
      <c r="B2106" s="1" t="s">
        <v>2095</v>
      </c>
      <c r="C2106" t="str">
        <f>IFERROR(__xludf.DUMMYFUNCTION("GOOGLETRANSLATE(B2106, ""es"", ""en"")"),"Official Correa Correa lasting durable official which does not give problems and is identical to what you watch comes with the purchase.")</f>
        <v>Official Correa Correa lasting durable official which does not give problems and is identical to what you watch comes with the purchase.</v>
      </c>
    </row>
    <row r="2107">
      <c r="A2107" s="1">
        <v>5.0</v>
      </c>
      <c r="B2107" s="1" t="s">
        <v>2096</v>
      </c>
      <c r="C2107" t="str">
        <f>IFERROR(__xludf.DUMMYFUNCTION("GOOGLETRANSLATE(B2107, ""es"", ""en"")"),"Good mixer I liked its power and consistency, as well as the warm / price ratio and always in relation to the previous one, which, little use has dirado me many years.")</f>
        <v>Good mixer I liked its power and consistency, as well as the warm / price ratio and always in relation to the previous one, which, little use has dirado me many years.</v>
      </c>
    </row>
    <row r="2108">
      <c r="A2108" s="1">
        <v>5.0</v>
      </c>
      <c r="B2108" s="1" t="s">
        <v>2097</v>
      </c>
      <c r="C2108" t="str">
        <f>IFERROR(__xludf.DUMMYFUNCTION("GOOGLETRANSLATE(B2108, ""es"", ""en"")"),"Comfortable and practical function bluetooth headphones very comfortable and lightweight. ears are set without disturbing the headband that goes behind the neck keeps falling. They carry and has the ability to insert a memory card up to 32GB, which does n"&amp;"ot have to carry your smartphone or MP3 up for sports. Also with a simple integrated radio tuning. It syncs easily with mobile and has a great sound. The autonomy is about 2 hours. The package brings: 1 x wireless headphones, 1 x instructions in Castilian"&amp;", 1 x USB charging cable, 2x spare pads.")</f>
        <v>Comfortable and practical function bluetooth headphones very comfortable and lightweight. ears are set without disturbing the headband that goes behind the neck keeps falling. They carry and has the ability to insert a memory card up to 32GB, which does not have to carry your smartphone or MP3 up for sports. Also with a simple integrated radio tuning. It syncs easily with mobile and has a great sound. The autonomy is about 2 hours. The package brings: 1 x wireless headphones, 1 x instructions in Castilian, 1 x USB charging cable, 2x spare pads.</v>
      </c>
    </row>
    <row r="2109">
      <c r="A2109" s="1">
        <v>5.0</v>
      </c>
      <c r="B2109" s="1" t="s">
        <v>2098</v>
      </c>
      <c r="C2109" t="str">
        <f>IFERROR(__xludf.DUMMYFUNCTION("GOOGLETRANSLATE(B2109, ""es"", ""en"")"),"They are fine. They were a gift for my father. They are aesthetically beautiful but it did not last much either.")</f>
        <v>They are fine. They were a gift for my father. They are aesthetically beautiful but it did not last much either.</v>
      </c>
    </row>
    <row r="2110">
      <c r="A2110" s="1">
        <v>5.0</v>
      </c>
      <c r="B2110" s="1" t="s">
        <v>2099</v>
      </c>
      <c r="C2110" t="str">
        <f>IFERROR(__xludf.DUMMYFUNCTION("GOOGLETRANSLATE(B2110, ""es"", ""en"")"),"Simple and practical Simple but very convenient. It does its job and takes up little space since the handle is flexible and can be rolled.")</f>
        <v>Simple and practical Simple but very convenient. It does its job and takes up little space since the handle is flexible and can be rolled.</v>
      </c>
    </row>
    <row r="2111">
      <c r="A2111" s="1">
        <v>5.0</v>
      </c>
      <c r="B2111" s="1" t="s">
        <v>2100</v>
      </c>
      <c r="C2111" t="str">
        <f>IFERROR(__xludf.DUMMYFUNCTION("GOOGLETRANSLATE(B2111, ""es"", ""en"")"),"I liked the product quality to the color because it is perfect for the gym discreet")</f>
        <v>I liked the product quality to the color because it is perfect for the gym discreet</v>
      </c>
    </row>
    <row r="2112">
      <c r="A2112" s="1">
        <v>5.0</v>
      </c>
      <c r="B2112" s="1" t="s">
        <v>2101</v>
      </c>
      <c r="C2112" t="str">
        <f>IFERROR(__xludf.DUMMYFUNCTION("GOOGLETRANSLATE(B2112, ""es"", ""en"")"),"Not very durable Chulo, does not hold good washing and normal use tissues wears quickly, although it is nice i nice")</f>
        <v>Not very durable Chulo, does not hold good washing and normal use tissues wears quickly, although it is nice i nice</v>
      </c>
    </row>
    <row r="2113">
      <c r="A2113" s="1">
        <v>5.0</v>
      </c>
      <c r="B2113" s="1" t="s">
        <v>2102</v>
      </c>
      <c r="C2113" t="str">
        <f>IFERROR(__xludf.DUMMYFUNCTION("GOOGLETRANSLATE(B2113, ""es"", ""en"")"),"Good product good performance. The command fail a little, otherwise great")</f>
        <v>Good product good performance. The command fail a little, otherwise great</v>
      </c>
    </row>
    <row r="2114">
      <c r="A2114" s="1">
        <v>5.0</v>
      </c>
      <c r="B2114" s="1" t="s">
        <v>2103</v>
      </c>
      <c r="C2114" t="str">
        <f>IFERROR(__xludf.DUMMYFUNCTION("GOOGLETRANSLATE(B2114, ""es"", ""en"")"),"I recommend Buenos serious, it is good you can connect microphones or guitar with micros !! The battery lasts quite.")</f>
        <v>I recommend Buenos serious, it is good you can connect microphones or guitar with micros !! The battery lasts quite.</v>
      </c>
    </row>
    <row r="2115">
      <c r="A2115" s="1">
        <v>5.0</v>
      </c>
      <c r="B2115" s="1" t="s">
        <v>2104</v>
      </c>
      <c r="C2115" t="str">
        <f>IFERROR(__xludf.DUMMYFUNCTION("GOOGLETRANSLATE(B2115, ""es"", ""en"")"),"You can not ask for more. Good buy at this price. Hi. Looking for a watch Casio G Shock type and this watch at this price it has paid me greatly. I'm a big person, hands and thick wrist and was looking to replace my current clock (I put photo for comparis"&amp;"on) for something bigger. In addition I bought red by giving it a more casual touch that was what I really wanted. I am very satisfied.")</f>
        <v>You can not ask for more. Good buy at this price. Hi. Looking for a watch Casio G Shock type and this watch at this price it has paid me greatly. I'm a big person, hands and thick wrist and was looking to replace my current clock (I put photo for comparison) for something bigger. In addition I bought red by giving it a more casual touch that was what I really wanted. I am very satisfied.</v>
      </c>
    </row>
    <row r="2116">
      <c r="A2116" s="1">
        <v>5.0</v>
      </c>
      <c r="B2116" s="1" t="s">
        <v>2105</v>
      </c>
      <c r="C2116" t="str">
        <f>IFERROR(__xludf.DUMMYFUNCTION("GOOGLETRANSLATE(B2116, ""es"", ""en"")"),"useful Linda")</f>
        <v>useful Linda</v>
      </c>
    </row>
    <row r="2117">
      <c r="A2117" s="1">
        <v>5.0</v>
      </c>
      <c r="B2117" s="1" t="s">
        <v>2106</v>
      </c>
      <c r="C2117" t="str">
        <f>IFERROR(__xludf.DUMMYFUNCTION("GOOGLETRANSLATE(B2117, ""es"", ""en"")"),"Very good for sport with a strict plastic just to achieve substantial weight savings, these headphones are placed around the neck and behind the ear pinched, soft headphones provide many hours of operation for our exercise. Although the aim of these headp"&amp;"hones is withstand vibration, shock and humidity, the quality of the sound has not been left behind, foams headphones are very soft and adapt to any position, even leaking a little sound quality is maintained in amenizarnos acceptable levels for sports. N"&amp;"ote that these headphones not admit any adjustment in size of the headband, the distance is only refrain large melons. Both uploading and managing all functions are located on the right ear, where you control volume and calls on / off. Headphones with a b"&amp;"ag for storage, manual in 5 languages ​​including Spanish, cable charger and a loyalty card is delivered.")</f>
        <v>Very good for sport with a strict plastic just to achieve substantial weight savings, these headphones are placed around the neck and behind the ear pinched, soft headphones provide many hours of operation for our exercise. Although the aim of these headphones is withstand vibration, shock and humidity, the quality of the sound has not been left behind, foams headphones are very soft and adapt to any position, even leaking a little sound quality is maintained in amenizarnos acceptable levels for sports. Note that these headphones not admit any adjustment in size of the headband, the distance is only refrain large melons. Both uploading and managing all functions are located on the right ear, where you control volume and calls on / off. Headphones with a bag for storage, manual in 5 languages ​​including Spanish, cable charger and a loyalty card is delivered.</v>
      </c>
    </row>
    <row r="2118">
      <c r="A2118" s="1">
        <v>5.0</v>
      </c>
      <c r="B2118" s="1" t="s">
        <v>2107</v>
      </c>
      <c r="C2118" t="str">
        <f>IFERROR(__xludf.DUMMYFUNCTION("GOOGLETRANSLATE(B2118, ""es"", ""en"")"),"All as the pictures and description of the product Very satisfied with my purchase, economical and very good quality, I use it to record YouTube videos and games. Very easy to ride and I like to bring all the necessary accessories, outstanding value for m"&amp;"oney, I recommend purchase.")</f>
        <v>All as the pictures and description of the product Very satisfied with my purchase, economical and very good quality, I use it to record YouTube videos and games. Very easy to ride and I like to bring all the necessary accessories, outstanding value for money, I recommend purchase.</v>
      </c>
    </row>
    <row r="2119">
      <c r="A2119" s="1">
        <v>5.0</v>
      </c>
      <c r="B2119" s="1" t="s">
        <v>2108</v>
      </c>
      <c r="C2119" t="str">
        <f>IFERROR(__xludf.DUMMYFUNCTION("GOOGLETRANSLATE(B2119, ""es"", ""en"")"),"Shoes delivered on time, high quality calcero")</f>
        <v>Shoes delivered on time, high quality calcero</v>
      </c>
    </row>
    <row r="2120">
      <c r="A2120" s="1">
        <v>5.0</v>
      </c>
      <c r="B2120" s="1" t="s">
        <v>2109</v>
      </c>
      <c r="C2120" t="str">
        <f>IFERROR(__xludf.DUMMYFUNCTION("GOOGLETRANSLATE(B2120, ""es"", ""en"")"),"Delighted! We tested 100% recommend bottles of other brands and more like is it the suavianex. Highly recommended for the issue of colic. Our sin has not had. Highly recommended bottle")</f>
        <v>Delighted! We tested 100% recommend bottles of other brands and more like is it the suavianex. Highly recommended for the issue of colic. Our sin has not had. Highly recommended bottle</v>
      </c>
    </row>
    <row r="2121">
      <c r="A2121" s="1">
        <v>2.0</v>
      </c>
      <c r="B2121" s="1" t="s">
        <v>2110</v>
      </c>
      <c r="C2121" t="str">
        <f>IFERROR(__xludf.DUMMYFUNCTION("GOOGLETRANSLATE(B2121, ""es"", ""en"")"),"normal is basic in the photos seem q is longer leg but nothing to buy them believed asin x")</f>
        <v>normal is basic in the photos seem q is longer leg but nothing to buy them believed asin x</v>
      </c>
    </row>
    <row r="2122">
      <c r="A2122" s="1">
        <v>3.0</v>
      </c>
      <c r="B2122" s="1" t="s">
        <v>2111</v>
      </c>
      <c r="C2122" t="str">
        <f>IFERROR(__xludf.DUMMYFUNCTION("GOOGLETRANSLATE(B2122, ""es"", ""en"")"),"This right is pretty good")</f>
        <v>This right is pretty good</v>
      </c>
    </row>
    <row r="2123">
      <c r="A2123" s="1">
        <v>3.0</v>
      </c>
      <c r="B2123" s="1" t="s">
        <v>2112</v>
      </c>
      <c r="C2123" t="str">
        <f>IFERROR(__xludf.DUMMYFUNCTION("GOOGLETRANSLATE(B2123, ""es"", ""en"")"),"Expensive for what ofrecw The truth that I expected better, one meter as normal, a little pricey for what it is")</f>
        <v>Expensive for what ofrecw The truth that I expected better, one meter as normal, a little pricey for what it is</v>
      </c>
    </row>
    <row r="2124">
      <c r="A2124" s="1">
        <v>1.0</v>
      </c>
      <c r="B2124" s="1" t="s">
        <v>2113</v>
      </c>
      <c r="C2124" t="str">
        <f>IFERROR(__xludf.DUMMYFUNCTION("GOOGLETRANSLATE(B2124, ""es"", ""en"")"),"Lousy just arrived and the try, it turns out that the sound stutters because it makes good connection, microphone on call very, very low sounds and also stutters. Anyway ... for what cost they are a chestnut")</f>
        <v>Lousy just arrived and the try, it turns out that the sound stutters because it makes good connection, microphone on call very, very low sounds and also stutters. Anyway ... for what cost they are a chestnut</v>
      </c>
    </row>
    <row r="2125">
      <c r="A2125" s="1">
        <v>1.0</v>
      </c>
      <c r="B2125" s="1" t="s">
        <v>2114</v>
      </c>
      <c r="C2125" t="str">
        <f>IFERROR(__xludf.DUMMYFUNCTION("GOOGLETRANSLATE(B2125, ""es"", ""en"")"),"Plástico.No smells can be used can not be utilizar.Viene with an unbearable smell of plastic that is not removed've tried everything ... I do not buy it.")</f>
        <v>Plástico.No smells can be used can not be utilizar.Viene with an unbearable smell of plastic that is not removed've tried everything ... I do not buy it.</v>
      </c>
    </row>
    <row r="2126">
      <c r="A2126" s="1">
        <v>4.0</v>
      </c>
      <c r="B2126" s="1" t="s">
        <v>2115</v>
      </c>
      <c r="C2126" t="str">
        <f>IFERROR(__xludf.DUMMYFUNCTION("GOOGLETRANSLATE(B2126, ""es"", ""en"")"),"Tot i be correct will arrive in the expected data")</f>
        <v>Tot i be correct will arrive in the expected data</v>
      </c>
    </row>
    <row r="2127">
      <c r="A2127" s="1">
        <v>4.0</v>
      </c>
      <c r="B2127" s="1" t="s">
        <v>2116</v>
      </c>
      <c r="C2127" t="str">
        <f>IFERROR(__xludf.DUMMYFUNCTION("GOOGLETRANSLATE(B2127, ""es"", ""en"")"),"A classic watch watch casio life. The clock is typically don'n in any store, it serves to check the time and not break. It is very durable and less than 10 € you can not ask for more. If you have a job where you have to roll up your hands and get to work,"&amp;" is your watch.")</f>
        <v>A classic watch watch casio life. The clock is typically don'n in any store, it serves to check the time and not break. It is very durable and less than 10 € you can not ask for more. If you have a job where you have to roll up your hands and get to work, is your watch.</v>
      </c>
    </row>
    <row r="2128">
      <c r="A2128" s="1">
        <v>4.0</v>
      </c>
      <c r="B2128" s="1" t="s">
        <v>2117</v>
      </c>
      <c r="C2128" t="str">
        <f>IFERROR(__xludf.DUMMYFUNCTION("GOOGLETRANSLATE(B2128, ""es"", ""en"")"),"Gym pants perfect but fit and color is more beautiful than it looks in the picture. A being lined on the inside are perfect for winter. The length is for tall people.")</f>
        <v>Gym pants perfect but fit and color is more beautiful than it looks in the picture. A being lined on the inside are perfect for winter. The length is for tall people.</v>
      </c>
    </row>
    <row r="2129">
      <c r="A2129" s="1">
        <v>4.0</v>
      </c>
      <c r="B2129" s="1" t="s">
        <v>2118</v>
      </c>
      <c r="C2129" t="str">
        <f>IFERROR(__xludf.DUMMYFUNCTION("GOOGLETRANSLATE(B2129, ""es"", ""en"")"),"Size small The truth is that for money can not ask for more. The only thing the sizing is smaller, so ajustadito is thus better to ask one or two sizes.")</f>
        <v>Size small The truth is that for money can not ask for more. The only thing the sizing is smaller, so ajustadito is thus better to ask one or two sizes.</v>
      </c>
    </row>
    <row r="2130">
      <c r="A2130" s="1">
        <v>4.0</v>
      </c>
      <c r="B2130" s="1" t="s">
        <v>2119</v>
      </c>
      <c r="C2130" t="str">
        <f>IFERROR(__xludf.DUMMYFUNCTION("GOOGLETRANSLATE(B2130, ""es"", ""en"")"),"It perfect for connecting to a computer The product is perfect, but the issue of the accompanying software to download, etc., somewhat complicated")</f>
        <v>It perfect for connecting to a computer The product is perfect, but the issue of the accompanying software to download, etc., somewhat complicated</v>
      </c>
    </row>
    <row r="2131">
      <c r="A2131" s="1">
        <v>5.0</v>
      </c>
      <c r="B2131" s="1" t="s">
        <v>2120</v>
      </c>
      <c r="C2131" t="str">
        <f>IFERROR(__xludf.DUMMYFUNCTION("GOOGLETRANSLATE(B2131, ""es"", ""en"")"),"They are very comfortable perfect. I use them for Pádel and I are perfect. In fact, when you need socks again, I'll look to re-buy.")</f>
        <v>They are very comfortable perfect. I use them for Pádel and I are perfect. In fact, when you need socks again, I'll look to re-buy.</v>
      </c>
    </row>
    <row r="2132">
      <c r="A2132" s="1">
        <v>5.0</v>
      </c>
      <c r="B2132" s="1" t="s">
        <v>2121</v>
      </c>
      <c r="C2132" t="str">
        <f>IFERROR(__xludf.DUMMYFUNCTION("GOOGLETRANSLATE(B2132, ""es"", ""en"")"),"Placing shoes comfortable and very well priced perfect porahora")</f>
        <v>Placing shoes comfortable and very well priced perfect porahora</v>
      </c>
    </row>
    <row r="2133">
      <c r="A2133" s="1">
        <v>5.0</v>
      </c>
      <c r="B2133" s="1" t="s">
        <v>2122</v>
      </c>
      <c r="C2133" t="str">
        <f>IFERROR(__xludf.DUMMYFUNCTION("GOOGLETRANSLATE(B2133, ""es"", ""en"")"),"Very good price. It is a micro filter, I have the support micro scissors and I lacked the filter to improve the quality of my recordings. This I like, besides the price, which has dual screen, the flexible arm and clip to catch it. Good product at a good "&amp;"price, perfect.")</f>
        <v>Very good price. It is a micro filter, I have the support micro scissors and I lacked the filter to improve the quality of my recordings. This I like, besides the price, which has dual screen, the flexible arm and clip to catch it. Good product at a good price, perfect.</v>
      </c>
    </row>
    <row r="2134">
      <c r="A2134" s="1">
        <v>5.0</v>
      </c>
      <c r="B2134" s="1" t="s">
        <v>2123</v>
      </c>
      <c r="C2134" t="str">
        <f>IFERROR(__xludf.DUMMYFUNCTION("GOOGLETRANSLATE(B2134, ""es"", ""en"")"),"Perfect!! The perfect size")</f>
        <v>Perfect!! The perfect size</v>
      </c>
    </row>
    <row r="2135">
      <c r="A2135" s="1">
        <v>5.0</v>
      </c>
      <c r="B2135" s="1" t="s">
        <v>2124</v>
      </c>
      <c r="C2135" t="str">
        <f>IFERROR(__xludf.DUMMYFUNCTION("GOOGLETRANSLATE(B2135, ""es"", ""en"")"),"Hello very nice. Buy Converse Chuck Taylor All Star Ox in navy color, by offering cost me about 30 €. The package arrived on the estimated date and perfectly packed. I chose the color navy price on offer although I did not convince much to how they looked"&amp;" in the picture, but once received physical look very beautiful and elegant. The sizing looks correct, then the least I chose the one I use and I usually go well. Perhaps get a snag every time I wear it seems that the first 5 minutes notice shoes a little"&amp;" tight but then I get used, it does not produce me any chafing or discomfort. I hope I have helped.")</f>
        <v>Hello very nice. Buy Converse Chuck Taylor All Star Ox in navy color, by offering cost me about 30 €. The package arrived on the estimated date and perfectly packed. I chose the color navy price on offer although I did not convince much to how they looked in the picture, but once received physical look very beautiful and elegant. The sizing looks correct, then the least I chose the one I use and I usually go well. Perhaps get a snag every time I wear it seems that the first 5 minutes notice shoes a little tight but then I get used, it does not produce me any chafing or discomfort. I hope I have helped.</v>
      </c>
    </row>
    <row r="2136">
      <c r="A2136" s="1">
        <v>5.0</v>
      </c>
      <c r="B2136" s="1" t="s">
        <v>2125</v>
      </c>
      <c r="C2136" t="str">
        <f>IFERROR(__xludf.DUMMYFUNCTION("GOOGLETRANSLATE(B2136, ""es"", ""en"")"),"patch mu good acalidad")</f>
        <v>patch mu good acalidad</v>
      </c>
    </row>
    <row r="2137">
      <c r="A2137" s="1">
        <v>5.0</v>
      </c>
      <c r="B2137" s="1" t="s">
        <v>238</v>
      </c>
      <c r="C2137" t="str">
        <f>IFERROR(__xludf.DUMMYFUNCTION("GOOGLETRANSLATE(B2137, ""es"", ""en"")"),"perfect perfect")</f>
        <v>perfect perfect</v>
      </c>
    </row>
    <row r="2138">
      <c r="A2138" s="1">
        <v>5.0</v>
      </c>
      <c r="B2138" s="1" t="s">
        <v>2126</v>
      </c>
      <c r="C2138" t="str">
        <f>IFERROR(__xludf.DUMMYFUNCTION("GOOGLETRANSLATE(B2138, ""es"", ""en"")"),"Super practical ideal. My baby has not had comic using them also that are sterilizable car is great for traveling or just take them to not have so much stuff in the kitchen. Very simple to use and more hygienic to wash because they completely stripped.")</f>
        <v>Super practical ideal. My baby has not had comic using them also that are sterilizable car is great for traveling or just take them to not have so much stuff in the kitchen. Very simple to use and more hygienic to wash because they completely stripped.</v>
      </c>
    </row>
    <row r="2139">
      <c r="A2139" s="1">
        <v>5.0</v>
      </c>
      <c r="B2139" s="1" t="s">
        <v>2127</v>
      </c>
      <c r="C2139" t="str">
        <f>IFERROR(__xludf.DUMMYFUNCTION("GOOGLETRANSLATE(B2139, ""es"", ""en"")"),"Value already ye purchased 3 pairs, one for my grandmother, my girl and others for others to me. They are comfortable and the sole is very good since no resvala on any surface. The only thing missing would be acolcjads area under the tongue")</f>
        <v>Value already ye purchased 3 pairs, one for my grandmother, my girl and others for others to me. They are comfortable and the sole is very good since no resvala on any surface. The only thing missing would be acolcjads area under the tongue</v>
      </c>
    </row>
    <row r="2140">
      <c r="A2140" s="1">
        <v>5.0</v>
      </c>
      <c r="B2140" s="1" t="s">
        <v>2128</v>
      </c>
      <c r="C2140" t="str">
        <f>IFERROR(__xludf.DUMMYFUNCTION("GOOGLETRANSLATE(B2140, ""es"", ""en"")"),"Separators Filing good quality paper, just what I wanted")</f>
        <v>Separators Filing good quality paper, just what I wanted</v>
      </c>
    </row>
    <row r="2141">
      <c r="A2141" s="1">
        <v>5.0</v>
      </c>
      <c r="B2141" s="1" t="s">
        <v>2129</v>
      </c>
      <c r="C2141" t="str">
        <f>IFERROR(__xludf.DUMMYFUNCTION("GOOGLETRANSLATE(B2141, ""es"", ""en"")"),"This model of Reebok Precious love, I use it since adolescence, some years ago I did not buy any and this time I chose in black. It is soft, light and comfortable. Quality and finishes are impeccable, but the sizes or is something small, or my has grown l"&amp;"ately my foot. Anyway I think not change, but I still just gives skin with use.")</f>
        <v>This model of Reebok Precious love, I use it since adolescence, some years ago I did not buy any and this time I chose in black. It is soft, light and comfortable. Quality and finishes are impeccable, but the sizes or is something small, or my has grown lately my foot. Anyway I think not change, but I still just gives skin with use.</v>
      </c>
    </row>
    <row r="2142">
      <c r="A2142" s="1">
        <v>5.0</v>
      </c>
      <c r="B2142" s="1" t="s">
        <v>2130</v>
      </c>
      <c r="C2142" t="str">
        <f>IFERROR(__xludf.DUMMYFUNCTION("GOOGLETRANSLATE(B2142, ""es"", ""en"")"),"Exactly what was expected Well, this card is ideal for less than two euros to expand the memory of a low-end mobile, freeing internal memory and preventing complain that it lacks space. It simply transferring photos, videos, and heavier applications, it i"&amp;"s relieved a little internal memory as I say, in low-end phones, it is virtually occupied by Android itself. I have not detected any problems of incompatibility.")</f>
        <v>Exactly what was expected Well, this card is ideal for less than two euros to expand the memory of a low-end mobile, freeing internal memory and preventing complain that it lacks space. It simply transferring photos, videos, and heavier applications, it is relieved a little internal memory as I say, in low-end phones, it is virtually occupied by Android itself. I have not detected any problems of incompatibility.</v>
      </c>
    </row>
    <row r="2143">
      <c r="A2143" s="1">
        <v>5.0</v>
      </c>
      <c r="B2143" s="1" t="s">
        <v>2131</v>
      </c>
      <c r="C2143" t="str">
        <f>IFERROR(__xludf.DUMMYFUNCTION("GOOGLETRANSLATE(B2143, ""es"", ""en"")"),"It works great, it has a variety of colors and does not weigh much. The perfect size because it does not occupy much space, is lightweight and can place ornaments.")</f>
        <v>It works great, it has a variety of colors and does not weigh much. The perfect size because it does not occupy much space, is lightweight and can place ornaments.</v>
      </c>
    </row>
    <row r="2144">
      <c r="A2144" s="1">
        <v>5.0</v>
      </c>
      <c r="B2144" s="1" t="s">
        <v>2132</v>
      </c>
      <c r="C2144" t="str">
        <f>IFERROR(__xludf.DUMMYFUNCTION("GOOGLETRANSLATE(B2144, ""es"", ""en"")"),"Excellent buy excellent quality came superfast recommend")</f>
        <v>Excellent buy excellent quality came superfast recommend</v>
      </c>
    </row>
    <row r="2145">
      <c r="A2145" s="1">
        <v>5.0</v>
      </c>
      <c r="B2145" s="1" t="s">
        <v>2133</v>
      </c>
      <c r="C2145" t="str">
        <f>IFERROR(__xludf.DUMMYFUNCTION("GOOGLETRANSLATE(B2145, ""es"", ""en"")"),"The very comfortable Skechers are the most comfortable shoes I've ever had, whatever the model. Since I bought the first couple did not want another brand, and I have three pairs. All you need to know is carving big so you always have to buy a number minu"&amp;"s, knowing that there is no problem. On the other hand I try to ask the models are included in ""PRIME"" and I have no problem to return them if they're not good for me. very good service from Amazon as usual.")</f>
        <v>The very comfortable Skechers are the most comfortable shoes I've ever had, whatever the model. Since I bought the first couple did not want another brand, and I have three pairs. All you need to know is carving big so you always have to buy a number minus, knowing that there is no problem. On the other hand I try to ask the models are included in "PRIME" and I have no problem to return them if they're not good for me. very good service from Amazon as usual.</v>
      </c>
    </row>
    <row r="2146">
      <c r="A2146" s="1">
        <v>5.0</v>
      </c>
      <c r="B2146" s="1" t="s">
        <v>2134</v>
      </c>
      <c r="C2146" t="str">
        <f>IFERROR(__xludf.DUMMYFUNCTION("GOOGLETRANSLATE(B2146, ""es"", ""en"")"),"I like pen drive design")</f>
        <v>I like pen drive design</v>
      </c>
    </row>
    <row r="2147">
      <c r="A2147" s="1">
        <v>5.0</v>
      </c>
      <c r="B2147" s="1" t="s">
        <v>2135</v>
      </c>
      <c r="C2147" t="str">
        <f>IFERROR(__xludf.DUMMYFUNCTION("GOOGLETRANSLATE(B2147, ""es"", ""en"")"),"I have it good product for quite some time and can assure you that is waterproof, which take in not wet or heavy rain conditions, fully tested. Very good capacity")</f>
        <v>I have it good product for quite some time and can assure you that is waterproof, which take in not wet or heavy rain conditions, fully tested. Very good capacity</v>
      </c>
    </row>
    <row r="2148">
      <c r="A2148" s="1">
        <v>5.0</v>
      </c>
      <c r="B2148" s="1" t="s">
        <v>2136</v>
      </c>
      <c r="C2148" t="str">
        <f>IFERROR(__xludf.DUMMYFUNCTION("GOOGLETRANSLATE(B2148, ""es"", ""en"")"),"Light, precise and precious retro clock type, both elegant and light in weight, sometimes I have not noticed or what led him to the little weight you have. The second hand rotates and is fully in line with the design of the clock. It has a curved glass at"&amp;" the turning is one pass through its optical effect. I use both in my everyday life, as well as in more formal moments. Just great 👍")</f>
        <v>Light, precise and precious retro clock type, both elegant and light in weight, sometimes I have not noticed or what led him to the little weight you have. The second hand rotates and is fully in line with the design of the clock. It has a curved glass at the turning is one pass through its optical effect. I use both in my everyday life, as well as in more formal moments. Just great 👍</v>
      </c>
    </row>
    <row r="2149">
      <c r="A2149" s="1">
        <v>5.0</v>
      </c>
      <c r="B2149" s="1" t="s">
        <v>2137</v>
      </c>
      <c r="C2149" t="str">
        <f>IFERROR(__xludf.DUMMYFUNCTION("GOOGLETRANSLATE(B2149, ""es"", ""en"")"),"Very good quality very satisfied, but had to ask for a larger size")</f>
        <v>Very good quality very satisfied, but had to ask for a larger size</v>
      </c>
    </row>
    <row r="2150">
      <c r="A2150" s="1">
        <v>2.0</v>
      </c>
      <c r="B2150" s="1" t="s">
        <v>2138</v>
      </c>
      <c r="C2150" t="str">
        <f>IFERROR(__xludf.DUMMYFUNCTION("GOOGLETRANSLATE(B2150, ""es"", ""en"")"),"Too heavy my mother bought this blender along by his arm and the first opiniones.De buttons speeds were pretty hard and heavy to use sujetarla.Al doing so hard and so long arm bringing outweighs the rest and made incómodo.Antes of the year stopped working"&amp;" and it's like switches buttons are desplazasen because you get to work but rummaging around the botón.La command to the service and bought another here too")</f>
        <v>Too heavy my mother bought this blender along by his arm and the first opiniones.De buttons speeds were pretty hard and heavy to use sujetarla.Al doing so hard and so long arm bringing outweighs the rest and made incómodo.Antes of the year stopped working and it's like switches buttons are desplazasen because you get to work but rummaging around the botón.La command to the service and bought another here too</v>
      </c>
    </row>
    <row r="2151">
      <c r="A2151" s="1">
        <v>3.0</v>
      </c>
      <c r="B2151" s="1" t="s">
        <v>2139</v>
      </c>
      <c r="C2151" t="str">
        <f>IFERROR(__xludf.DUMMYFUNCTION("GOOGLETRANSLATE(B2151, ""es"", ""en"")"),"Tere are fine. They fit perfectly. Not slip out of the water. Pool surface. Aquagym xo if you do not serve much pq can not run much longer will you slip q. X otherwise perfect.")</f>
        <v>Tere are fine. They fit perfectly. Not slip out of the water. Pool surface. Aquagym xo if you do not serve much pq can not run much longer will you slip q. X otherwise perfect.</v>
      </c>
    </row>
    <row r="2152">
      <c r="A2152" s="1">
        <v>3.0</v>
      </c>
      <c r="B2152" s="1" t="s">
        <v>2140</v>
      </c>
      <c r="C2152" t="str">
        <f>IFERROR(__xludf.DUMMYFUNCTION("GOOGLETRANSLATE(B2152, ""es"", ""en"")"),"It is a smaller roll than I thought the tape itself still I have not tested it appears that hits hard, the only thing that the roll is much smaller than I thought, relaccion money, I think a face poquillo for my taste but good overall fulfills what it pro"&amp;"mises, and these tapes, usually veneers")</f>
        <v>It is a smaller roll than I thought the tape itself still I have not tested it appears that hits hard, the only thing that the roll is much smaller than I thought, relaccion money, I think a face poquillo for my taste but good overall fulfills what it promises, and these tapes, usually veneers</v>
      </c>
    </row>
    <row r="2153">
      <c r="A2153" s="1">
        <v>1.0</v>
      </c>
      <c r="B2153" s="1" t="s">
        <v>2141</v>
      </c>
      <c r="C2153" t="str">
        <f>IFERROR(__xludf.DUMMYFUNCTION("GOOGLETRANSLATE(B2153, ""es"", ""en"")"),"Ana P sounds good. Right. But I bought them to talk with them too and it is impossible: my partner or I will not listen, or I lose or I listen badly. I still have the old. Cheap but is expensive if you do not serve what they should serve.")</f>
        <v>Ana P sounds good. Right. But I bought them to talk with them too and it is impossible: my partner or I will not listen, or I lose or I listen badly. I still have the old. Cheap but is expensive if you do not serve what they should serve.</v>
      </c>
    </row>
    <row r="2154">
      <c r="A2154" s="1">
        <v>1.0</v>
      </c>
      <c r="B2154" s="1" t="s">
        <v>2142</v>
      </c>
      <c r="C2154" t="str">
        <f>IFERROR(__xludf.DUMMYFUNCTION("GOOGLETRANSLATE(B2154, ""es"", ""en"")"),"A fraud scam, a flash drive that capacity worth 1,000 €. It is obviously a hack, plug it to the 1,8TB but will you have if you try to get videos with more than 64GB will be impossible and stop.")</f>
        <v>A fraud scam, a flash drive that capacity worth 1,000 €. It is obviously a hack, plug it to the 1,8TB but will you have if you try to get videos with more than 64GB will be impossible and stop.</v>
      </c>
    </row>
    <row r="2155">
      <c r="A2155" s="1">
        <v>4.0</v>
      </c>
      <c r="B2155" s="1" t="s">
        <v>2143</v>
      </c>
      <c r="C2155" t="str">
        <f>IFERROR(__xludf.DUMMYFUNCTION("GOOGLETRANSLATE(B2155, ""es"", ""en"")"),"It could be better, but not bad design and weight is fine but is too small for my feet. Perhaps more use, stretch a little and settled better. Another positive aspect is the damping of the impact walking or running.")</f>
        <v>It could be better, but not bad design and weight is fine but is too small for my feet. Perhaps more use, stretch a little and settled better. Another positive aspect is the damping of the impact walking or running.</v>
      </c>
    </row>
    <row r="2156">
      <c r="A2156" s="1">
        <v>4.0</v>
      </c>
      <c r="B2156" s="1" t="s">
        <v>2144</v>
      </c>
      <c r="C2156" t="str">
        <f>IFERROR(__xludf.DUMMYFUNCTION("GOOGLETRANSLATE(B2156, ""es"", ""en"")"),"Value good product are fine, are not entirely clear but almost. Very happy with the purchase. I recommend it")</f>
        <v>Value good product are fine, are not entirely clear but almost. Very happy with the purchase. I recommend it</v>
      </c>
    </row>
    <row r="2157">
      <c r="A2157" s="1">
        <v>4.0</v>
      </c>
      <c r="B2157" s="1" t="s">
        <v>2145</v>
      </c>
      <c r="C2157" t="str">
        <f>IFERROR(__xludf.DUMMYFUNCTION("GOOGLETRANSLATE(B2157, ""es"", ""en"")"),"Comfort are very comfortable and after 3 weeks boombox tough enough")</f>
        <v>Comfort are very comfortable and after 3 weeks boombox tough enough</v>
      </c>
    </row>
    <row r="2158">
      <c r="A2158" s="1">
        <v>4.0</v>
      </c>
      <c r="B2158" s="1" t="s">
        <v>2146</v>
      </c>
      <c r="C2158" t="str">
        <f>IFERROR(__xludf.DUMMYFUNCTION("GOOGLETRANSLATE(B2158, ""es"", ""en"")"),"Satisfied I like the product has the expected characteristics in general. It remains to be seen durability. Moment happy with the purchase and transportation services.")</f>
        <v>Satisfied I like the product has the expected characteristics in general. It remains to be seen durability. Moment happy with the purchase and transportation services.</v>
      </c>
    </row>
    <row r="2159">
      <c r="A2159" s="1">
        <v>5.0</v>
      </c>
      <c r="B2159" s="1" t="s">
        <v>2147</v>
      </c>
      <c r="C2159" t="str">
        <f>IFERROR(__xludf.DUMMYFUNCTION("GOOGLETRANSLATE(B2159, ""es"", ""en"")"),"Product Quality Kettle Bosch brand. We have used the Bosch brand, with quality finishes and elegant design in their products, in this kettle could not be less. a very good product is appreciated. The kettle is made of stainless steel and finished in black"&amp;" plastic. It has an output of 2200 watts. Shaped cylindrical jar. The maximum capacity of 1.7 liters, to put in use should add at least 0.25 liters. At first glance, the feeling that is smaller than the capacity of nearly two liters. It is very fast in wa"&amp;"rm water, hence its power rating. It is made from least to know that we have the water temperature by means of a temperature scale. The filter is at the top, the mouth where we add water, and is removable, to wash. Definitely we recommended, if we can pay"&amp;" the price this kettle, premium finishes and the quality of the product is indisputable.")</f>
        <v>Product Quality Kettle Bosch brand. We have used the Bosch brand, with quality finishes and elegant design in their products, in this kettle could not be less. a very good product is appreciated. The kettle is made of stainless steel and finished in black plastic. It has an output of 2200 watts. Shaped cylindrical jar. The maximum capacity of 1.7 liters, to put in use should add at least 0.25 liters. At first glance, the feeling that is smaller than the capacity of nearly two liters. It is very fast in warm water, hence its power rating. It is made from least to know that we have the water temperature by means of a temperature scale. The filter is at the top, the mouth where we add water, and is removable, to wash. Definitely we recommended, if we can pay the price this kettle, premium finishes and the quality of the product is indisputable.</v>
      </c>
    </row>
    <row r="2160">
      <c r="A2160" s="1">
        <v>5.0</v>
      </c>
      <c r="B2160" s="1" t="s">
        <v>2148</v>
      </c>
      <c r="C2160" t="str">
        <f>IFERROR(__xludf.DUMMYFUNCTION("GOOGLETRANSLATE(B2160, ""es"", ""en"")"),"BEST In my opinion, the best product of plasticized paper in the market. Finishes that have are very good, and the watermark disappears to the plasticizing. Worth.")</f>
        <v>BEST In my opinion, the best product of plasticized paper in the market. Finishes that have are very good, and the watermark disappears to the plasticizing. Worth.</v>
      </c>
    </row>
    <row r="2161">
      <c r="A2161" s="1">
        <v>5.0</v>
      </c>
      <c r="B2161" s="1" t="s">
        <v>2149</v>
      </c>
      <c r="C2161" t="str">
        <f>IFERROR(__xludf.DUMMYFUNCTION("GOOGLETRANSLATE(B2161, ""es"", ""en"")"),"Very nice and comfortable, better than expected very nice, good quality, comfortable. Super design, this brand did not know but highly recommended")</f>
        <v>Very nice and comfortable, better than expected very nice, good quality, comfortable. Super design, this brand did not know but highly recommended</v>
      </c>
    </row>
    <row r="2162">
      <c r="A2162" s="1">
        <v>5.0</v>
      </c>
      <c r="B2162" s="1" t="s">
        <v>2150</v>
      </c>
      <c r="C2162" t="str">
        <f>IFERROR(__xludf.DUMMYFUNCTION("GOOGLETRANSLATE(B2162, ""es"", ""en"")"),"great and useful also brings a tray for coins, are large, also useful to save some paper or envelopes, and seem robust")</f>
        <v>great and useful also brings a tray for coins, are large, also useful to save some paper or envelopes, and seem robust</v>
      </c>
    </row>
    <row r="2163">
      <c r="A2163" s="1">
        <v>5.0</v>
      </c>
      <c r="B2163" s="1" t="s">
        <v>2151</v>
      </c>
      <c r="C2163" t="str">
        <f>IFERROR(__xludf.DUMMYFUNCTION("GOOGLETRANSLATE(B2163, ""es"", ""en"")"),"For what I need, I better. Good card at a good price and it works OK. I use a SLR camera and the moment is great.")</f>
        <v>For what I need, I better. Good card at a good price and it works OK. I use a SLR camera and the moment is great.</v>
      </c>
    </row>
    <row r="2164">
      <c r="A2164" s="1">
        <v>5.0</v>
      </c>
      <c r="B2164" s="1" t="s">
        <v>2152</v>
      </c>
      <c r="C2164" t="str">
        <f>IFERROR(__xludf.DUMMYFUNCTION("GOOGLETRANSLATE(B2164, ""es"", ""en"")"),"Originality Very original")</f>
        <v>Originality Very original</v>
      </c>
    </row>
    <row r="2165">
      <c r="A2165" s="1">
        <v>5.0</v>
      </c>
      <c r="B2165" s="1" t="s">
        <v>1843</v>
      </c>
      <c r="C2165" t="str">
        <f>IFERROR(__xludf.DUMMYFUNCTION("GOOGLETRANSLATE(B2165, ""es"", ""en"")"),"OK perfect")</f>
        <v>OK perfect</v>
      </c>
    </row>
    <row r="2166">
      <c r="A2166" s="1">
        <v>5.0</v>
      </c>
      <c r="B2166" s="1" t="s">
        <v>2153</v>
      </c>
      <c r="C2166" t="str">
        <f>IFERROR(__xludf.DUMMYFUNCTION("GOOGLETRANSLATE(B2166, ""es"", ""en"")"),"Value The truth is that it gives good massages. For the price you would recommend to anyone!")</f>
        <v>Value The truth is that it gives good massages. For the price you would recommend to anyone!</v>
      </c>
    </row>
    <row r="2167">
      <c r="A2167" s="1">
        <v>5.0</v>
      </c>
      <c r="B2167" s="1" t="s">
        <v>2154</v>
      </c>
      <c r="C2167" t="str">
        <f>IFERROR(__xludf.DUMMYFUNCTION("GOOGLETRANSLATE(B2167, ""es"", ""en"")"),"We loved recommend. Aesthetically it is very beautiful and perfectly does its function as a humidifier. I miss him a few drops of essential oil (natural and good quality) and smells entire stay. You can set the timer and if not, when water just turns itse"&amp;"lf off.")</f>
        <v>We loved recommend. Aesthetically it is very beautiful and perfectly does its function as a humidifier. I miss him a few drops of essential oil (natural and good quality) and smells entire stay. You can set the timer and if not, when water just turns itself off.</v>
      </c>
    </row>
    <row r="2168">
      <c r="A2168" s="1">
        <v>5.0</v>
      </c>
      <c r="B2168" s="1" t="s">
        <v>2155</v>
      </c>
      <c r="C2168" t="str">
        <f>IFERROR(__xludf.DUMMYFUNCTION("GOOGLETRANSLATE(B2168, ""es"", ""en"")"),"Portable, fast and with lots of memory. USB stick is very small, with connection to carry on your key ring without disturbing always on top. The hitch is strong and tough so there is no fear that it will break and lose. It also has protection against dust"&amp;" and making it very portable. On issues of writing and reading tests realizing you I have obtained a value reading of 137 MB / s and 75 MB / s in writing, I mean they are very good results. It's fast and has very good ability.")</f>
        <v>Portable, fast and with lots of memory. USB stick is very small, with connection to carry on your key ring without disturbing always on top. The hitch is strong and tough so there is no fear that it will break and lose. It also has protection against dust and making it very portable. On issues of writing and reading tests realizing you I have obtained a value reading of 137 MB / s and 75 MB / s in writing, I mean they are very good results. It's fast and has very good ability.</v>
      </c>
    </row>
    <row r="2169">
      <c r="A2169" s="1">
        <v>5.0</v>
      </c>
      <c r="B2169" s="1" t="s">
        <v>2156</v>
      </c>
      <c r="C2169" t="str">
        <f>IFERROR(__xludf.DUMMYFUNCTION("GOOGLETRANSLATE(B2169, ""es"", ""en"")"),"Pretty while since I did not like as much as a sweatshirt, just waist up body and left. Slims.")</f>
        <v>Pretty while since I did not like as much as a sweatshirt, just waist up body and left. Slims.</v>
      </c>
    </row>
    <row r="2170">
      <c r="A2170" s="1">
        <v>5.0</v>
      </c>
      <c r="B2170" s="1" t="s">
        <v>2157</v>
      </c>
      <c r="C2170" t="str">
        <f>IFERROR(__xludf.DUMMYFUNCTION("GOOGLETRANSLATE(B2170, ""es"", ""en"")"),"Blast flawless and perfect, right to my collection")</f>
        <v>Blast flawless and perfect, right to my collection</v>
      </c>
    </row>
    <row r="2171">
      <c r="A2171" s="1">
        <v>5.0</v>
      </c>
      <c r="B2171" s="1" t="s">
        <v>2158</v>
      </c>
      <c r="C2171" t="str">
        <f>IFERROR(__xludf.DUMMYFUNCTION("GOOGLETRANSLATE(B2171, ""es"", ""en"")"),"Expected Ibiza Sound always responds, good sound quality, battery more than decent, inhalambrico micro with good sound and long distance, to take one but the wheels to transport are not well designed, it is impossible to take without being destabilized, b"&amp;"ut not how important")</f>
        <v>Expected Ibiza Sound always responds, good sound quality, battery more than decent, inhalambrico micro with good sound and long distance, to take one but the wheels to transport are not well designed, it is impossible to take without being destabilized, but not how important</v>
      </c>
    </row>
    <row r="2172">
      <c r="A2172" s="1">
        <v>5.0</v>
      </c>
      <c r="B2172" s="1" t="s">
        <v>2159</v>
      </c>
      <c r="C2172" t="str">
        <f>IFERROR(__xludf.DUMMYFUNCTION("GOOGLETRANSLATE(B2172, ""es"", ""en"")"),"Fast and 100% recommended. Elegant and very nice.")</f>
        <v>Fast and 100% recommended. Elegant and very nice.</v>
      </c>
    </row>
    <row r="2173">
      <c r="A2173" s="1">
        <v>5.0</v>
      </c>
      <c r="B2173" s="1" t="s">
        <v>2160</v>
      </c>
      <c r="C2173" t="str">
        <f>IFERROR(__xludf.DUMMYFUNCTION("GOOGLETRANSLATE(B2173, ""es"", ""en"")"),"Excellent toy Masajeador female intimate area Fidech brand. Small size, easy to carry anywhere and simple design. Its softness due to the silicone material which is made gives comfort to the woman when using it. It has several modes and different speeds. "&amp;"Not very loud but be careful where (lustful face) is used. My girl uses it a lot and even down the street, he says it does not bother when you have position. With everyone happy, worth buying.")</f>
        <v>Excellent toy Masajeador female intimate area Fidech brand. Small size, easy to carry anywhere and simple design. Its softness due to the silicone material which is made gives comfort to the woman when using it. It has several modes and different speeds. Not very loud but be careful where (lustful face) is used. My girl uses it a lot and even down the street, he says it does not bother when you have position. With everyone happy, worth buying.</v>
      </c>
    </row>
    <row r="2174">
      <c r="A2174" s="1">
        <v>5.0</v>
      </c>
      <c r="B2174" s="1" t="s">
        <v>2161</v>
      </c>
      <c r="C2174" t="str">
        <f>IFERROR(__xludf.DUMMYFUNCTION("GOOGLETRANSLATE(B2174, ""es"", ""en"")"),"They fulfill their mission. The've bought as replacements for the guillotine and in principle are to fulfill their role because they are equal to the carrying. I have not yet used any of these parts since the guillotine is new.")</f>
        <v>They fulfill their mission. The've bought as replacements for the guillotine and in principle are to fulfill their role because they are equal to the carrying. I have not yet used any of these parts since the guillotine is new.</v>
      </c>
    </row>
    <row r="2175">
      <c r="A2175" s="1">
        <v>5.0</v>
      </c>
      <c r="B2175" s="1" t="s">
        <v>2162</v>
      </c>
      <c r="C2175" t="str">
        <f>IFERROR(__xludf.DUMMYFUNCTION("GOOGLETRANSLATE(B2175, ""es"", ""en"")"),"the best gift for Mother's Day is a precious jewel in the image if you like to the naturally you'll like it even more")</f>
        <v>the best gift for Mother's Day is a precious jewel in the image if you like to the naturally you'll like it even more</v>
      </c>
    </row>
    <row r="2176">
      <c r="A2176" s="1">
        <v>5.0</v>
      </c>
      <c r="B2176" s="1" t="s">
        <v>2163</v>
      </c>
      <c r="C2176" t="str">
        <f>IFERROR(__xludf.DUMMYFUNCTION("GOOGLETRANSLATE(B2176, ""es"", ""en"")"),"Quality trekking shoes, light and soft tread These new multi-brand sneakers Columbia and I liked when I saw online but live and direct I seem to have a very nice design. Once they set foot compact aspect. They are ideal for country walks and for excursion"&amp;"s in the city you need to walk a lot. They are very comfortable, lightweight, adapt very well to the foot, does not leave gaps so you notice the very subject standing. I also like the soft touch of template, foot rests very comfortably. Both my wife and I"&amp;" have used (each in its size) this weekend for people of -Segovia by muddy terrain, we have crossed a stream and it rained us, and it seems that their quality of waterproof has worked. The sole seems resistant and non-slip. Its gray color, makes it very p"&amp;"atient, and is easily cleaned by wiping with a damp cloth. A boot highly recommended.")</f>
        <v>Quality trekking shoes, light and soft tread These new multi-brand sneakers Columbia and I liked when I saw online but live and direct I seem to have a very nice design. Once they set foot compact aspect. They are ideal for country walks and for excursions in the city you need to walk a lot. They are very comfortable, lightweight, adapt very well to the foot, does not leave gaps so you notice the very subject standing. I also like the soft touch of template, foot rests very comfortably. Both my wife and I have used (each in its size) this weekend for people of -Segovia by muddy terrain, we have crossed a stream and it rained us, and it seems that their quality of waterproof has worked. The sole seems resistant and non-slip. Its gray color, makes it very patient, and is easily cleaned by wiping with a damp cloth. A boot highly recommended.</v>
      </c>
    </row>
    <row r="2177">
      <c r="A2177" s="1">
        <v>2.0</v>
      </c>
      <c r="B2177" s="1" t="s">
        <v>2164</v>
      </c>
      <c r="C2177" t="str">
        <f>IFERROR(__xludf.DUMMYFUNCTION("GOOGLETRANSLATE(B2177, ""es"", ""en"")"),"Any result. I bought it to clean limescale from the water tank of the Babycook. I followed the instructions on a couple of occasions, he has taken some lime but expected much more. The same as using vinegar. I would not buy.")</f>
        <v>Any result. I bought it to clean limescale from the water tank of the Babycook. I followed the instructions on a couple of occasions, he has taken some lime but expected much more. The same as using vinegar. I would not buy.</v>
      </c>
    </row>
    <row r="2178">
      <c r="A2178" s="1">
        <v>3.0</v>
      </c>
      <c r="B2178" s="1" t="s">
        <v>2165</v>
      </c>
      <c r="C2178" t="str">
        <f>IFERROR(__xludf.DUMMYFUNCTION("GOOGLETRANSLATE(B2178, ""es"", ""en"")"),"Decent'm not expert but the worst is that trembles a little and that the union of rotation of the leg with giraffe must tighten thoroughly. The rest pretty good for the price.")</f>
        <v>Decent'm not expert but the worst is that trembles a little and that the union of rotation of the leg with giraffe must tighten thoroughly. The rest pretty good for the price.</v>
      </c>
    </row>
    <row r="2179">
      <c r="A2179" s="1">
        <v>1.0</v>
      </c>
      <c r="B2179" s="1" t="s">
        <v>2166</v>
      </c>
      <c r="C2179" t="str">
        <f>IFERROR(__xludf.DUMMYFUNCTION("GOOGLETRANSLATE(B2179, ""es"", ""en"")"),"Disappointing, plastiquero and the old battery. Very fragile, poor quality materials and does not work from day one, no change will stack is worth a watch. Thank you")</f>
        <v>Disappointing, plastiquero and the old battery. Very fragile, poor quality materials and does not work from day one, no change will stack is worth a watch. Thank you</v>
      </c>
    </row>
    <row r="2180">
      <c r="A2180" s="1">
        <v>1.0</v>
      </c>
      <c r="B2180" s="1" t="s">
        <v>2167</v>
      </c>
      <c r="C2180" t="str">
        <f>IFERROR(__xludf.DUMMYFUNCTION("GOOGLETRANSLATE(B2180, ""es"", ""en"")"),"faulty micro does not work, I mean the micro wireless battery, I put the batteries and never worked, too bad")</f>
        <v>faulty micro does not work, I mean the micro wireless battery, I put the batteries and never worked, too bad</v>
      </c>
    </row>
    <row r="2181">
      <c r="A2181" s="1">
        <v>4.0</v>
      </c>
      <c r="B2181" s="1" t="s">
        <v>2168</v>
      </c>
      <c r="C2181" t="str">
        <f>IFERROR(__xludf.DUMMYFUNCTION("GOOGLETRANSLATE(B2181, ""es"", ""en"")"),"monkeys very nice, as in the photo!")</f>
        <v>monkeys very nice, as in the photo!</v>
      </c>
    </row>
    <row r="2182">
      <c r="A2182" s="1">
        <v>4.0</v>
      </c>
      <c r="B2182" s="1" t="s">
        <v>2169</v>
      </c>
      <c r="C2182" t="str">
        <f>IFERROR(__xludf.DUMMYFUNCTION("GOOGLETRANSLATE(B2182, ""es"", ""en"")"),"My son is very funny contento.Viene each pair in individual bags and are very bonitos.Con if time will not peel and are good.")</f>
        <v>My son is very funny contento.Viene each pair in individual bags and are very bonitos.Con if time will not peel and are good.</v>
      </c>
    </row>
    <row r="2183">
      <c r="A2183" s="1">
        <v>4.0</v>
      </c>
      <c r="B2183" s="1" t="s">
        <v>2170</v>
      </c>
      <c r="C2183" t="str">
        <f>IFERROR(__xludf.DUMMYFUNCTION("GOOGLETRANSLATE(B2183, ""es"", ""en"")"),"his Impermiabilidad very difficult to put into operation")</f>
        <v>his Impermiabilidad very difficult to put into operation</v>
      </c>
    </row>
    <row r="2184">
      <c r="A2184" s="1">
        <v>4.0</v>
      </c>
      <c r="B2184" s="1" t="s">
        <v>2171</v>
      </c>
      <c r="C2184" t="str">
        <f>IFERROR(__xludf.DUMMYFUNCTION("GOOGLETRANSLATE(B2184, ""es"", ""en"")"),"Good cream for muscle pain cream for muscle aches and contractures")</f>
        <v>Good cream for muscle pain cream for muscle aches and contractures</v>
      </c>
    </row>
    <row r="2185">
      <c r="A2185" s="1">
        <v>4.0</v>
      </c>
      <c r="B2185" s="1" t="s">
        <v>2172</v>
      </c>
      <c r="C2185" t="str">
        <f>IFERROR(__xludf.DUMMYFUNCTION("GOOGLETRANSLATE(B2185, ""es"", ""en"")"),"Abdesiva tape Fast and everything biennn")</f>
        <v>Abdesiva tape Fast and everything biennn</v>
      </c>
    </row>
    <row r="2186">
      <c r="A2186" s="1">
        <v>5.0</v>
      </c>
      <c r="B2186" s="1" t="s">
        <v>2173</v>
      </c>
      <c r="C2186" t="str">
        <f>IFERROR(__xludf.DUMMYFUNCTION("GOOGLETRANSLATE(B2186, ""es"", ""en"")"),"Great shoes all right")</f>
        <v>Great shoes all right</v>
      </c>
    </row>
    <row r="2187">
      <c r="A2187" s="1">
        <v>5.0</v>
      </c>
      <c r="B2187" s="1" t="s">
        <v>2174</v>
      </c>
      <c r="C2187" t="str">
        <f>IFERROR(__xludf.DUMMYFUNCTION("GOOGLETRANSLATE(B2187, ""es"", ""en"")"),"Hand lens. Poser unique is that it weighs a bit, otherwise the light is a plus for enhancing the increase has k is pretty and very well, and perfect for use in any more or less dark, without having to be getting closer to clearly windows or extra lights t"&amp;"o see what it is, it is just what I wanted and at least to me to use it every day at home went very well.")</f>
        <v>Hand lens. Poser unique is that it weighs a bit, otherwise the light is a plus for enhancing the increase has k is pretty and very well, and perfect for use in any more or less dark, without having to be getting closer to clearly windows or extra lights to see what it is, it is just what I wanted and at least to me to use it every day at home went very well.</v>
      </c>
    </row>
    <row r="2188">
      <c r="A2188" s="1">
        <v>5.0</v>
      </c>
      <c r="B2188" s="1" t="s">
        <v>2175</v>
      </c>
      <c r="C2188" t="str">
        <f>IFERROR(__xludf.DUMMYFUNCTION("GOOGLETRANSLATE(B2188, ""es"", ""en"")"),"This comfortable until the first wash is very clear cotton")</f>
        <v>This comfortable until the first wash is very clear cotton</v>
      </c>
    </row>
    <row r="2189">
      <c r="A2189" s="1">
        <v>5.0</v>
      </c>
      <c r="B2189" s="1" t="s">
        <v>2176</v>
      </c>
      <c r="C2189" t="str">
        <f>IFERROR(__xludf.DUMMYFUNCTION("GOOGLETRANSLATE(B2189, ""es"", ""en"")"),"A very good watch The watch is very nice, good and comfortable. I chose it as a gift to my partner because he liked a lot. He is very happy, the strap loves and what we loved was that no battery, great !!! Shipment within 24 hours is great as we do not ex"&amp;"pect to receive it and arrived in perfect condition.")</f>
        <v>A very good watch The watch is very nice, good and comfortable. I chose it as a gift to my partner because he liked a lot. He is very happy, the strap loves and what we loved was that no battery, great !!! Shipment within 24 hours is great as we do not expect to receive it and arrived in perfect condition.</v>
      </c>
    </row>
    <row r="2190">
      <c r="A2190" s="1">
        <v>5.0</v>
      </c>
      <c r="B2190" s="1" t="s">
        <v>2177</v>
      </c>
      <c r="C2190" t="str">
        <f>IFERROR(__xludf.DUMMYFUNCTION("GOOGLETRANSLATE(B2190, ""es"", ""en"")"),"What a purchase! In a few months I like to do some video tutorials, etc. to upload to youtube but the microphone I had was not too good. In this case I was surprised how well it is presented and the feeling of hardness and quality of the parts for assembl"&amp;"y brings. That said set on the PC is simply connect via USB and Windows Me has detected; I tested with the OBS program and has simply been to say that this sound recording microphone and the truth is I've noticed a difference regarding the abyssal you had"&amp;" before. The sound comes out clear, clean and has a very good sensitivity because as there are sounds in another room is able to catch them. Of the best buys I've done.")</f>
        <v>What a purchase! In a few months I like to do some video tutorials, etc. to upload to youtube but the microphone I had was not too good. In this case I was surprised how well it is presented and the feeling of hardness and quality of the parts for assembly brings. That said set on the PC is simply connect via USB and Windows Me has detected; I tested with the OBS program and has simply been to say that this sound recording microphone and the truth is I've noticed a difference regarding the abyssal you had before. The sound comes out clear, clean and has a very good sensitivity because as there are sounds in another room is able to catch them. Of the best buys I've done.</v>
      </c>
    </row>
    <row r="2191">
      <c r="A2191" s="1">
        <v>5.0</v>
      </c>
      <c r="B2191" s="1" t="s">
        <v>2178</v>
      </c>
      <c r="C2191" t="str">
        <f>IFERROR(__xludf.DUMMYFUNCTION("GOOGLETRANSLATE(B2191, ""es"", ""en"")"),"Very satisfied with the purchase are the most comfortable shoes in the world !!! I'm the second I buy, foot work and I never hurt legs are slippers. I recommend to everyone!")</f>
        <v>Very satisfied with the purchase are the most comfortable shoes in the world !!! I'm the second I buy, foot work and I never hurt legs are slippers. I recommend to everyone!</v>
      </c>
    </row>
    <row r="2192">
      <c r="A2192" s="1">
        <v>5.0</v>
      </c>
      <c r="B2192" s="1" t="s">
        <v>2179</v>
      </c>
      <c r="C2192" t="str">
        <f>IFERROR(__xludf.DUMMYFUNCTION("GOOGLETRANSLATE(B2192, ""es"", ""en"")"),"Verbatim as always so far I have not failed. I have little to say about the Verbatim DVD, just as always in my case until now not one has failed me and all I have worked properly. In the case of this pack I have not spent all but so far they take you more"&amp;" or less half all have been good. As for the shipment has been very fast and right, for my part, a 10 regarding sent and product.")</f>
        <v>Verbatim as always so far I have not failed. I have little to say about the Verbatim DVD, just as always in my case until now not one has failed me and all I have worked properly. In the case of this pack I have not spent all but so far they take you more or less half all have been good. As for the shipment has been very fast and right, for my part, a 10 regarding sent and product.</v>
      </c>
    </row>
    <row r="2193">
      <c r="A2193" s="1">
        <v>5.0</v>
      </c>
      <c r="B2193" s="1" t="s">
        <v>2180</v>
      </c>
      <c r="C2193" t="str">
        <f>IFERROR(__xludf.DUMMYFUNCTION("GOOGLETRANSLATE(B2193, ""es"", ""en"")"),"Buy Crocs perfect winter for 19 € on offer. Nothing else to add")</f>
        <v>Buy Crocs perfect winter for 19 € on offer. Nothing else to add</v>
      </c>
    </row>
    <row r="2194">
      <c r="A2194" s="1">
        <v>5.0</v>
      </c>
      <c r="B2194" s="1" t="s">
        <v>2181</v>
      </c>
      <c r="C2194" t="str">
        <f>IFERROR(__xludf.DUMMYFUNCTION("GOOGLETRANSLATE(B2194, ""es"", ""en"")"),"Very good buy. I get perfect, but I knew that was my size because it was not the first time I bought them. They give little size, so you have to ask at least one more than the number usually fit each. To give you an idea I use a 43-44 and the New Balance "&amp;"45 and I ask one is perfect. On the other hand say they are a comfortable option, that if, for dressing or taking a walk, not for sports.")</f>
        <v>Very good buy. I get perfect, but I knew that was my size because it was not the first time I bought them. They give little size, so you have to ask at least one more than the number usually fit each. To give you an idea I use a 43-44 and the New Balance 45 and I ask one is perfect. On the other hand say they are a comfortable option, that if, for dressing or taking a walk, not for sports.</v>
      </c>
    </row>
    <row r="2195">
      <c r="A2195" s="1">
        <v>5.0</v>
      </c>
      <c r="B2195" s="1" t="s">
        <v>2182</v>
      </c>
      <c r="C2195" t="str">
        <f>IFERROR(__xludf.DUMMYFUNCTION("GOOGLETRANSLATE(B2195, ""es"", ""en"")"),"Perfect is a comfortable blender to use and clean with a great power, have not yet tested the ice, but for gazpacho and vegetable cream is super efficient. I arrived very fast and in perfect condition.")</f>
        <v>Perfect is a comfortable blender to use and clean with a great power, have not yet tested the ice, but for gazpacho and vegetable cream is super efficient. I arrived very fast and in perfect condition.</v>
      </c>
    </row>
    <row r="2196">
      <c r="A2196" s="1">
        <v>5.0</v>
      </c>
      <c r="B2196" s="1" t="s">
        <v>2183</v>
      </c>
      <c r="C2196" t="str">
        <f>IFERROR(__xludf.DUMMYFUNCTION("GOOGLETRANSLATE(B2196, ""es"", ""en"")"),"Very Good Good acoustic insulation. Perfect for audio M d3 b5")</f>
        <v>Very Good Good acoustic insulation. Perfect for audio M d3 b5</v>
      </c>
    </row>
    <row r="2197">
      <c r="A2197" s="1">
        <v>5.0</v>
      </c>
      <c r="B2197" s="1" t="s">
        <v>2184</v>
      </c>
      <c r="C2197" t="str">
        <f>IFERROR(__xludf.DUMMYFUNCTION("GOOGLETRANSLATE(B2197, ""es"", ""en"")"),"Bureau Bureau")</f>
        <v>Bureau Bureau</v>
      </c>
    </row>
    <row r="2198">
      <c r="A2198" s="1">
        <v>5.0</v>
      </c>
      <c r="B2198" s="1" t="s">
        <v>2185</v>
      </c>
      <c r="C2198" t="str">
        <f>IFERROR(__xludf.DUMMYFUNCTION("GOOGLETRANSLATE(B2198, ""es"", ""en"")"),"Good value good value")</f>
        <v>Good value good value</v>
      </c>
    </row>
    <row r="2199">
      <c r="A2199" s="1">
        <v>5.0</v>
      </c>
      <c r="B2199" s="1" t="s">
        <v>2186</v>
      </c>
      <c r="C2199" t="str">
        <f>IFERROR(__xludf.DUMMYFUNCTION("GOOGLETRANSLATE(B2199, ""es"", ""en"")"),"Top microphone microphone very subtle, compact and comfortable where you can fold up and take it wherever you want. I recommend 100%. It's great.")</f>
        <v>Top microphone microphone very subtle, compact and comfortable where you can fold up and take it wherever you want. I recommend 100%. It's great.</v>
      </c>
    </row>
    <row r="2200">
      <c r="A2200" s="1">
        <v>5.0</v>
      </c>
      <c r="B2200" s="1" t="s">
        <v>2187</v>
      </c>
      <c r="C2200" t="str">
        <f>IFERROR(__xludf.DUMMYFUNCTION("GOOGLETRANSLATE(B2200, ""es"", ""en"")"),"Very good perfect")</f>
        <v>Very good perfect</v>
      </c>
    </row>
    <row r="2201">
      <c r="A2201" s="1">
        <v>5.0</v>
      </c>
      <c r="B2201" s="1" t="s">
        <v>2188</v>
      </c>
      <c r="C2201" t="str">
        <f>IFERROR(__xludf.DUMMYFUNCTION("GOOGLETRANSLATE(B2201, ""es"", ""en"")"),"- value They are very light and do not weigh almost nothing, the quality of the padding is optimal not hear anything from the outside and are very comfortable, the quality of the sound is good, especially low hear a crisp and clear in terms of the volume "&amp;"control is available from the cable to the computer allowing you to lower it, raise or silence. I am very pleased with the purchase I recommend it.")</f>
        <v>- value They are very light and do not weigh almost nothing, the quality of the padding is optimal not hear anything from the outside and are very comfortable, the quality of the sound is good, especially low hear a crisp and clear in terms of the volume control is available from the cable to the computer allowing you to lower it, raise or silence. I am very pleased with the purchase I recommend it.</v>
      </c>
    </row>
    <row r="2202">
      <c r="A2202" s="1">
        <v>5.0</v>
      </c>
      <c r="B2202" s="1" t="s">
        <v>2189</v>
      </c>
      <c r="C2202" t="str">
        <f>IFERROR(__xludf.DUMMYFUNCTION("GOOGLETRANSLATE(B2202, ""es"", ""en"")"),"Buy a teacher. Amazing! Without detergent and best result")</f>
        <v>Buy a teacher. Amazing! Without detergent and best result</v>
      </c>
    </row>
    <row r="2203">
      <c r="A2203" s="1">
        <v>5.0</v>
      </c>
      <c r="B2203" s="1" t="s">
        <v>2190</v>
      </c>
      <c r="C2203" t="str">
        <f>IFERROR(__xludf.DUMMYFUNCTION("GOOGLETRANSLATE(B2203, ""es"", ""en"")"),"Incredible really surprised us. It's amazing quality compared to the price.")</f>
        <v>Incredible really surprised us. It's amazing quality compared to the price.</v>
      </c>
    </row>
    <row r="2204">
      <c r="A2204" s="1">
        <v>5.0</v>
      </c>
      <c r="B2204" s="1" t="s">
        <v>2191</v>
      </c>
      <c r="C2204" t="str">
        <f>IFERROR(__xludf.DUMMYFUNCTION("GOOGLETRANSLATE(B2204, ""es"", ""en"")"),"THIS MICROPHONE WITH MICROPHONE Bluth CAN ALSO WITH trajeta MIRO .Easy to use SD. And the pink my daughter likes very much.")</f>
        <v>THIS MICROPHONE WITH MICROPHONE Bluth CAN ALSO WITH trajeta MIRO .Easy to use SD. And the pink my daughter likes very much.</v>
      </c>
    </row>
    <row r="2205">
      <c r="A2205" s="1">
        <v>2.0</v>
      </c>
      <c r="B2205" s="1" t="s">
        <v>2192</v>
      </c>
      <c r="C2205" t="str">
        <f>IFERROR(__xludf.DUMMYFUNCTION("GOOGLETRANSLATE(B2205, ""es"", ""en"")"),"Right for little more than what you pay for a pack could have bought a bigger one, but not being sure they were compatible with my stapler buy these. Cleats correct, but the purchase price was not anything economic.")</f>
        <v>Right for little more than what you pay for a pack could have bought a bigger one, but not being sure they were compatible with my stapler buy these. Cleats correct, but the purchase price was not anything economic.</v>
      </c>
    </row>
    <row r="2206">
      <c r="A2206" s="1">
        <v>3.0</v>
      </c>
      <c r="B2206" s="1" t="s">
        <v>2193</v>
      </c>
      <c r="C2206" t="str">
        <f>IFERROR(__xludf.DUMMYFUNCTION("GOOGLETRANSLATE(B2206, ""es"", ""en"")"),"It came pretty well. It is very cool. I hope it lasts. the morrito cow is very soft and fluffy. Good")</f>
        <v>It came pretty well. It is very cool. I hope it lasts. the morrito cow is very soft and fluffy. Good</v>
      </c>
    </row>
    <row r="2207">
      <c r="A2207" s="1">
        <v>3.0</v>
      </c>
      <c r="B2207" s="1" t="s">
        <v>2194</v>
      </c>
      <c r="C2207" t="str">
        <f>IFERROR(__xludf.DUMMYFUNCTION("GOOGLETRANSLATE(B2207, ""es"", ""en"")"),"Pequeñosfalllos Calzadodediario but llaviene the soles cracked the sides a little")</f>
        <v>Pequeñosfalllos Calzadodediario but llaviene the soles cracked the sides a little</v>
      </c>
    </row>
    <row r="2208">
      <c r="A2208" s="1">
        <v>1.0</v>
      </c>
      <c r="B2208" s="1" t="s">
        <v>2195</v>
      </c>
      <c r="C2208" t="str">
        <f>IFERROR(__xludf.DUMMYFUNCTION("GOOGLETRANSLATE(B2208, ""es"", ""en"")"),"Surprise at 4 days of use. Just four days have lasted templates. Detached from the rear and from unstuck is not true because any glue is not appreciated. Total disappointment with the brand")</f>
        <v>Surprise at 4 days of use. Just four days have lasted templates. Detached from the rear and from unstuck is not true because any glue is not appreciated. Total disappointment with the brand</v>
      </c>
    </row>
    <row r="2209">
      <c r="A2209" s="1">
        <v>1.0</v>
      </c>
      <c r="B2209" s="1" t="s">
        <v>2196</v>
      </c>
      <c r="C2209" t="str">
        <f>IFERROR(__xludf.DUMMYFUNCTION("GOOGLETRANSLATE(B2209, ""es"", ""en"")"),"Blender face and broken broken")</f>
        <v>Blender face and broken broken</v>
      </c>
    </row>
    <row r="2210">
      <c r="A2210" s="1">
        <v>1.0</v>
      </c>
      <c r="B2210" s="1" t="s">
        <v>2197</v>
      </c>
      <c r="C2210" t="str">
        <f>IFERROR(__xludf.DUMMYFUNCTION("GOOGLETRANSLATE(B2210, ""es"", ""en"")"),"Lie in color not liked anything. Is a lie, is not white is white and translucent that is almost transparent. I wanted to collect and hide a group of wires are black, gray and yellow, with a white strip and has not helped me at all. I have not returned bec"&amp;"ause I find it harder to throw it back. A disappointment")</f>
        <v>Lie in color not liked anything. Is a lie, is not white is white and translucent that is almost transparent. I wanted to collect and hide a group of wires are black, gray and yellow, with a white strip and has not helped me at all. I have not returned because I find it harder to throw it back. A disappointment</v>
      </c>
    </row>
    <row r="2211">
      <c r="A2211" s="1">
        <v>4.0</v>
      </c>
      <c r="B2211" s="1" t="s">
        <v>2198</v>
      </c>
      <c r="C2211" t="str">
        <f>IFERROR(__xludf.DUMMYFUNCTION("GOOGLETRANSLATE(B2211, ""es"", ""en"")"),"A good price chafe the beginning made me well then")</f>
        <v>A good price chafe the beginning made me well then</v>
      </c>
    </row>
    <row r="2212">
      <c r="A2212" s="1">
        <v>4.0</v>
      </c>
      <c r="B2212" s="1" t="s">
        <v>2199</v>
      </c>
      <c r="C2212" t="str">
        <f>IFERROR(__xludf.DUMMYFUNCTION("GOOGLETRANSLATE(B2212, ""es"", ""en"")"),"It works well I expected. Handsome lidded. Well priced compared to others. The only thing that burns the top touch it. Would you purchase.")</f>
        <v>It works well I expected. Handsome lidded. Well priced compared to others. The only thing that burns the top touch it. Would you purchase.</v>
      </c>
    </row>
    <row r="2213">
      <c r="A2213" s="1">
        <v>4.0</v>
      </c>
      <c r="B2213" s="1" t="s">
        <v>2200</v>
      </c>
      <c r="C2213" t="str">
        <f>IFERROR(__xludf.DUMMYFUNCTION("GOOGLETRANSLATE(B2213, ""es"", ""en"")"),"I function well meets his love. It saves the work of scrubbing and sweeping up before. I do not pay 5 porq star sometimes gets lost in the room and ends on the opposite side to the began q, she or it is supposed to return to the starting place, but still "&amp;"leaves you sweep room, scoured, and while you're on to something else. Cloths are expensive, yes, but you can use a little stretch over the single use recommended. And there is a washable cloth scrub q have not yet tried. I recommend buying especially if "&amp;"you do not have time to take care of the house. Libera much and it's really cute!")</f>
        <v>I function well meets his love. It saves the work of scrubbing and sweeping up before. I do not pay 5 porq star sometimes gets lost in the room and ends on the opposite side to the began q, she or it is supposed to return to the starting place, but still leaves you sweep room, scoured, and while you're on to something else. Cloths are expensive, yes, but you can use a little stretch over the single use recommended. And there is a washable cloth scrub q have not yet tried. I recommend buying especially if you do not have time to take care of the house. Libera much and it's really cute!</v>
      </c>
    </row>
    <row r="2214">
      <c r="A2214" s="1">
        <v>4.0</v>
      </c>
      <c r="B2214" s="1" t="s">
        <v>2201</v>
      </c>
      <c r="C2214" t="str">
        <f>IFERROR(__xludf.DUMMYFUNCTION("GOOGLETRANSLATE(B2214, ""es"", ""en"")"),"Size L. 1,83 m. 93 kg I have several pieces Joma to run but is the first time that I decided to buy this brand online. He had doubts size. Long me is perfect and size as well. Part of the ankle / calf is tight but not uncomfortable. It has zipper to open "&amp;"so we can remove the leg with shoes as if haste. The material, as everything that makes Joma, is excellent and I hope it is durable. Good buy and a reasonable price.")</f>
        <v>Size L. 1,83 m. 93 kg I have several pieces Joma to run but is the first time that I decided to buy this brand online. He had doubts size. Long me is perfect and size as well. Part of the ankle / calf is tight but not uncomfortable. It has zipper to open so we can remove the leg with shoes as if haste. The material, as everything that makes Joma, is excellent and I hope it is durable. Good buy and a reasonable price.</v>
      </c>
    </row>
    <row r="2215">
      <c r="A2215" s="1">
        <v>4.0</v>
      </c>
      <c r="B2215" s="1" t="s">
        <v>2202</v>
      </c>
      <c r="C2215" t="str">
        <f>IFERROR(__xludf.DUMMYFUNCTION("GOOGLETRANSLATE(B2215, ""es"", ""en"")"),"Very good quality / price made in one piece, quality, right size and comfortable. Note that is well marked foot bridge and if you are not used the first days uncommon, after that they are very comfortable. If you have flat feet might not feel comfortable,"&amp;" in spite of being soft.")</f>
        <v>Very good quality / price made in one piece, quality, right size and comfortable. Note that is well marked foot bridge and if you are not used the first days uncommon, after that they are very comfortable. If you have flat feet might not feel comfortable, in spite of being soft.</v>
      </c>
    </row>
    <row r="2216">
      <c r="A2216" s="1">
        <v>5.0</v>
      </c>
      <c r="B2216" s="1" t="s">
        <v>2203</v>
      </c>
      <c r="C2216" t="str">
        <f>IFERROR(__xludf.DUMMYFUNCTION("GOOGLETRANSLATE(B2216, ""es"", ""en"")"),"Socks are very good as shown in the photo. They fit well and are comfortable. The purchase has been good and I think they are recommended.")</f>
        <v>Socks are very good as shown in the photo. They fit well and are comfortable. The purchase has been good and I think they are recommended.</v>
      </c>
    </row>
    <row r="2217">
      <c r="A2217" s="1">
        <v>5.0</v>
      </c>
      <c r="B2217" s="1" t="s">
        <v>2204</v>
      </c>
      <c r="C2217" t="str">
        <f>IFERROR(__xludf.DUMMYFUNCTION("GOOGLETRANSLATE(B2217, ""es"", ""en"")"),"Meets all what I expected")</f>
        <v>Meets all what I expected</v>
      </c>
    </row>
    <row r="2218">
      <c r="A2218" s="1">
        <v>5.0</v>
      </c>
      <c r="B2218" s="1" t="s">
        <v>2205</v>
      </c>
      <c r="C2218" t="str">
        <f>IFERROR(__xludf.DUMMYFUNCTION("GOOGLETRANSLATE(B2218, ""es"", ""en"")"),"Quality Clark As Picture")</f>
        <v>Quality Clark As Picture</v>
      </c>
    </row>
    <row r="2219">
      <c r="A2219" s="1">
        <v>5.0</v>
      </c>
      <c r="B2219" s="1" t="s">
        <v>2206</v>
      </c>
      <c r="C2219" t="str">
        <f>IFERROR(__xludf.DUMMYFUNCTION("GOOGLETRANSLATE(B2219, ""es"", ""en"")"),"I love, wonderful smells .... !!!!! I like to make my soaps, and natural fresheners at home, and a few drops of any of these oils are with delicious smells. The rose and jasmine for soaps .... I love it. And I saw them as my mother do, I keep the sheets a"&amp;"nd towels and you can not imagine the smell that comes out when I open the closet. And fresheners .... chifla me Cherry, a fantastic smell. The ylang ylang love to use me in my room ..... diffuser is a fragrance that relaxes me and calms. And the white te"&amp;"a was a smell did not know, but I like that feeling of freshness that has not yet've used, but it sure next time to make sure I will use soap. The presentation of the oils, is precious. A box with very nice flowers. And one very important thing is that I "&amp;"came all the perfect oil without leaking any boat. Not like I asked before another brand, which reached me 3 almost empty cans and the entire box full of oil.")</f>
        <v>I love, wonderful smells .... !!!!! I like to make my soaps, and natural fresheners at home, and a few drops of any of these oils are with delicious smells. The rose and jasmine for soaps .... I love it. And I saw them as my mother do, I keep the sheets and towels and you can not imagine the smell that comes out when I open the closet. And fresheners .... chifla me Cherry, a fantastic smell. The ylang ylang love to use me in my room ..... diffuser is a fragrance that relaxes me and calms. And the white tea was a smell did not know, but I like that feeling of freshness that has not yet've used, but it sure next time to make sure I will use soap. The presentation of the oils, is precious. A box with very nice flowers. And one very important thing is that I came all the perfect oil without leaking any boat. Not like I asked before another brand, which reached me 3 almost empty cans and the entire box full of oil.</v>
      </c>
    </row>
    <row r="2220">
      <c r="A2220" s="1">
        <v>5.0</v>
      </c>
      <c r="B2220" s="1" t="s">
        <v>2207</v>
      </c>
      <c r="C2220" t="str">
        <f>IFERROR(__xludf.DUMMYFUNCTION("GOOGLETRANSLATE(B2220, ""es"", ""en"")"),"Very cool is a great watch, but very well done, the color is slightly darker than the picture, which most say is a G-shock, ready for anything, shock, water, the truth is that they are one watches very thankful, because after you buy him the strap and bez"&amp;"el (box) and you change it again and have new watch.")</f>
        <v>Very cool is a great watch, but very well done, the color is slightly darker than the picture, which most say is a G-shock, ready for anything, shock, water, the truth is that they are one watches very thankful, because after you buy him the strap and bezel (box) and you change it again and have new watch.</v>
      </c>
    </row>
    <row r="2221">
      <c r="A2221" s="1">
        <v>5.0</v>
      </c>
      <c r="B2221" s="1" t="s">
        <v>2208</v>
      </c>
      <c r="C2221" t="str">
        <f>IFERROR(__xludf.DUMMYFUNCTION("GOOGLETRANSLATE(B2221, ""es"", ""en"")"),"Excellent article. I watch my lifetime. Eye, do not use ara sport so that does not count. Undoubtedly, clock and occasional good day.")</f>
        <v>Excellent article. I watch my lifetime. Eye, do not use ara sport so that does not count. Undoubtedly, clock and occasional good day.</v>
      </c>
    </row>
    <row r="2222">
      <c r="A2222" s="1">
        <v>5.0</v>
      </c>
      <c r="B2222" s="1" t="s">
        <v>2209</v>
      </c>
      <c r="C2222" t="str">
        <f>IFERROR(__xludf.DUMMYFUNCTION("GOOGLETRANSLATE(B2222, ""es"", ""en"")"),"Fits very well and have good price Good product. Very good price compared to similar ones. I bought the M size and its sizing is good. Happy with the")</f>
        <v>Fits very well and have good price Good product. Very good price compared to similar ones. I bought the M size and its sizing is good. Happy with the</v>
      </c>
    </row>
    <row r="2223">
      <c r="A2223" s="1">
        <v>5.0</v>
      </c>
      <c r="B2223" s="1" t="s">
        <v>2210</v>
      </c>
      <c r="C2223" t="str">
        <f>IFERROR(__xludf.DUMMYFUNCTION("GOOGLETRANSLATE(B2223, ""es"", ""en"")"),"You are perfect! Both are perfect to go to sport, very good quality")</f>
        <v>You are perfect! Both are perfect to go to sport, very good quality</v>
      </c>
    </row>
    <row r="2224">
      <c r="A2224" s="1">
        <v>5.0</v>
      </c>
      <c r="B2224" s="1" t="s">
        <v>2211</v>
      </c>
      <c r="C2224" t="str">
        <f>IFERROR(__xludf.DUMMYFUNCTION("GOOGLETRANSLATE(B2224, ""es"", ""en"")"),"For that price, the relationship with Good sound quality for that price you can not ask for more")</f>
        <v>For that price, the relationship with Good sound quality for that price you can not ask for more</v>
      </c>
    </row>
    <row r="2225">
      <c r="A2225" s="1">
        <v>5.0</v>
      </c>
      <c r="B2225" s="1" t="s">
        <v>2212</v>
      </c>
      <c r="C2225" t="str">
        <f>IFERROR(__xludf.DUMMYFUNCTION("GOOGLETRANSLATE(B2225, ""es"", ""en"")"),"Good works perfect")</f>
        <v>Good works perfect</v>
      </c>
    </row>
    <row r="2226">
      <c r="A2226" s="1">
        <v>5.0</v>
      </c>
      <c r="B2226" s="1" t="s">
        <v>2213</v>
      </c>
      <c r="C2226" t="str">
        <f>IFERROR(__xludf.DUMMYFUNCTION("GOOGLETRANSLATE(B2226, ""es"", ""en"")"),"Super good quality good quality and very comfortable for sport or for the day. I recommend it a lot.")</f>
        <v>Super good quality good quality and very comfortable for sport or for the day. I recommend it a lot.</v>
      </c>
    </row>
    <row r="2227">
      <c r="A2227" s="1">
        <v>5.0</v>
      </c>
      <c r="B2227" s="1" t="s">
        <v>2214</v>
      </c>
      <c r="C2227" t="str">
        <f>IFERROR(__xludf.DUMMYFUNCTION("GOOGLETRANSLATE(B2227, ""es"", ""en"")"),"QUALITY AND RELIABILITY Recommended for lavadora.Yo I put a pill every time I wear linen and clothes too grateful. In the tank of the toilet also it makes his feature if you put a pill when you have to leave and not you will use in a few hours.")</f>
        <v>QUALITY AND RELIABILITY Recommended for lavadora.Yo I put a pill every time I wear linen and clothes too grateful. In the tank of the toilet also it makes his feature if you put a pill when you have to leave and not you will use in a few hours.</v>
      </c>
    </row>
    <row r="2228">
      <c r="A2228" s="1">
        <v>5.0</v>
      </c>
      <c r="B2228" s="1" t="s">
        <v>2215</v>
      </c>
      <c r="C2228" t="str">
        <f>IFERROR(__xludf.DUMMYFUNCTION("GOOGLETRANSLATE(B2228, ""es"", ""en"")"),"Man bottles. The best bottles without doubt.")</f>
        <v>Man bottles. The best bottles without doubt.</v>
      </c>
    </row>
    <row r="2229">
      <c r="A2229" s="1">
        <v>5.0</v>
      </c>
      <c r="B2229" s="1" t="s">
        <v>2216</v>
      </c>
      <c r="C2229" t="str">
        <f>IFERROR(__xludf.DUMMYFUNCTION("GOOGLETRANSLATE(B2229, ""es"", ""en"")"),"Very nice .. perfect color and picture the perfect size and are very strong .. My husband is delighted I recommend them")</f>
        <v>Very nice .. perfect color and picture the perfect size and are very strong .. My husband is delighted I recommend them</v>
      </c>
    </row>
    <row r="2230">
      <c r="A2230" s="1">
        <v>5.0</v>
      </c>
      <c r="B2230" s="1" t="s">
        <v>2217</v>
      </c>
      <c r="C2230" t="str">
        <f>IFERROR(__xludf.DUMMYFUNCTION("GOOGLETRANSLATE(B2230, ""es"", ""en"")"),"100% recommended Very comfortable. The've tried on long hikes, stones, wet floor and have captivated me. The value is extraordinary. I recommend them to 100%")</f>
        <v>100% recommended Very comfortable. The've tried on long hikes, stones, wet floor and have captivated me. The value is extraordinary. I recommend them to 100%</v>
      </c>
    </row>
    <row r="2231">
      <c r="A2231" s="1">
        <v>5.0</v>
      </c>
      <c r="B2231" s="1" t="s">
        <v>2218</v>
      </c>
      <c r="C2231" t="str">
        <f>IFERROR(__xludf.DUMMYFUNCTION("GOOGLETRANSLATE(B2231, ""es"", ""en"")"),"Good card as expected, fast, high capacity, good performance. Good value, worth spending a little more, has high processing speed")</f>
        <v>Good card as expected, fast, high capacity, good performance. Good value, worth spending a little more, has high processing speed</v>
      </c>
    </row>
    <row r="2232">
      <c r="A2232" s="1">
        <v>5.0</v>
      </c>
      <c r="B2232" s="1" t="s">
        <v>2219</v>
      </c>
      <c r="C2232" t="str">
        <f>IFERROR(__xludf.DUMMYFUNCTION("GOOGLETRANSLATE(B2232, ""es"", ""en"")"),"Percfectos Pe f cts comfortable")</f>
        <v>Percfectos Pe f cts comfortable</v>
      </c>
    </row>
    <row r="2233">
      <c r="A2233" s="1">
        <v>5.0</v>
      </c>
      <c r="B2233" s="1" t="s">
        <v>2220</v>
      </c>
      <c r="C2233" t="str">
        <f>IFERROR(__xludf.DUMMYFUNCTION("GOOGLETRANSLATE(B2233, ""es"", ""en"")"),"Good Very good quality")</f>
        <v>Good Very good quality</v>
      </c>
    </row>
    <row r="2234">
      <c r="A2234" s="1">
        <v>5.0</v>
      </c>
      <c r="B2234" s="1" t="s">
        <v>2221</v>
      </c>
      <c r="C2234" t="str">
        <f>IFERROR(__xludf.DUMMYFUNCTION("GOOGLETRANSLATE(B2234, ""es"", ""en"")"),"Lovely sweatshirt, super nice and light. Sweatshirt beautiful, very soft and pleasing to the touch and light, it is better than I expected. XXL is quite large, even a little bit more than I expected.")</f>
        <v>Lovely sweatshirt, super nice and light. Sweatshirt beautiful, very soft and pleasing to the touch and light, it is better than I expected. XXL is quite large, even a little bit more than I expected.</v>
      </c>
    </row>
    <row r="2235">
      <c r="A2235" s="1">
        <v>2.0</v>
      </c>
      <c r="B2235" s="1" t="s">
        <v>2222</v>
      </c>
      <c r="C2235" t="str">
        <f>IFERROR(__xludf.DUMMYFUNCTION("GOOGLETRANSLATE(B2235, ""es"", ""en"")"),"Does not meet your expectations What we returned, it was not comfortable nor listened well, we took the next spot, not recommended.")</f>
        <v>Does not meet your expectations What we returned, it was not comfortable nor listened well, we took the next spot, not recommended.</v>
      </c>
    </row>
    <row r="2236">
      <c r="A2236" s="1">
        <v>3.0</v>
      </c>
      <c r="B2236" s="1" t="s">
        <v>2223</v>
      </c>
      <c r="C2236" t="str">
        <f>IFERROR(__xludf.DUMMYFUNCTION("GOOGLETRANSLATE(B2236, ""es"", ""en"")"),"... Not like esperava")</f>
        <v>... Not like esperava</v>
      </c>
    </row>
    <row r="2237">
      <c r="A2237" s="1">
        <v>3.0</v>
      </c>
      <c r="B2237" s="1" t="s">
        <v>2224</v>
      </c>
      <c r="C2237" t="str">
        <f>IFERROR(__xludf.DUMMYFUNCTION("GOOGLETRANSLATE(B2237, ""es"", ""en"")"),"The coffee is fine, but there is an error in the description, the water reservoir is not removable The coffee is good. But in describing the characteristics of the product there is an error, the water reservoir is not removable")</f>
        <v>The coffee is fine, but there is an error in the description, the water reservoir is not removable The coffee is good. But in describing the characteristics of the product there is an error, the water reservoir is not removable</v>
      </c>
    </row>
    <row r="2238">
      <c r="A2238" s="1">
        <v>1.0</v>
      </c>
      <c r="B2238" s="1" t="s">
        <v>2225</v>
      </c>
      <c r="C2238" t="str">
        <f>IFERROR(__xludf.DUMMYFUNCTION("GOOGLETRANSLATE(B2238, ""es"", ""en"")"),"It does not work on ipad. Not compatible with iOS've tried it in two I have, indicating downloading the application and does not read the files you've included. I've formatted from the Mac, you've got different file types, and nothing. I tried to copy pho"&amp;"tos from iPad to USB and does not work. Not compatible with iOS")</f>
        <v>It does not work on ipad. Not compatible with iOS've tried it in two I have, indicating downloading the application and does not read the files you've included. I've formatted from the Mac, you've got different file types, and nothing. I tried to copy photos from iPad to USB and does not work. Not compatible with iOS</v>
      </c>
    </row>
    <row r="2239">
      <c r="A2239" s="1">
        <v>1.0</v>
      </c>
      <c r="B2239" s="1" t="s">
        <v>2226</v>
      </c>
      <c r="C2239" t="str">
        <f>IFERROR(__xludf.DUMMYFUNCTION("GOOGLETRANSLATE(B2239, ""es"", ""en"")"),"The Alponerlo speed up the Barilla is released")</f>
        <v>The Alponerlo speed up the Barilla is released</v>
      </c>
    </row>
    <row r="2240">
      <c r="A2240" s="1">
        <v>4.0</v>
      </c>
      <c r="B2240" s="1" t="s">
        <v>2227</v>
      </c>
      <c r="C2240" t="str">
        <f>IFERROR(__xludf.DUMMYFUNCTION("GOOGLETRANSLATE(B2240, ""es"", ""en"")"),"It is pretty nice, not bad")</f>
        <v>It is pretty nice, not bad</v>
      </c>
    </row>
    <row r="2241">
      <c r="A2241" s="1">
        <v>4.0</v>
      </c>
      <c r="B2241" s="1" t="s">
        <v>2228</v>
      </c>
      <c r="C2241" t="str">
        <f>IFERROR(__xludf.DUMMYFUNCTION("GOOGLETRANSLATE(B2241, ""es"", ""en"")"),"Time can not be bought and I have bought buying the deebot 900 Apart from buying a vacuum cleaner I bought time while I do other things q keeps me home without pelusa.Genial and hardly makes noise, maybe I would like a deposit trash something bigger")</f>
        <v>Time can not be bought and I have bought buying the deebot 900 Apart from buying a vacuum cleaner I bought time while I do other things q keeps me home without pelusa.Genial and hardly makes noise, maybe I would like a deposit trash something bigger</v>
      </c>
    </row>
    <row r="2242">
      <c r="A2242" s="1">
        <v>4.0</v>
      </c>
      <c r="B2242" s="1" t="s">
        <v>2229</v>
      </c>
      <c r="C2242" t="str">
        <f>IFERROR(__xludf.DUMMYFUNCTION("GOOGLETRANSLATE(B2242, ""es"", ""en"")"),"Meets and is very happy at the moment with the clock. I bought it as an alternative to my smartwatch for use in training and fulfills its mission. It is well placed as well. We see long term.")</f>
        <v>Meets and is very happy at the moment with the clock. I bought it as an alternative to my smartwatch for use in training and fulfills its mission. It is well placed as well. We see long term.</v>
      </c>
    </row>
    <row r="2243">
      <c r="A2243" s="1">
        <v>4.0</v>
      </c>
      <c r="B2243" s="1" t="s">
        <v>2230</v>
      </c>
      <c r="C2243" t="str">
        <f>IFERROR(__xludf.DUMMYFUNCTION("GOOGLETRANSLATE(B2243, ""es"", ""en"")"),"Well, very good")</f>
        <v>Well, very good</v>
      </c>
    </row>
    <row r="2244">
      <c r="A2244" s="1">
        <v>4.0</v>
      </c>
      <c r="B2244" s="1" t="s">
        <v>2231</v>
      </c>
      <c r="C2244" t="str">
        <f>IFERROR(__xludf.DUMMYFUNCTION("GOOGLETRANSLATE(B2244, ""es"", ""en"")"),"perfect versatile, as it as described.")</f>
        <v>perfect versatile, as it as described.</v>
      </c>
    </row>
    <row r="2245">
      <c r="A2245" s="1">
        <v>5.0</v>
      </c>
      <c r="B2245" s="1" t="s">
        <v>2232</v>
      </c>
      <c r="C2245" t="str">
        <f>IFERROR(__xludf.DUMMYFUNCTION("GOOGLETRANSLATE(B2245, ""es"", ""en"")"),"By the time a classic that was looking for, I always loved and to more than 14 years since I bought them. I like to see how they have been put up so many years selling this model. perfect quality, incredibly fit, they are very comfortable. So if a lot of "&amp;"heat in summer foot.")</f>
        <v>By the time a classic that was looking for, I always loved and to more than 14 years since I bought them. I like to see how they have been put up so many years selling this model. perfect quality, incredibly fit, they are very comfortable. So if a lot of heat in summer foot.</v>
      </c>
    </row>
    <row r="2246">
      <c r="A2246" s="1">
        <v>5.0</v>
      </c>
      <c r="B2246" s="1" t="s">
        <v>2233</v>
      </c>
      <c r="C2246" t="str">
        <f>IFERROR(__xludf.DUMMYFUNCTION("GOOGLETRANSLATE(B2246, ""es"", ""en"")"),"4TB for 58 €, a gift! I bought it because I saw it at 58 €, for that price could not let it go, I came in 3 days and everything perfect, delighted by purchasing")</f>
        <v>4TB for 58 €, a gift! I bought it because I saw it at 58 €, for that price could not let it go, I came in 3 days and everything perfect, delighted by purchasing</v>
      </c>
    </row>
    <row r="2247">
      <c r="A2247" s="1">
        <v>5.0</v>
      </c>
      <c r="B2247" s="1" t="s">
        <v>2234</v>
      </c>
      <c r="C2247" t="str">
        <f>IFERROR(__xludf.DUMMYFUNCTION("GOOGLETRANSLATE(B2247, ""es"", ""en"")"),"Comfortable to buy good quality and cheap")</f>
        <v>Comfortable to buy good quality and cheap</v>
      </c>
    </row>
    <row r="2248">
      <c r="A2248" s="1">
        <v>5.0</v>
      </c>
      <c r="B2248" s="1" t="s">
        <v>2235</v>
      </c>
      <c r="C2248" t="str">
        <f>IFERROR(__xludf.DUMMYFUNCTION("GOOGLETRANSLATE(B2248, ""es"", ""en"")"),"Quality, and especially its perfect as I left, make a beautiful leg, and are lovely, it was reluctant, but they are very chik, let delighted, I hope last me")</f>
        <v>Quality, and especially its perfect as I left, make a beautiful leg, and are lovely, it was reluctant, but they are very chik, let delighted, I hope last me</v>
      </c>
    </row>
    <row r="2249">
      <c r="A2249" s="1">
        <v>5.0</v>
      </c>
      <c r="B2249" s="1" t="s">
        <v>2236</v>
      </c>
      <c r="C2249" t="str">
        <f>IFERROR(__xludf.DUMMYFUNCTION("GOOGLETRANSLATE(B2249, ""es"", ""en"")"),"Ideal gift is great, the pieces fit perfectly .I buy gift a symbol of friendship.")</f>
        <v>Ideal gift is great, the pieces fit perfectly .I buy gift a symbol of friendship.</v>
      </c>
    </row>
    <row r="2250">
      <c r="A2250" s="1">
        <v>5.0</v>
      </c>
      <c r="B2250" s="1" t="s">
        <v>2237</v>
      </c>
      <c r="C2250" t="str">
        <f>IFERROR(__xludf.DUMMYFUNCTION("GOOGLETRANSLATE(B2250, ""es"", ""en"")"),"I like it. It makes no noise. It is simple and well finished. It notes that moisture rises to the put. I like it just fine. It does almost noise at night but I have not stopped since. The finish is fine, looks good anywhere. Note that at once put the humi"&amp;"dity rises. I still have not tried with essential oils, only water. When the water level drops to, and I have thought and stopped, so it also meets this safety feature. The water is not heated or appliance either. The colors are simple and can be nice to "&amp;"relax.")</f>
        <v>I like it. It makes no noise. It is simple and well finished. It notes that moisture rises to the put. I like it just fine. It does almost noise at night but I have not stopped since. The finish is fine, looks good anywhere. Note that at once put the humidity rises. I still have not tried with essential oils, only water. When the water level drops to, and I have thought and stopped, so it also meets this safety feature. The water is not heated or appliance either. The colors are simple and can be nice to relax.</v>
      </c>
    </row>
    <row r="2251">
      <c r="A2251" s="1">
        <v>5.0</v>
      </c>
      <c r="B2251" s="1" t="s">
        <v>2238</v>
      </c>
      <c r="C2251" t="str">
        <f>IFERROR(__xludf.DUMMYFUNCTION("GOOGLETRANSLATE(B2251, ""es"", ""en"")"),"I love vaquita is a cucada cow and I arrived super early and is perfect on the table is very comfortable for mouse")</f>
        <v>I love vaquita is a cucada cow and I arrived super early and is perfect on the table is very comfortable for mouse</v>
      </c>
    </row>
    <row r="2252">
      <c r="A2252" s="1">
        <v>5.0</v>
      </c>
      <c r="B2252" s="1" t="s">
        <v>2239</v>
      </c>
      <c r="C2252" t="str">
        <f>IFERROR(__xludf.DUMMYFUNCTION("GOOGLETRANSLATE(B2252, ""es"", ""en"")"),"Terrific correct and well packaged.")</f>
        <v>Terrific correct and well packaged.</v>
      </c>
    </row>
    <row r="2253">
      <c r="A2253" s="1">
        <v>5.0</v>
      </c>
      <c r="B2253" s="1" t="s">
        <v>2240</v>
      </c>
      <c r="C2253" t="str">
        <f>IFERROR(__xludf.DUMMYFUNCTION("GOOGLETRANSLATE(B2253, ""es"", ""en"")"),"We are a good buy my perfect woman")</f>
        <v>We are a good buy my perfect woman</v>
      </c>
    </row>
    <row r="2254">
      <c r="A2254" s="1">
        <v>5.0</v>
      </c>
      <c r="B2254" s="1" t="s">
        <v>2241</v>
      </c>
      <c r="C2254" t="str">
        <f>IFERROR(__xludf.DUMMYFUNCTION("GOOGLETRANSLATE(B2254, ""es"", ""en"")"),"Good good cable wire to make your own connections on the stereo or TV.")</f>
        <v>Good good cable wire to make your own connections on the stereo or TV.</v>
      </c>
    </row>
    <row r="2255">
      <c r="A2255" s="1">
        <v>5.0</v>
      </c>
      <c r="B2255" s="1" t="s">
        <v>2242</v>
      </c>
      <c r="C2255" t="str">
        <f>IFERROR(__xludf.DUMMYFUNCTION("GOOGLETRANSLATE(B2255, ""es"", ""en"")"),"The writing speed Installation is extremely easy as a second disk xioami air my 13.5 inches. It goes like a bullet")</f>
        <v>The writing speed Installation is extremely easy as a second disk xioami air my 13.5 inches. It goes like a bullet</v>
      </c>
    </row>
    <row r="2256">
      <c r="A2256" s="1">
        <v>5.0</v>
      </c>
      <c r="B2256" s="1" t="s">
        <v>2243</v>
      </c>
      <c r="C2256" t="str">
        <f>IFERROR(__xludf.DUMMYFUNCTION("GOOGLETRANSLATE(B2256, ""es"", ""en"")"),"Well Tube to return it because it was coming from but still a friend of mine has it and is doing a great luxury all great micro and the return smoothly and fast")</f>
        <v>Well Tube to return it because it was coming from but still a friend of mine has it and is doing a great luxury all great micro and the return smoothly and fast</v>
      </c>
    </row>
    <row r="2257">
      <c r="A2257" s="1">
        <v>5.0</v>
      </c>
      <c r="B2257" s="1" t="s">
        <v>2244</v>
      </c>
      <c r="C2257" t="str">
        <f>IFERROR(__xludf.DUMMYFUNCTION("GOOGLETRANSLATE(B2257, ""es"", ""en"")"),"Very good shoes slippers top of the best in the segment of ""mixed"" slippers. Designed for racing upbeat rhythms, the foot fits like a sock. They are very light and damped. For what it's orientation, NB carvings coincide with Nike.")</f>
        <v>Very good shoes slippers top of the best in the segment of "mixed" slippers. Designed for racing upbeat rhythms, the foot fits like a sock. They are very light and damped. For what it's orientation, NB carvings coincide with Nike.</v>
      </c>
    </row>
    <row r="2258">
      <c r="A2258" s="1">
        <v>5.0</v>
      </c>
      <c r="B2258" s="1" t="s">
        <v>2245</v>
      </c>
      <c r="C2258" t="str">
        <f>IFERROR(__xludf.DUMMYFUNCTION("GOOGLETRANSLATE(B2258, ""es"", ""en"")"),"PRECIOSOOOO Very nice, I had seen it in a store but at 69 euros, met all the requirements, but the box was made of cardboard and found it a bit tatty, otherwise great.")</f>
        <v>PRECIOSOOOO Very nice, I had seen it in a store but at 69 euros, met all the requirements, but the box was made of cardboard and found it a bit tatty, otherwise great.</v>
      </c>
    </row>
    <row r="2259">
      <c r="A2259" s="1">
        <v>5.0</v>
      </c>
      <c r="B2259" s="1" t="s">
        <v>2246</v>
      </c>
      <c r="C2259" t="str">
        <f>IFERROR(__xludf.DUMMYFUNCTION("GOOGLETRANSLATE(B2259, ""es"", ""en"")"),"I love love, are very nice and always puts it. I recommend it for girls between 10 and 15 years old I LOVE YOU")</f>
        <v>I love love, are very nice and always puts it. I recommend it for girls between 10 and 15 years old I LOVE YOU</v>
      </c>
    </row>
    <row r="2260">
      <c r="A2260" s="1">
        <v>5.0</v>
      </c>
      <c r="B2260" s="1" t="s">
        <v>2247</v>
      </c>
      <c r="C2260" t="str">
        <f>IFERROR(__xludf.DUMMYFUNCTION("GOOGLETRANSLATE(B2260, ""es"", ""en"")"),"Very useful to save space works really well, you create a folder on your Mobil and save you all your files and photos directly on USB ele")</f>
        <v>Very useful to save space works really well, you create a folder on your Mobil and save you all your files and photos directly on USB ele</v>
      </c>
    </row>
    <row r="2261">
      <c r="A2261" s="1">
        <v>5.0</v>
      </c>
      <c r="B2261" s="1" t="s">
        <v>2248</v>
      </c>
      <c r="C2261" t="str">
        <f>IFERROR(__xludf.DUMMYFUNCTION("GOOGLETRANSLATE(B2261, ""es"", ""en"")"),"Saca juice all Travaja as a cavallo.")</f>
        <v>Saca juice all Travaja as a cavallo.</v>
      </c>
    </row>
    <row r="2262">
      <c r="A2262" s="1">
        <v>5.0</v>
      </c>
      <c r="B2262" s="1" t="s">
        <v>2249</v>
      </c>
      <c r="C2262" t="str">
        <f>IFERROR(__xludf.DUMMYFUNCTION("GOOGLETRANSLATE(B2262, ""es"", ""en"")"),"Preciosa buy it for a gift, you charm. Is a bracelet fits the wrist, is silver and not fade, it is a very good material. beautiful sunset stays.")</f>
        <v>Preciosa buy it for a gift, you charm. Is a bracelet fits the wrist, is silver and not fade, it is a very good material. beautiful sunset stays.</v>
      </c>
    </row>
    <row r="2263">
      <c r="A2263" s="1">
        <v>2.0</v>
      </c>
      <c r="B2263" s="1" t="s">
        <v>2250</v>
      </c>
      <c r="C2263" t="str">
        <f>IFERROR(__xludf.DUMMYFUNCTION("GOOGLETRANSLATE(B2263, ""es"", ""en"")"),"LOUD SOLE The sole is very noisy and comfortable interior is sunk quickly and does not return to its initial state.")</f>
        <v>LOUD SOLE The sole is very noisy and comfortable interior is sunk quickly and does not return to its initial state.</v>
      </c>
    </row>
    <row r="2264">
      <c r="A2264" s="1">
        <v>3.0</v>
      </c>
      <c r="B2264" s="1" t="s">
        <v>2251</v>
      </c>
      <c r="C2264" t="str">
        <f>IFERROR(__xludf.DUMMYFUNCTION("GOOGLETRANSLATE(B2264, ""es"", ""en"")"),"Okay the price The size is somewhat small, you will not find a quality product for the price you pay at the least used to be at home.")</f>
        <v>Okay the price The size is somewhat small, you will not find a quality product for the price you pay at the least used to be at home.</v>
      </c>
    </row>
    <row r="2265">
      <c r="A2265" s="1">
        <v>3.0</v>
      </c>
      <c r="B2265" s="1" t="s">
        <v>2252</v>
      </c>
      <c r="C2265" t="str">
        <f>IFERROR(__xludf.DUMMYFUNCTION("GOOGLETRANSLATE(B2265, ""es"", ""en"")"),"Not enough speed for Xiaomi M3 I bought this particular memory that relate to the rest is the best rate of literacy had also is supposed to be a V3, well then I have put in a new Xiaomi M3 and me launches an error message that is too slow to work to compl"&amp;"ement the phone memory, a two, or exhibiting speeds are not correct or xiaomi is tikismikis with memories. However I will perform test and will tell the result.")</f>
        <v>Not enough speed for Xiaomi M3 I bought this particular memory that relate to the rest is the best rate of literacy had also is supposed to be a V3, well then I have put in a new Xiaomi M3 and me launches an error message that is too slow to work to complement the phone memory, a two, or exhibiting speeds are not correct or xiaomi is tikismikis with memories. However I will perform test and will tell the result.</v>
      </c>
    </row>
    <row r="2266">
      <c r="A2266" s="1">
        <v>1.0</v>
      </c>
      <c r="B2266" s="1" t="s">
        <v>2253</v>
      </c>
      <c r="C2266" t="str">
        <f>IFERROR(__xludf.DUMMYFUNCTION("GOOGLETRANSLATE(B2266, ""es"", ""en"")"),"Crappy Crappy quality work quality fatal")</f>
        <v>Crappy Crappy quality work quality fatal</v>
      </c>
    </row>
    <row r="2267">
      <c r="A2267" s="1">
        <v>1.0</v>
      </c>
      <c r="B2267" s="1" t="s">
        <v>2254</v>
      </c>
      <c r="C2267" t="str">
        <f>IFERROR(__xludf.DUMMYFUNCTION("GOOGLETRANSLATE(B2267, ""es"", ""en"")"),"Bota spoiled by break I have received a blow to the front of the boot")</f>
        <v>Bota spoiled by break I have received a blow to the front of the boot</v>
      </c>
    </row>
    <row r="2268">
      <c r="A2268" s="1">
        <v>4.0</v>
      </c>
      <c r="B2268" s="1" t="s">
        <v>2255</v>
      </c>
      <c r="C2268" t="str">
        <f>IFERROR(__xludf.DUMMYFUNCTION("GOOGLETRANSLATE(B2268, ""es"", ""en"")"),"Xulo is but it looks very poor quality ... but for its price it's very xulo is worth, but is seen to be of poor quality; for price worthwhile.")</f>
        <v>Xulo is but it looks very poor quality ... but for its price it's very xulo is worth, but is seen to be of poor quality; for price worthwhile.</v>
      </c>
    </row>
    <row r="2269">
      <c r="A2269" s="1">
        <v>4.0</v>
      </c>
      <c r="B2269" s="1" t="s">
        <v>2256</v>
      </c>
      <c r="C2269" t="str">
        <f>IFERROR(__xludf.DUMMYFUNCTION("GOOGLETRANSLATE(B2269, ""es"", ""en"")"),"Wireless helmets helmets are very pretty in pink. They are very flexible because they can be folded and can be stored anywhere. I like that you can answer calls from the hull itself while listening to music and you can also listen to the radio. I recommen"&amp;"d helmets to give away at Christmas because they are comfortable and cuddly.")</f>
        <v>Wireless helmets helmets are very pretty in pink. They are very flexible because they can be folded and can be stored anywhere. I like that you can answer calls from the hull itself while listening to music and you can also listen to the radio. I recommend helmets to give away at Christmas because they are comfortable and cuddly.</v>
      </c>
    </row>
    <row r="2270">
      <c r="A2270" s="1">
        <v>4.0</v>
      </c>
      <c r="B2270" s="1" t="s">
        <v>2257</v>
      </c>
      <c r="C2270" t="str">
        <f>IFERROR(__xludf.DUMMYFUNCTION("GOOGLETRANSLATE(B2270, ""es"", ""en"")"),"Good buy (a second ...) After the initial disappointment of receiving a product clearly used (came without plastiquitos, unfiltered, without measuring strip water hardness, no spoon for ground coffee ...) and molinillo stuck, once returned and replaced by"&amp;" Amazon (in two days !!), I can say they were satisfied with their performance and preparing coffee. We came from drinking coffee in capsules and purpose of the change, in my opinion: 1: the typical immediacy of the system is lost for capsules (you have t"&amp;"o admit ...). This type of machine requires a longer power and consumes water at the turn on and off (the equivalent of a cup at the start and one at the off) 2: occupies apparatus rather, if short counter you walk is something to take into consideration "&amp;"3 : still consuming more water, the frequency with which must be replenished water or empty sludge is less than the frequency of water filling or emptying of capsules of a typical Nespresso Inissia 4: the noise level is similar 5: the ability to configure"&amp;" different preparation parameters and coffee to use the one you like best (or a mixture), leads to a greater chance of obtaining the optimal end coffee each (I will not talk about quality ... :)) 6: the option of using ground coffee is fine (for decaffein"&amp;"ated coffee or more / less body than beans), but having to put each coffee is not so comfortable. It would be nice a container for ground. Usually, I do not think home more than two types of coffee ... 7 are used .: regarding the environment are talking a"&amp;"bout an appliance class that produces coffee grounds going to the organic container (or plants or unclogging :) sink), nothing had another garbage bag and take the capsules at the collection point each time X ... 8 .: ultimately use less expensive cafes, "&amp;"is much cheaper than the system in capsules (even considering the cost of water filter)")</f>
        <v>Good buy (a second ...) After the initial disappointment of receiving a product clearly used (came without plastiquitos, unfiltered, without measuring strip water hardness, no spoon for ground coffee ...) and molinillo stuck, once returned and replaced by Amazon (in two days !!), I can say they were satisfied with their performance and preparing coffee. We came from drinking coffee in capsules and purpose of the change, in my opinion: 1: the typical immediacy of the system is lost for capsules (you have to admit ...). This type of machine requires a longer power and consumes water at the turn on and off (the equivalent of a cup at the start and one at the off) 2: occupies apparatus rather, if short counter you walk is something to take into consideration 3 : still consuming more water, the frequency with which must be replenished water or empty sludge is less than the frequency of water filling or emptying of capsules of a typical Nespresso Inissia 4: the noise level is similar 5: the ability to configure different preparation parameters and coffee to use the one you like best (or a mixture), leads to a greater chance of obtaining the optimal end coffee each (I will not talk about quality ... :)) 6: the option of using ground coffee is fine (for decaffeinated coffee or more / less body than beans), but having to put each coffee is not so comfortable. It would be nice a container for ground. Usually, I do not think home more than two types of coffee ... 7 are used .: regarding the environment are talking about an appliance class that produces coffee grounds going to the organic container (or plants or unclogging :) sink), nothing had another garbage bag and take the capsules at the collection point each time X ... 8 .: ultimately use less expensive cafes, is much cheaper than the system in capsules (even considering the cost of water filter)</v>
      </c>
    </row>
    <row r="2271">
      <c r="A2271" s="1">
        <v>4.0</v>
      </c>
      <c r="B2271" s="1" t="s">
        <v>2258</v>
      </c>
      <c r="C2271" t="str">
        <f>IFERROR(__xludf.DUMMYFUNCTION("GOOGLETRANSLATE(B2271, ""es"", ""en"")"),"Value Meets described")</f>
        <v>Value Meets described</v>
      </c>
    </row>
    <row r="2272">
      <c r="A2272" s="1">
        <v>5.0</v>
      </c>
      <c r="B2272" s="1" t="s">
        <v>2259</v>
      </c>
      <c r="C2272" t="str">
        <f>IFERROR(__xludf.DUMMYFUNCTION("GOOGLETRANSLATE(B2272, ""es"", ""en"")"),"Very good. The garment harbors recommended, I put it under a running jacket to go jogging at night and I'm not cold. It fits perfectly and takes the sweat perfectly.")</f>
        <v>Very good. The garment harbors recommended, I put it under a running jacket to go jogging at night and I'm not cold. It fits perfectly and takes the sweat perfectly.</v>
      </c>
    </row>
    <row r="2273">
      <c r="A2273" s="1">
        <v>5.0</v>
      </c>
      <c r="B2273" s="1" t="s">
        <v>2260</v>
      </c>
      <c r="C2273" t="str">
        <f>IFERROR(__xludf.DUMMYFUNCTION("GOOGLETRANSLATE(B2273, ""es"", ""en"")"),"Amethyst stone type. Is very pretty.")</f>
        <v>Amethyst stone type. Is very pretty.</v>
      </c>
    </row>
    <row r="2274">
      <c r="A2274" s="1">
        <v>5.0</v>
      </c>
      <c r="B2274" s="1" t="s">
        <v>2261</v>
      </c>
      <c r="C2274" t="str">
        <f>IFERROR(__xludf.DUMMYFUNCTION("GOOGLETRANSLATE(B2274, ""es"", ""en"")"),"Excellent Practics")</f>
        <v>Excellent Practics</v>
      </c>
    </row>
    <row r="2275">
      <c r="A2275" s="1">
        <v>5.0</v>
      </c>
      <c r="B2275" s="1" t="s">
        <v>2262</v>
      </c>
      <c r="C2275" t="str">
        <f>IFERROR(__xludf.DUMMYFUNCTION("GOOGLETRANSLATE(B2275, ""es"", ""en"")"),"All right I arrived earlier than expected and I love !!!! I can not be happier 😊")</f>
        <v>All right I arrived earlier than expected and I love !!!! I can not be happier 😊</v>
      </c>
    </row>
    <row r="2276">
      <c r="A2276" s="1">
        <v>5.0</v>
      </c>
      <c r="B2276" s="1" t="s">
        <v>2263</v>
      </c>
      <c r="C2276" t="str">
        <f>IFERROR(__xludf.DUMMYFUNCTION("GOOGLETRANSLATE(B2276, ""es"", ""en"")"),"Hawaiian remaining we need to look European size my son spends 41/42 and 43/44 and are perfect ask.")</f>
        <v>Hawaiian remaining we need to look European size my son spends 41/42 and 43/44 and are perfect ask.</v>
      </c>
    </row>
    <row r="2277">
      <c r="A2277" s="1">
        <v>5.0</v>
      </c>
      <c r="B2277" s="1" t="s">
        <v>2264</v>
      </c>
      <c r="C2277" t="str">
        <f>IFERROR(__xludf.DUMMYFUNCTION("GOOGLETRANSLATE(B2277, ""es"", ""en"")"),"Good practice power powerful, easy to use, I like it.")</f>
        <v>Good practice power powerful, easy to use, I like it.</v>
      </c>
    </row>
    <row r="2278">
      <c r="A2278" s="1">
        <v>5.0</v>
      </c>
      <c r="B2278" s="1" t="s">
        <v>2265</v>
      </c>
      <c r="C2278" t="str">
        <f>IFERROR(__xludf.DUMMYFUNCTION("GOOGLETRANSLATE(B2278, ""es"", ""en"")"),"Great zapatila Excellent.")</f>
        <v>Great zapatila Excellent.</v>
      </c>
    </row>
    <row r="2279">
      <c r="A2279" s="1">
        <v>5.0</v>
      </c>
      <c r="B2279" s="1" t="s">
        <v>2266</v>
      </c>
      <c r="C2279" t="str">
        <f>IFERROR(__xludf.DUMMYFUNCTION("GOOGLETRANSLATE(B2279, ""es"", ""en"")"),"Such buying good as advertised, very useful.")</f>
        <v>Such buying good as advertised, very useful.</v>
      </c>
    </row>
    <row r="2280">
      <c r="A2280" s="1">
        <v>5.0</v>
      </c>
      <c r="B2280" s="1" t="s">
        <v>2267</v>
      </c>
      <c r="C2280" t="str">
        <f>IFERROR(__xludf.DUMMYFUNCTION("GOOGLETRANSLATE(B2280, ""es"", ""en"")"),"Good product better, so small it is.")</f>
        <v>Good product better, so small it is.</v>
      </c>
    </row>
    <row r="2281">
      <c r="A2281" s="1">
        <v>5.0</v>
      </c>
      <c r="B2281" s="1" t="s">
        <v>2268</v>
      </c>
      <c r="C2281" t="str">
        <f>IFERROR(__xludf.DUMMYFUNCTION("GOOGLETRANSLATE(B2281, ""es"", ""en"")"),"Quality very good quality, I sent a box of very good strength and very well maintained. The belt looks good, strong and beautiful")</f>
        <v>Quality very good quality, I sent a box of very good strength and very well maintained. The belt looks good, strong and beautiful</v>
      </c>
    </row>
    <row r="2282">
      <c r="A2282" s="1">
        <v>5.0</v>
      </c>
      <c r="B2282" s="1" t="s">
        <v>2269</v>
      </c>
      <c r="C2282" t="str">
        <f>IFERROR(__xludf.DUMMYFUNCTION("GOOGLETRANSLATE(B2282, ""es"", ""en"")"),"The poor packaging bag meets expectations (good product) but bad packaging along with another item I purchased (hat) scrunched overmuch articles. Disappointed with the packaging. Well, it seems to have taken shape and is well placed. It's a relief. It is "&amp;"fair comment, after the initial shock. A greeting.")</f>
        <v>The poor packaging bag meets expectations (good product) but bad packaging along with another item I purchased (hat) scrunched overmuch articles. Disappointed with the packaging. Well, it seems to have taken shape and is well placed. It's a relief. It is fair comment, after the initial shock. A greeting.</v>
      </c>
    </row>
    <row r="2283">
      <c r="A2283" s="1">
        <v>5.0</v>
      </c>
      <c r="B2283" s="1" t="s">
        <v>2270</v>
      </c>
      <c r="C2283" t="str">
        <f>IFERROR(__xludf.DUMMYFUNCTION("GOOGLETRANSLATE(B2283, ""es"", ""en"")"),"Cool! And I have 3 and use it with different Teats for cereals, for regular milk, etc. Nipples come with Level 1 for newborns, at 3 months must be replaced. They are great!!! And no cramps!")</f>
        <v>Cool! And I have 3 and use it with different Teats for cereals, for regular milk, etc. Nipples come with Level 1 for newborns, at 3 months must be replaced. They are great!!! And no cramps!</v>
      </c>
    </row>
    <row r="2284">
      <c r="A2284" s="1">
        <v>5.0</v>
      </c>
      <c r="B2284" s="1" t="s">
        <v>2271</v>
      </c>
      <c r="C2284" t="str">
        <f>IFERROR(__xludf.DUMMYFUNCTION("GOOGLETRANSLATE(B2284, ""es"", ""en"")"),"Headphones comfortable and very good sound quality headphones for a very good quality overall. Although what most caught my attention is the sound, it is frankly very good no matter what style of music you're listening. I also liked how comfortable they a"&amp;"re and how they fit into the ear, it is quite easy to use for hours without feeling any discomfort.")</f>
        <v>Headphones comfortable and very good sound quality headphones for a very good quality overall. Although what most caught my attention is the sound, it is frankly very good no matter what style of music you're listening. I also liked how comfortable they are and how they fit into the ear, it is quite easy to use for hours without feeling any discomfort.</v>
      </c>
    </row>
    <row r="2285">
      <c r="A2285" s="1">
        <v>5.0</v>
      </c>
      <c r="B2285" s="1" t="s">
        <v>2272</v>
      </c>
      <c r="C2285" t="str">
        <f>IFERROR(__xludf.DUMMYFUNCTION("GOOGLETRANSLATE(B2285, ""es"", ""en"")"),"Bought beautiful earrings as a gift for my wife, she likes a lot. He says they are pretty and silver as you put another allergy Good material purchasing")</f>
        <v>Bought beautiful earrings as a gift for my wife, she likes a lot. He says they are pretty and silver as you put another allergy Good material purchasing</v>
      </c>
    </row>
    <row r="2286">
      <c r="A2286" s="1">
        <v>5.0</v>
      </c>
      <c r="B2286" s="1" t="s">
        <v>2273</v>
      </c>
      <c r="C2286" t="str">
        <f>IFERROR(__xludf.DUMMYFUNCTION("GOOGLETRANSLATE(B2286, ""es"", ""en"")"),"Very good buy again .. To even the dirt Yantas of the car ..")</f>
        <v>Very good buy again .. To even the dirt Yantas of the car ..</v>
      </c>
    </row>
    <row r="2287">
      <c r="A2287" s="1">
        <v>5.0</v>
      </c>
      <c r="B2287" s="1" t="s">
        <v>2274</v>
      </c>
      <c r="C2287" t="str">
        <f>IFERROR(__xludf.DUMMYFUNCTION("GOOGLETRANSLATE(B2287, ""es"", ""en"")"),"They fit and are easy to use. These headphones work great! They hold in my ears and kept even running. Cancel external noise and allow me to concentrate on the podcasts you like to listen to me. They are well designed and easy to use.")</f>
        <v>They fit and are easy to use. These headphones work great! They hold in my ears and kept even running. Cancel external noise and allow me to concentrate on the podcasts you like to listen to me. They are well designed and easy to use.</v>
      </c>
    </row>
    <row r="2288">
      <c r="A2288" s="1">
        <v>5.0</v>
      </c>
      <c r="B2288" s="1" t="s">
        <v>2275</v>
      </c>
      <c r="C2288" t="str">
        <f>IFERROR(__xludf.DUMMYFUNCTION("GOOGLETRANSLATE(B2288, ""es"", ""en"")"),"Comodas Perfectas")</f>
        <v>Comodas Perfectas</v>
      </c>
    </row>
    <row r="2289">
      <c r="A2289" s="1">
        <v>5.0</v>
      </c>
      <c r="B2289" s="1" t="s">
        <v>2276</v>
      </c>
      <c r="C2289" t="str">
        <f>IFERROR(__xludf.DUMMYFUNCTION("GOOGLETRANSLATE(B2289, ""es"", ""en"")"),"Great quality / price I clean absolutely everything from pieces of feed the cat, even sugar, lint, breadcrumbs ... It's spectacular what gets this brand. Not have navigation system but it works perfectly, you isolate it in a clean room and from beginning "&amp;"to end. And the whole house tmabien, but takes longer. Theirs is to leave full and large homes for top models, in terms of time. To clean my house 100m2 or so has led a full load tight. But it has been great. Perhaps other models optimize over time.")</f>
        <v>Great quality / price I clean absolutely everything from pieces of feed the cat, even sugar, lint, breadcrumbs ... It's spectacular what gets this brand. Not have navigation system but it works perfectly, you isolate it in a clean room and from beginning to end. And the whole house tmabien, but takes longer. Theirs is to leave full and large homes for top models, in terms of time. To clean my house 100m2 or so has led a full load tight. But it has been great. Perhaps other models optimize over time.</v>
      </c>
    </row>
    <row r="2290">
      <c r="A2290" s="1">
        <v>5.0</v>
      </c>
      <c r="B2290" s="1" t="s">
        <v>2277</v>
      </c>
      <c r="C2290" t="str">
        <f>IFERROR(__xludf.DUMMYFUNCTION("GOOGLETRANSLATE(B2290, ""es"", ""en"")"),"Product quality are a bit expensive but worth paying a little more. They are very comfortable, stylish and sturdy, it shows that are made with quality materials. Soft rubber sole (grasps but does not sound the tread) without visible stitching. The present"&amp;"ation also liked, come in a very elegant tailored box and includes a cloth bag to carry the shoes. Definitely a good buy.")</f>
        <v>Product quality are a bit expensive but worth paying a little more. They are very comfortable, stylish and sturdy, it shows that are made with quality materials. Soft rubber sole (grasps but does not sound the tread) without visible stitching. The presentation also liked, come in a very elegant tailored box and includes a cloth bag to carry the shoes. Definitely a good buy.</v>
      </c>
    </row>
    <row r="2291">
      <c r="A2291" s="1">
        <v>2.0</v>
      </c>
      <c r="B2291" s="1" t="s">
        <v>2278</v>
      </c>
      <c r="C2291" t="str">
        <f>IFERROR(__xludf.DUMMYFUNCTION("GOOGLETRANSLATE(B2291, ""es"", ""en"")"),"Pi. I've only been able to use 1 time, already I spoiled me closure. The truth is that it is a shame because it's nice, but I no longer worth anything, I will draw the balls if I have it for another bracelet in order disappointed")</f>
        <v>Pi. I've only been able to use 1 time, already I spoiled me closure. The truth is that it is a shame because it's nice, but I no longer worth anything, I will draw the balls if I have it for another bracelet in order disappointed</v>
      </c>
    </row>
    <row r="2292">
      <c r="A2292" s="1">
        <v>3.0</v>
      </c>
      <c r="B2292" s="1" t="s">
        <v>2279</v>
      </c>
      <c r="C2292" t="str">
        <f>IFERROR(__xludf.DUMMYFUNCTION("GOOGLETRANSLATE(B2292, ""es"", ""en"")"),"practice but possible short-lived memory Valuation is no mayo but the memory works well, but overheats connect both the mobile and PC. I had to return the first USB for this reason and the second that sent me the same thing happens. I have not returned al"&amp;"so this and ire watching, but I'm afraid that if this way continues to heat up memory deteriorates.")</f>
        <v>practice but possible short-lived memory Valuation is no mayo but the memory works well, but overheats connect both the mobile and PC. I had to return the first USB for this reason and the second that sent me the same thing happens. I have not returned also this and ire watching, but I'm afraid that if this way continues to heat up memory deteriorates.</v>
      </c>
    </row>
    <row r="2293">
      <c r="A2293" s="1">
        <v>3.0</v>
      </c>
      <c r="B2293" s="1" t="s">
        <v>2280</v>
      </c>
      <c r="C2293" t="str">
        <f>IFERROR(__xludf.DUMMYFUNCTION("GOOGLETRANSLATE(B2293, ""es"", ""en"")"),"Sole The only bad thing you see is the sole is super thin out seems to have a fatter sole but inside the soles so thin is uncomfortable to walk after a few hours with them pinned")</f>
        <v>Sole The only bad thing you see is the sole is super thin out seems to have a fatter sole but inside the soles so thin is uncomfortable to walk after a few hours with them pinned</v>
      </c>
    </row>
    <row r="2294">
      <c r="A2294" s="1">
        <v>1.0</v>
      </c>
      <c r="B2294" s="1" t="s">
        <v>2281</v>
      </c>
      <c r="C2294" t="str">
        <f>IFERROR(__xludf.DUMMYFUNCTION("GOOGLETRANSLATE(B2294, ""es"", ""en"")"),"Low quality This looks fine in pictures toaster as a ""retro"" style toaster but for the price it is very poor quality overall. The slider bar for making the color of toast at the bottom is thin plastic and will break over a short Surely time. The crumb t"&amp;"ray is so shallow it will need to be emptied every day will hold as few crumbs. That it is so lightweight When adding bread and pressing the slider down the toaster tips up. The outside walls of the toaster get very hot. The fancy timer dial on the front "&amp;"means nothing,, Although the needle Moves to show an approximate time to toast the item to your selected number on the slider. But if you rely on This burns the toast badly. The slots are narrow and barely take over 10-12mm thick bread. Overall, This toas"&amp;"ter is not better than a non-brand, or cheap supermarket toaster I Could have bought for around 20 €. I paid additional shipping too, for two day delivery and it arrived 8 days later than that !! All in all the worst buy I have ever made on Amazon. This t"&amp;"oaster looks good in pictures like a toaster-style ""retro"", but the price is of very poor quality in general. The slider to make the color of toast at the bottom is thin plastic and surely will break soon. Crumb tray is so shallow that must be emptied e"&amp;"very day, because it will contain few crumbs. It is so light that add to the pan and press the slider, the toaster is tilted up. The outer walls of the toaster is very hot. The elegant dial timer on the front does not mean anything, even if the needle mov"&amp;"es to display an approximate time to deliver the item to the number selected in the slider. But if you trust this toast burns much. The slots are narrow and have little bread more than 10-12 mm thick. Overall, this toaster is no better than a toaster or c"&amp;"heap supermarket brand that could be bought for around 20 €. I also paid an additional shipping, delivery for two days and arrived 8 days later! Overall, the worst purchase I have made on Amazon.")</f>
        <v>Low quality This looks fine in pictures toaster as a "retro" style toaster but for the price it is very poor quality overall. The slider bar for making the color of toast at the bottom is thin plastic and will break over a short Surely time. The crumb tray is so shallow it will need to be emptied every day will hold as few crumbs. That it is so lightweight When adding bread and pressing the slider down the toaster tips up. The outside walls of the toaster get very hot. The fancy timer dial on the front means nothing,, Although the needle Moves to show an approximate time to toast the item to your selected number on the slider. But if you rely on This burns the toast badly. The slots are narrow and barely take over 10-12mm thick bread. Overall, This toaster is not better than a non-brand, or cheap supermarket toaster I Could have bought for around 20 €. I paid additional shipping too, for two day delivery and it arrived 8 days later than that !! All in all the worst buy I have ever made on Amazon. This toaster looks good in pictures like a toaster-style "retro", but the price is of very poor quality in general. The slider to make the color of toast at the bottom is thin plastic and surely will break soon. Crumb tray is so shallow that must be emptied every day, because it will contain few crumbs. It is so light that add to the pan and press the slider, the toaster is tilted up. The outer walls of the toaster is very hot. The elegant dial timer on the front does not mean anything, even if the needle moves to display an approximate time to deliver the item to the number selected in the slider. But if you trust this toast burns much. The slots are narrow and have little bread more than 10-12 mm thick. Overall, this toaster is no better than a toaster or cheap supermarket brand that could be bought for around 20 €. I also paid an additional shipping, delivery for two days and arrived 8 days later! Overall, the worst purchase I have made on Amazon.</v>
      </c>
    </row>
    <row r="2295">
      <c r="A2295" s="1">
        <v>1.0</v>
      </c>
      <c r="B2295" s="1" t="s">
        <v>2282</v>
      </c>
      <c r="C2295" t="str">
        <f>IFERROR(__xludf.DUMMYFUNCTION("GOOGLETRANSLATE(B2295, ""es"", ""en"")"),"In one month he stopped hearing 1 handset In just one month, stopped the handset heard right. The originals that came to me with the phone lasted me two years ....")</f>
        <v>In one month he stopped hearing 1 handset In just one month, stopped the handset heard right. The originals that came to me with the phone lasted me two years ....</v>
      </c>
    </row>
    <row r="2296">
      <c r="A2296" s="1">
        <v>4.0</v>
      </c>
      <c r="B2296" s="1" t="s">
        <v>2283</v>
      </c>
      <c r="C2296" t="str">
        <f>IFERROR(__xludf.DUMMYFUNCTION("GOOGLETRANSLATE(B2296, ""es"", ""en"")"),"Good quality and excellent service quality and excellent service, is a little longer than I expected, but nothing that a good sastra no solutions.")</f>
        <v>Good quality and excellent service quality and excellent service, is a little longer than I expected, but nothing that a good sastra no solutions.</v>
      </c>
    </row>
    <row r="2297">
      <c r="A2297" s="1">
        <v>4.0</v>
      </c>
      <c r="B2297" s="1" t="s">
        <v>2284</v>
      </c>
      <c r="C2297" t="str">
        <f>IFERROR(__xludf.DUMMYFUNCTION("GOOGLETRANSLATE(B2297, ""es"", ""en"")"),"Well I bought it for my girlfriend and likes")</f>
        <v>Well I bought it for my girlfriend and likes</v>
      </c>
    </row>
    <row r="2298">
      <c r="A2298" s="1">
        <v>4.0</v>
      </c>
      <c r="B2298" s="1" t="s">
        <v>2285</v>
      </c>
      <c r="C2298" t="str">
        <f>IFERROR(__xludf.DUMMYFUNCTION("GOOGLETRANSLATE(B2298, ""es"", ""en"")"),"Sony MDR-ZX110 headphones closed a gift targets for breaking a nephew, Authentic Sony knockdown price, decent sound.")</f>
        <v>Sony MDR-ZX110 headphones closed a gift targets for breaking a nephew, Authentic Sony knockdown price, decent sound.</v>
      </c>
    </row>
    <row r="2299">
      <c r="A2299" s="1">
        <v>4.0</v>
      </c>
      <c r="B2299" s="1" t="s">
        <v>2286</v>
      </c>
      <c r="C2299" t="str">
        <f>IFERROR(__xludf.DUMMYFUNCTION("GOOGLETRANSLATE(B2299, ""es"", ""en"")"),"Very good feeling like I expected for the price sweatshirt thin and poor, but very good quality")</f>
        <v>Very good feeling like I expected for the price sweatshirt thin and poor, but very good quality</v>
      </c>
    </row>
    <row r="2300">
      <c r="A2300" s="1">
        <v>4.0</v>
      </c>
      <c r="B2300" s="1" t="s">
        <v>2287</v>
      </c>
      <c r="C2300" t="str">
        <f>IFERROR(__xludf.DUMMYFUNCTION("GOOGLETRANSLATE(B2300, ""es"", ""en"")"),"Very good is very strong and comes with threaded adapters that are useful, good service but I miss having a carry bag for storage")</f>
        <v>Very good is very strong and comes with threaded adapters that are useful, good service but I miss having a carry bag for storage</v>
      </c>
    </row>
    <row r="2301">
      <c r="A2301" s="1">
        <v>5.0</v>
      </c>
      <c r="B2301" s="1" t="s">
        <v>2288</v>
      </c>
      <c r="C2301" t="str">
        <f>IFERROR(__xludf.DUMMYFUNCTION("GOOGLETRANSLATE(B2301, ""es"", ""en"")"),"Very good product fast. Fast operation and also is glass.")</f>
        <v>Very good product fast. Fast operation and also is glass.</v>
      </c>
    </row>
    <row r="2302">
      <c r="A2302" s="1">
        <v>5.0</v>
      </c>
      <c r="B2302" s="1" t="s">
        <v>2289</v>
      </c>
      <c r="C2302" t="str">
        <f>IFERROR(__xludf.DUMMYFUNCTION("GOOGLETRANSLATE(B2302, ""es"", ""en"")"),"Gift and success was a gift to the couple and success are tiny but elegant as they hide well. She was delighted")</f>
        <v>Gift and success was a gift to the couple and success are tiny but elegant as they hide well. She was delighted</v>
      </c>
    </row>
    <row r="2303">
      <c r="A2303" s="1">
        <v>5.0</v>
      </c>
      <c r="B2303" s="1" t="s">
        <v>2290</v>
      </c>
      <c r="C2303" t="str">
        <f>IFERROR(__xludf.DUMMYFUNCTION("GOOGLETRANSLATE(B2303, ""es"", ""en"")"),"All perfect Very happy with this wonderful pendant, a perfect gift and 10 detail the note and bag on shipping")</f>
        <v>All perfect Very happy with this wonderful pendant, a perfect gift and 10 detail the note and bag on shipping</v>
      </c>
    </row>
    <row r="2304">
      <c r="A2304" s="1">
        <v>5.0</v>
      </c>
      <c r="B2304" s="1" t="s">
        <v>2291</v>
      </c>
      <c r="C2304" t="str">
        <f>IFERROR(__xludf.DUMMYFUNCTION("GOOGLETRANSLATE(B2304, ""es"", ""en"")"),"It has many compartments and enough capacity I liked the material very nice touch.")</f>
        <v>It has many compartments and enough capacity I liked the material very nice touch.</v>
      </c>
    </row>
    <row r="2305">
      <c r="A2305" s="1">
        <v>5.0</v>
      </c>
      <c r="B2305" s="1" t="s">
        <v>2292</v>
      </c>
      <c r="C2305" t="str">
        <f>IFERROR(__xludf.DUMMYFUNCTION("GOOGLETRANSLATE(B2305, ""es"", ""en"")"),"Very highly recommended. A perfect knife. I loved her for walking tours and Acerte, is perfect. Size and blade edge. Definitely I recommend it.")</f>
        <v>Very highly recommended. A perfect knife. I loved her for walking tours and Acerte, is perfect. Size and blade edge. Definitely I recommend it.</v>
      </c>
    </row>
    <row r="2306">
      <c r="A2306" s="1">
        <v>5.0</v>
      </c>
      <c r="B2306" s="1" t="s">
        <v>2293</v>
      </c>
      <c r="C2306" t="str">
        <f>IFERROR(__xludf.DUMMYFUNCTION("GOOGLETRANSLATE(B2306, ""es"", ""en"")"),"One of the best options are really hear very well, at this price it is a bargain!")</f>
        <v>One of the best options are really hear very well, at this price it is a bargain!</v>
      </c>
    </row>
    <row r="2307">
      <c r="A2307" s="1">
        <v>5.0</v>
      </c>
      <c r="B2307" s="1" t="s">
        <v>2294</v>
      </c>
      <c r="C2307" t="str">
        <f>IFERROR(__xludf.DUMMYFUNCTION("GOOGLETRANSLATE(B2307, ""es"", ""en"")"),"Good quality and nice quality")</f>
        <v>Good quality and nice quality</v>
      </c>
    </row>
    <row r="2308">
      <c r="A2308" s="1">
        <v>5.0</v>
      </c>
      <c r="B2308" s="1" t="s">
        <v>2295</v>
      </c>
      <c r="C2308" t="str">
        <f>IFERROR(__xludf.DUMMYFUNCTION("GOOGLETRANSLATE(B2308, ""es"", ""en"")"),"The great use in construction and for now endures scratches thoroughly recommend it.")</f>
        <v>The great use in construction and for now endures scratches thoroughly recommend it.</v>
      </c>
    </row>
    <row r="2309">
      <c r="A2309" s="1">
        <v>5.0</v>
      </c>
      <c r="B2309" s="1" t="s">
        <v>2296</v>
      </c>
      <c r="C2309" t="str">
        <f>IFERROR(__xludf.DUMMYFUNCTION("GOOGLETRANSLATE(B2309, ""es"", ""en"")"),"Quality high quality")</f>
        <v>Quality high quality</v>
      </c>
    </row>
    <row r="2310">
      <c r="A2310" s="1">
        <v>5.0</v>
      </c>
      <c r="B2310" s="1" t="s">
        <v>2297</v>
      </c>
      <c r="C2310" t="str">
        <f>IFERROR(__xludf.DUMMYFUNCTION("GOOGLETRANSLATE(B2310, ""es"", ""en"")"),"received today 20 March 2019 everything right according to the statement")</f>
        <v>received today 20 March 2019 everything right according to the statement</v>
      </c>
    </row>
    <row r="2311">
      <c r="A2311" s="1">
        <v>5.0</v>
      </c>
      <c r="B2311" s="1" t="s">
        <v>2298</v>
      </c>
      <c r="C2311" t="str">
        <f>IFERROR(__xludf.DUMMYFUNCTION("GOOGLETRANSLATE(B2311, ""es"", ""en"")"),"The great truth before we had q q have bought, totally recommended wonderful. A spectacular volume easy to carry. We use it in a classroom")</f>
        <v>The great truth before we had q q have bought, totally recommended wonderful. A spectacular volume easy to carry. We use it in a classroom</v>
      </c>
    </row>
    <row r="2312">
      <c r="A2312" s="1">
        <v>5.0</v>
      </c>
      <c r="B2312" s="1" t="s">
        <v>2299</v>
      </c>
      <c r="C2312" t="str">
        <f>IFERROR(__xludf.DUMMYFUNCTION("GOOGLETRANSLATE(B2312, ""es"", ""en"")"),"Excellent so good. right and screw system to place it fits perfectly with the blue snowball size. Highly recommended")</f>
        <v>Excellent so good. right and screw system to place it fits perfectly with the blue snowball size. Highly recommended</v>
      </c>
    </row>
    <row r="2313">
      <c r="A2313" s="1">
        <v>5.0</v>
      </c>
      <c r="B2313" s="1" t="s">
        <v>2300</v>
      </c>
      <c r="C2313" t="str">
        <f>IFERROR(__xludf.DUMMYFUNCTION("GOOGLETRANSLATE(B2313, ""es"", ""en"")"),"Very good replica at an incredible price. Perfect! Very nice and detailed, it is the third bought all gift, loved both my nieces and my friend Harry Potter fan.")</f>
        <v>Very good replica at an incredible price. Perfect! Very nice and detailed, it is the third bought all gift, loved both my nieces and my friend Harry Potter fan.</v>
      </c>
    </row>
    <row r="2314">
      <c r="A2314" s="1">
        <v>5.0</v>
      </c>
      <c r="B2314" s="1" t="s">
        <v>2301</v>
      </c>
      <c r="C2314" t="str">
        <f>IFERROR(__xludf.DUMMYFUNCTION("GOOGLETRANSLATE(B2314, ""es"", ""en"")"),"Brilliant sneakers are a very cool and calentitas slippers. There are very good. Must be warned that have very thin soles and is like walking barefoot. So if you do not like the feeling of going barefoot look for another model.")</f>
        <v>Brilliant sneakers are a very cool and calentitas slippers. There are very good. Must be warned that have very thin soles and is like walking barefoot. So if you do not like the feeling of going barefoot look for another model.</v>
      </c>
    </row>
    <row r="2315">
      <c r="A2315" s="1">
        <v>5.0</v>
      </c>
      <c r="B2315" s="1" t="s">
        <v>2302</v>
      </c>
      <c r="C2315" t="str">
        <f>IFERROR(__xludf.DUMMYFUNCTION("GOOGLETRANSLATE(B2315, ""es"", ""en"")"),"Is the watch I had when I was young. And still as reliable and beautiful. It is a classic. I had it at 18 and I love to have it back now, I do not see as well as before and I also weighs nothing on the wrist. I searched in the web and offered at a signifi"&amp;"cantly higher price.")</f>
        <v>Is the watch I had when I was young. And still as reliable and beautiful. It is a classic. I had it at 18 and I love to have it back now, I do not see as well as before and I also weighs nothing on the wrist. I searched in the web and offered at a significantly higher price.</v>
      </c>
    </row>
    <row r="2316">
      <c r="A2316" s="1">
        <v>5.0</v>
      </c>
      <c r="B2316" s="1" t="s">
        <v>2303</v>
      </c>
      <c r="C2316" t="str">
        <f>IFERROR(__xludf.DUMMYFUNCTION("GOOGLETRANSLATE(B2316, ""es"", ""en"")"),"Excellent product &lt;div id = ""video-block-R1NQY6GIQNG9A5"" class = ""a-section a-spacing-small a-spacing-top mini video-block""&gt; &lt;/ div&gt; &lt;input type = ""hidden"" name = "" ""value ="" https://images-eu.ssl-images-amazon.com/images/I/91U0NIVnjBS.mp4 ""clas"&amp;"s ="" video-url ""&gt; &lt;input type ="" hidden ""name ="" ""value ="" https://images-eu.ssl-images-amazon.com/images/I/71An65c45yS.png ""class ="" video-slate-img-url ""&gt; &amp; nbsp; I bought it because I wanted to heat water very quickly, and no doubt it does th"&amp;"e job, it takes only 10 seconds to boil.")</f>
        <v>Excellent product &lt;div id = "video-block-R1NQY6GIQNG9A5" class = "a-section a-spacing-small a-spacing-top mini video-block"&gt; &lt;/ div&gt; &lt;input type = "hidden" name = " "value =" https://images-eu.ssl-images-amazon.com/images/I/91U0NIVnjBS.mp4 "class =" video-url "&gt; &lt;input type =" hidden "name =" "value =" https://images-eu.ssl-images-amazon.com/images/I/71An65c45yS.png "class =" video-slate-img-url "&gt; &amp; nbsp; I bought it because I wanted to heat water very quickly, and no doubt it does the job, it takes only 10 seconds to boil.</v>
      </c>
    </row>
    <row r="2317">
      <c r="A2317" s="1">
        <v>5.0</v>
      </c>
      <c r="B2317" s="1" t="s">
        <v>2304</v>
      </c>
      <c r="C2317" t="str">
        <f>IFERROR(__xludf.DUMMYFUNCTION("GOOGLETRANSLATE(B2317, ""es"", ""en"")"),"Good buy crocs Cool completely original and perfect size, I buy them to try and can not be happier, I'm sure I will buy more.")</f>
        <v>Good buy crocs Cool completely original and perfect size, I buy them to try and can not be happier, I'm sure I will buy more.</v>
      </c>
    </row>
    <row r="2318">
      <c r="A2318" s="1">
        <v>5.0</v>
      </c>
      <c r="B2318" s="1" t="s">
        <v>2305</v>
      </c>
      <c r="C2318" t="str">
        <f>IFERROR(__xludf.DUMMYFUNCTION("GOOGLETRANSLATE(B2318, ""es"", ""en"")"),"Spa feeling I love the feeling it conveys, it's like being in a spa. Just makes noise, it is very quiet, you can be adjusted both light level steam. Also has a programmer to turn off at certain times. Smells wonderful throughout the room and the type of o"&amp;"il to put brings feeling of relaxation, sleep, energy, etc.")</f>
        <v>Spa feeling I love the feeling it conveys, it's like being in a spa. Just makes noise, it is very quiet, you can be adjusted both light level steam. Also has a programmer to turn off at certain times. Smells wonderful throughout the room and the type of oil to put brings feeling of relaxation, sleep, energy, etc.</v>
      </c>
    </row>
    <row r="2319">
      <c r="A2319" s="1">
        <v>5.0</v>
      </c>
      <c r="B2319" s="1" t="s">
        <v>2306</v>
      </c>
      <c r="C2319" t="str">
        <f>IFERROR(__xludf.DUMMYFUNCTION("GOOGLETRANSLATE(B2319, ""es"", ""en"")"),"Resistant material such that as shown in the photo, I thought it was in bag when you actually plan is a portfolio of Lona, excellent quality. Definitely recommend it")</f>
        <v>Resistant material such that as shown in the photo, I thought it was in bag when you actually plan is a portfolio of Lona, excellent quality. Definitely recommend it</v>
      </c>
    </row>
    <row r="2320">
      <c r="A2320" s="1">
        <v>2.0</v>
      </c>
      <c r="B2320" s="1" t="s">
        <v>2307</v>
      </c>
      <c r="C2320" t="str">
        <f>IFERROR(__xludf.DUMMYFUNCTION("GOOGLETRANSLATE(B2320, ""es"", ""en"")"),"slopes are too small, almost invisible. They are neither a quarter of the outstanding photo. They are super small")</f>
        <v>slopes are too small, almost invisible. They are neither a quarter of the outstanding photo. They are super small</v>
      </c>
    </row>
    <row r="2321">
      <c r="A2321" s="1">
        <v>3.0</v>
      </c>
      <c r="B2321" s="1" t="s">
        <v>2308</v>
      </c>
      <c r="C2321" t="str">
        <f>IFERROR(__xludf.DUMMYFUNCTION("GOOGLETRANSLATE(B2321, ""es"", ""en"")"),"Very good but small pack comes with tetina When my son was born regalaton a pack with bottles of this brand. At the beginning I did not convince much but the end are those who have gone better, have interspersed breast and bottle and the baby has taken we"&amp;"ll without rejecting the chest. Eye EasyVent have to put the valve up. I bought this pack for a second residence. I do not put more stars that force you to buy Bibes with nipple 1 cuandomi son and needs of 2-3, they should have paks with large nipples.")</f>
        <v>Very good but small pack comes with tetina When my son was born regalaton a pack with bottles of this brand. At the beginning I did not convince much but the end are those who have gone better, have interspersed breast and bottle and the baby has taken well without rejecting the chest. Eye EasyVent have to put the valve up. I bought this pack for a second residence. I do not put more stars that force you to buy Bibes with nipple 1 cuandomi son and needs of 2-3, they should have paks with large nipples.</v>
      </c>
    </row>
    <row r="2322">
      <c r="A2322" s="1">
        <v>1.0</v>
      </c>
      <c r="B2322" s="1" t="s">
        <v>2309</v>
      </c>
      <c r="C2322" t="str">
        <f>IFERROR(__xludf.DUMMYFUNCTION("GOOGLETRANSLATE(B2322, ""es"", ""en"")"),"Ok Refunded")</f>
        <v>Ok Refunded</v>
      </c>
    </row>
    <row r="2323">
      <c r="A2323" s="1">
        <v>1.0</v>
      </c>
      <c r="B2323" s="1" t="s">
        <v>2310</v>
      </c>
      <c r="C2323" t="str">
        <f>IFERROR(__xludf.DUMMYFUNCTION("GOOGLETRANSLATE(B2323, ""es"", ""en"")"),"So bad I had to play a bad boot, because he made me a hole in the sole of one boot to the short time of use.")</f>
        <v>So bad I had to play a bad boot, because he made me a hole in the sole of one boot to the short time of use.</v>
      </c>
    </row>
    <row r="2324">
      <c r="A2324" s="1">
        <v>1.0</v>
      </c>
      <c r="B2324" s="1" t="s">
        <v>2311</v>
      </c>
      <c r="C2324" t="str">
        <f>IFERROR(__xludf.DUMMYFUNCTION("GOOGLETRANSLATE(B2324, ""es"", ""en"")"),"I do not know what they mean by 3 meters from a not flexible, poor meter, semi-rigid. and danger of inadvertently take you behind the amplifier. very bad buy")</f>
        <v>I do not know what they mean by 3 meters from a not flexible, poor meter, semi-rigid. and danger of inadvertently take you behind the amplifier. very bad buy</v>
      </c>
    </row>
    <row r="2325">
      <c r="A2325" s="1">
        <v>4.0</v>
      </c>
      <c r="B2325" s="1" t="s">
        <v>2312</v>
      </c>
      <c r="C2325" t="str">
        <f>IFERROR(__xludf.DUMMYFUNCTION("GOOGLETRANSLATE(B2325, ""es"", ""en"")"),"Simple enough but I said, they are simple, basic, but more is needed. Music, radio, ..., and answer calls if quierre ...")</f>
        <v>Simple enough but I said, they are simple, basic, but more is needed. Music, radio, ..., and answer calls if quierre ...</v>
      </c>
    </row>
    <row r="2326">
      <c r="A2326" s="1">
        <v>4.0</v>
      </c>
      <c r="B2326" s="1" t="s">
        <v>2313</v>
      </c>
      <c r="C2326" t="str">
        <f>IFERROR(__xludf.DUMMYFUNCTION("GOOGLETRANSLATE(B2326, ""es"", ""en"")"),"Practical and simple. For the price that has little else may be required. It includes a license of Ableton Live Lite, which allows up to 8 tracks and comes with enough content libraries, about 600 MB. In a MacBook Pro and Logic Pro X Yosemite it is connec"&amp;"t and operate, without further complications. The feel of the keys may seem somewhat flimsy, but in my opinion, over-compensates with the use you will give. Slightly smaller keys. It includes volume control MIDI channel. It has a size enough content, allo"&amp;"wing him into any carrying bag and weighs little. In summary, I would recommend purchasing for basic and beginner use.")</f>
        <v>Practical and simple. For the price that has little else may be required. It includes a license of Ableton Live Lite, which allows up to 8 tracks and comes with enough content libraries, about 600 MB. In a MacBook Pro and Logic Pro X Yosemite it is connect and operate, without further complications. The feel of the keys may seem somewhat flimsy, but in my opinion, over-compensates with the use you will give. Slightly smaller keys. It includes volume control MIDI channel. It has a size enough content, allowing him into any carrying bag and weighs little. In summary, I would recommend purchasing for basic and beginner use.</v>
      </c>
    </row>
    <row r="2327">
      <c r="A2327" s="1">
        <v>4.0</v>
      </c>
      <c r="B2327" s="1" t="s">
        <v>2314</v>
      </c>
      <c r="C2327" t="str">
        <f>IFERROR(__xludf.DUMMYFUNCTION("GOOGLETRANSLATE(B2327, ""es"", ""en"")"),"Well, although the knob could be more robust I liked and makes its function")</f>
        <v>Well, although the knob could be more robust I liked and makes its function</v>
      </c>
    </row>
    <row r="2328">
      <c r="A2328" s="1">
        <v>4.0</v>
      </c>
      <c r="B2328" s="1" t="s">
        <v>2315</v>
      </c>
      <c r="C2328" t="str">
        <f>IFERROR(__xludf.DUMMYFUNCTION("GOOGLETRANSLATE(B2328, ""es"", ""en"")"),"Size 40.5, I think it's for runners with more size and weighing 80 kilos or more running shoes Model Color Black Black Spark 003 Lemon brand ASICS Gel Nimbus 21 in size 40.5 shoe weight 284 grams Left. Weight 287 grams right shoe. Height (approx) of the h"&amp;"eel about 11 cm. Measure taken personally template is 26.5 cm (maximum). _Conclusiones: I have a younger 80 Kilos weight and size I acquired a 40.5. A the same as comments from some buyers, the shoes do not ""lay"" correctly on a flat surface, the two had"&amp;" a ""liguero rolling"" this was not overdone and once used for several days did not notice discomfort tread this reason. What I noticed is that I find somewhat hard on asphalt or surfaces areas / hard ground, damping did not notice as other shoes (I will "&amp;"not do publi other brands). I consider the Nimbus 21 are a good zapas, but are more oriented runners with a higher weight to 80 kilos (preferably more) and a size 40.5 also higher than that is the I use. _Conclusión Final: Anyway, I have a taste ""bitters"&amp;"weet"" because I expected more from them, I think a little foot like mine combined with the ""little"" weight makes them not so good ""muffling"" than others. Saludos By Flype")</f>
        <v>Size 40.5, I think it's for runners with more size and weighing 80 kilos or more running shoes Model Color Black Black Spark 003 Lemon brand ASICS Gel Nimbus 21 in size 40.5 shoe weight 284 grams Left. Weight 287 grams right shoe. Height (approx) of the heel about 11 cm. Measure taken personally template is 26.5 cm (maximum). _Conclusiones: I have a younger 80 Kilos weight and size I acquired a 40.5. A the same as comments from some buyers, the shoes do not "lay" correctly on a flat surface, the two had a "liguero rolling" this was not overdone and once used for several days did not notice discomfort tread this reason. What I noticed is that I find somewhat hard on asphalt or surfaces areas / hard ground, damping did not notice as other shoes (I will not do publi other brands). I consider the Nimbus 21 are a good zapas, but are more oriented runners with a higher weight to 80 kilos (preferably more) and a size 40.5 also higher than that is the I use. _Conclusión Final: Anyway, I have a taste "bittersweet" because I expected more from them, I think a little foot like mine combined with the "little" weight makes them not so good "muffling" than others. Saludos By Flype</v>
      </c>
    </row>
    <row r="2329">
      <c r="A2329" s="1">
        <v>4.0</v>
      </c>
      <c r="B2329" s="1" t="s">
        <v>2316</v>
      </c>
      <c r="C2329" t="str">
        <f>IFERROR(__xludf.DUMMYFUNCTION("GOOGLETRANSLATE(B2329, ""es"", ""en"")"),"The fourth time I bought them. PERFECT TO DELIVER photoshoots. This was the fourth time I have purchased these pen drives to deliver my photographic work. In just a couple of times I had to format them to make them work better. They may be somewhat slow t"&amp;"o burning them, but they work perfectly, along with the beautiful design they have.")</f>
        <v>The fourth time I bought them. PERFECT TO DELIVER photoshoots. This was the fourth time I have purchased these pen drives to deliver my photographic work. In just a couple of times I had to format them to make them work better. They may be somewhat slow to burning them, but they work perfectly, along with the beautiful design they have.</v>
      </c>
    </row>
    <row r="2330">
      <c r="A2330" s="1">
        <v>5.0</v>
      </c>
      <c r="B2330" s="1" t="s">
        <v>2317</v>
      </c>
      <c r="C2330" t="str">
        <f>IFERROR(__xludf.DUMMYFUNCTION("GOOGLETRANSLATE(B2330, ""es"", ""en"")"),"I have great bus 2 hours every day at work and I found it perfect for shove series and see a couple of chapters on the route, they are transferred very quickly the files being 3.0 recomndable")</f>
        <v>I have great bus 2 hours every day at work and I found it perfect for shove series and see a couple of chapters on the route, they are transferred very quickly the files being 3.0 recomndable</v>
      </c>
    </row>
    <row r="2331">
      <c r="A2331" s="1">
        <v>5.0</v>
      </c>
      <c r="B2331" s="1" t="s">
        <v>2318</v>
      </c>
      <c r="C2331" t="str">
        <f>IFERROR(__xludf.DUMMYFUNCTION("GOOGLETRANSLATE(B2331, ""es"", ""en"")"),"Quality / Sizing perfect fabric is of good quality, cutting-shirt is regular so it does not fit. Ideal if you do not like tight clothing. For a 173cm tall and weighing 77kg purchase of the M and me is perfect.")</f>
        <v>Quality / Sizing perfect fabric is of good quality, cutting-shirt is regular so it does not fit. Ideal if you do not like tight clothing. For a 173cm tall and weighing 77kg purchase of the M and me is perfect.</v>
      </c>
    </row>
    <row r="2332">
      <c r="A2332" s="1">
        <v>5.0</v>
      </c>
      <c r="B2332" s="1" t="s">
        <v>2319</v>
      </c>
      <c r="C2332" t="str">
        <f>IFERROR(__xludf.DUMMYFUNCTION("GOOGLETRANSLATE(B2332, ""es"", ""en"")"),"Collect chest well I liked A lot are very satisfied and very subject to the same time comfy because I already bought many who did not like me much.")</f>
        <v>Collect chest well I liked A lot are very satisfied and very subject to the same time comfy because I already bought many who did not like me much.</v>
      </c>
    </row>
    <row r="2333">
      <c r="A2333" s="1">
        <v>5.0</v>
      </c>
      <c r="B2333" s="1" t="s">
        <v>2320</v>
      </c>
      <c r="C2333" t="str">
        <f>IFERROR(__xludf.DUMMYFUNCTION("GOOGLETRANSLATE(B2333, ""es"", ""en"")"),"Great shoe great shoe for all terrain SUV minimalist runners. The sole perfectly absorbs stones or roots. It is perfect for tracks and asphalt. In the technical area I have not tried. They eye height, are half or one number larger than usual Merrell.")</f>
        <v>Great shoe great shoe for all terrain SUV minimalist runners. The sole perfectly absorbs stones or roots. It is perfect for tracks and asphalt. In the technical area I have not tried. They eye height, are half or one number larger than usual Merrell.</v>
      </c>
    </row>
    <row r="2334">
      <c r="A2334" s="1">
        <v>5.0</v>
      </c>
      <c r="B2334" s="1" t="s">
        <v>2321</v>
      </c>
      <c r="C2334" t="str">
        <f>IFERROR(__xludf.DUMMYFUNCTION("GOOGLETRANSLATE(B2334, ""es"", ""en"")"),"Such speed and quality as requested, well")</f>
        <v>Such speed and quality as requested, well</v>
      </c>
    </row>
    <row r="2335">
      <c r="A2335" s="1">
        <v>5.0</v>
      </c>
      <c r="B2335" s="1" t="s">
        <v>2322</v>
      </c>
      <c r="C2335" t="str">
        <f>IFERROR(__xludf.DUMMYFUNCTION("GOOGLETRANSLATE(B2335, ""es"", ""en"")"),"Well I liked. Use for all, walking, running, training. Very comfortable")</f>
        <v>Well I liked. Use for all, walking, running, training. Very comfortable</v>
      </c>
    </row>
    <row r="2336">
      <c r="A2336" s="1">
        <v>5.0</v>
      </c>
      <c r="B2336" s="1" t="s">
        <v>2323</v>
      </c>
      <c r="C2336" t="str">
        <f>IFERROR(__xludf.DUMMYFUNCTION("GOOGLETRANSLATE(B2336, ""es"", ""en"")"),"Great buy Great buy")</f>
        <v>Great buy Great buy</v>
      </c>
    </row>
    <row r="2337">
      <c r="A2337" s="1">
        <v>5.0</v>
      </c>
      <c r="B2337" s="1" t="s">
        <v>2324</v>
      </c>
      <c r="C2337" t="str">
        <f>IFERROR(__xludf.DUMMYFUNCTION("GOOGLETRANSLATE(B2337, ""es"", ""en"")"),"Really recommended meet expectations. Very good sound and quality of the material as well.")</f>
        <v>Really recommended meet expectations. Very good sound and quality of the material as well.</v>
      </c>
    </row>
    <row r="2338">
      <c r="A2338" s="1">
        <v>5.0</v>
      </c>
      <c r="B2338" s="1" t="s">
        <v>2325</v>
      </c>
      <c r="C2338" t="str">
        <f>IFERROR(__xludf.DUMMYFUNCTION("GOOGLETRANSLATE(B2338, ""es"", ""en"")"),"Very nice, average size, good material remain very cool")</f>
        <v>Very nice, average size, good material remain very cool</v>
      </c>
    </row>
    <row r="2339">
      <c r="A2339" s="1">
        <v>5.0</v>
      </c>
      <c r="B2339" s="1" t="s">
        <v>2326</v>
      </c>
      <c r="C2339" t="str">
        <f>IFERROR(__xludf.DUMMYFUNCTION("GOOGLETRANSLATE(B2339, ""es"", ""en"")"),"Excellent My husband loved it, nice watch, thanks")</f>
        <v>Excellent My husband loved it, nice watch, thanks</v>
      </c>
    </row>
    <row r="2340">
      <c r="A2340" s="1">
        <v>5.0</v>
      </c>
      <c r="B2340" s="1" t="s">
        <v>2327</v>
      </c>
      <c r="C2340" t="str">
        <f>IFERROR(__xludf.DUMMYFUNCTION("GOOGLETRANSLATE(B2340, ""es"", ""en"")"),"Well ok Everything OK q cheaper in Carrefour or day")</f>
        <v>Well ok Everything OK q cheaper in Carrefour or day</v>
      </c>
    </row>
    <row r="2341">
      <c r="A2341" s="1">
        <v>5.0</v>
      </c>
      <c r="B2341" s="1" t="s">
        <v>2328</v>
      </c>
      <c r="C2341" t="str">
        <f>IFERROR(__xludf.DUMMYFUNCTION("GOOGLETRANSLATE(B2341, ""es"", ""en"")"),"Sunday Good buy, Verbatim is a brand known and very good, good memory capacity, one hundred percent satisfied, thank you, I advise you to buy it")</f>
        <v>Sunday Good buy, Verbatim is a brand known and very good, good memory capacity, one hundred percent satisfied, thank you, I advise you to buy it</v>
      </c>
    </row>
    <row r="2342">
      <c r="A2342" s="1">
        <v>5.0</v>
      </c>
      <c r="B2342" s="1" t="s">
        <v>2329</v>
      </c>
      <c r="C2342" t="str">
        <f>IFERROR(__xludf.DUMMYFUNCTION("GOOGLETRANSLATE(B2342, ""es"", ""en"")"),"Turbans for every day pretty colors, nice material, do not slip out of your hair. Moment very well all")</f>
        <v>Turbans for every day pretty colors, nice material, do not slip out of your hair. Moment very well all</v>
      </c>
    </row>
    <row r="2343">
      <c r="A2343" s="1">
        <v>5.0</v>
      </c>
      <c r="B2343" s="1" t="s">
        <v>2330</v>
      </c>
      <c r="C2343" t="str">
        <f>IFERROR(__xludf.DUMMYFUNCTION("GOOGLETRANSLATE(B2343, ""es"", ""en"")"),"Product already known and no surprise modeerniza. Was acquired because over the years the previous needed relief in the beater and foot ... and practically is almost as expensive as the complete replacement apparatus adding pureed foot.")</f>
        <v>Product already known and no surprise modeerniza. Was acquired because over the years the previous needed relief in the beater and foot ... and practically is almost as expensive as the complete replacement apparatus adding pureed foot.</v>
      </c>
    </row>
    <row r="2344">
      <c r="A2344" s="1">
        <v>5.0</v>
      </c>
      <c r="B2344" s="1" t="s">
        <v>2331</v>
      </c>
      <c r="C2344" t="str">
        <f>IFERROR(__xludf.DUMMYFUNCTION("GOOGLETRANSLATE(B2344, ""es"", ""en"")"),"Quality and shipping 5 stars Fabulous !! Fast shipping. Great quality of materials. Regarding the size q creates many doubts, comes more coins left over q 2 €. I asked another 10 !!")</f>
        <v>Quality and shipping 5 stars Fabulous !! Fast shipping. Great quality of materials. Regarding the size q creates many doubts, comes more coins left over q 2 €. I asked another 10 !!</v>
      </c>
    </row>
    <row r="2345">
      <c r="A2345" s="1">
        <v>5.0</v>
      </c>
      <c r="B2345" s="1" t="s">
        <v>2332</v>
      </c>
      <c r="C2345" t="str">
        <f>IFERROR(__xludf.DUMMYFUNCTION("GOOGLETRANSLATE(B2345, ""es"", ""en"")"),"Cool I was surprised how comfortable they are.")</f>
        <v>Cool I was surprised how comfortable they are.</v>
      </c>
    </row>
    <row r="2346">
      <c r="A2346" s="1">
        <v>5.0</v>
      </c>
      <c r="B2346" s="1" t="s">
        <v>2333</v>
      </c>
      <c r="C2346" t="str">
        <f>IFERROR(__xludf.DUMMYFUNCTION("GOOGLETRANSLATE(B2346, ""es"", ""en"")"),"Very practical I am very satisfied with the bottle, I took everywhere and as is glass is best for my baby")</f>
        <v>Very practical I am very satisfied with the bottle, I took everywhere and as is glass is best for my baby</v>
      </c>
    </row>
    <row r="2347">
      <c r="A2347" s="1">
        <v>5.0</v>
      </c>
      <c r="B2347" s="1" t="s">
        <v>2334</v>
      </c>
      <c r="C2347" t="str">
        <f>IFERROR(__xludf.DUMMYFUNCTION("GOOGLETRANSLATE(B2347, ""es"", ""en"")"),"Perfect to start the guitar I started playing guitar now and needed a cable to connect to the amp and picks to play. The cable works perfectly, sounds good (ears rookie like me) and quality looks with this finish. And the barbs are all detallazo: very goo"&amp;"d quality, different thicknesses to begin to see which you like better, beautiful and a very practical metal box for storage.")</f>
        <v>Perfect to start the guitar I started playing guitar now and needed a cable to connect to the amp and picks to play. The cable works perfectly, sounds good (ears rookie like me) and quality looks with this finish. And the barbs are all detallazo: very good quality, different thicknesses to begin to see which you like better, beautiful and a very practical metal box for storage.</v>
      </c>
    </row>
    <row r="2348">
      <c r="A2348" s="1">
        <v>2.0</v>
      </c>
      <c r="B2348" s="1" t="s">
        <v>2335</v>
      </c>
      <c r="C2348" t="str">
        <f>IFERROR(__xludf.DUMMYFUNCTION("GOOGLETRANSLATE(B2348, ""es"", ""en"")"),"kike does not comply with the description of the product does not work with Android as indicated in SPECIFICATIONS, unless Samsung have 5 or higher.")</f>
        <v>kike does not comply with the description of the product does not work with Android as indicated in SPECIFICATIONS, unless Samsung have 5 or higher.</v>
      </c>
    </row>
    <row r="2349">
      <c r="A2349" s="1">
        <v>3.0</v>
      </c>
      <c r="B2349" s="1" t="s">
        <v>2336</v>
      </c>
      <c r="C2349" t="str">
        <f>IFERROR(__xludf.DUMMYFUNCTION("GOOGLETRANSLATE(B2349, ""es"", ""en"")"),"Nice but short is nice but short for people who are very high.")</f>
        <v>Nice but short is nice but short for people who are very high.</v>
      </c>
    </row>
    <row r="2350">
      <c r="A2350" s="1">
        <v>3.0</v>
      </c>
      <c r="B2350" s="1" t="s">
        <v>2337</v>
      </c>
      <c r="C2350" t="str">
        <f>IFERROR(__xludf.DUMMYFUNCTION("GOOGLETRANSLATE(B2350, ""es"", ""en"")"),"something just fit the shoes themselves are fine, law had to take a larger number xk are just so me chock 37, cogi 38 and still are justas..pero shoes are very comfortable and very cool .")</f>
        <v>something just fit the shoes themselves are fine, law had to take a larger number xk are just so me chock 37, cogi 38 and still are justas..pero shoes are very comfortable and very cool .</v>
      </c>
    </row>
    <row r="2351">
      <c r="A2351" s="1">
        <v>3.0</v>
      </c>
      <c r="B2351" s="1" t="s">
        <v>2338</v>
      </c>
      <c r="C2351" t="str">
        <f>IFERROR(__xludf.DUMMYFUNCTION("GOOGLETRANSLATE(B2351, ""es"", ""en"")"),"Correct Correct Value")</f>
        <v>Correct Correct Value</v>
      </c>
    </row>
    <row r="2352">
      <c r="A2352" s="1">
        <v>1.0</v>
      </c>
      <c r="B2352" s="1" t="s">
        <v>2339</v>
      </c>
      <c r="C2352" t="str">
        <f>IFERROR(__xludf.DUMMYFUNCTION("GOOGLETRANSLATE(B2352, ""es"", ""en"")"),"Or buy some, a tank, not worth the little money it is worth. Taco or shotgun")</f>
        <v>Or buy some, a tank, not worth the little money it is worth. Taco or shotgun</v>
      </c>
    </row>
    <row r="2353">
      <c r="A2353" s="1">
        <v>1.0</v>
      </c>
      <c r="B2353" s="1" t="s">
        <v>2340</v>
      </c>
      <c r="C2353" t="str">
        <f>IFERROR(__xludf.DUMMYFUNCTION("GOOGLETRANSLATE(B2353, ""es"", ""en"")"),"No megusto not work")</f>
        <v>No megusto not work</v>
      </c>
    </row>
    <row r="2354">
      <c r="A2354" s="1">
        <v>4.0</v>
      </c>
      <c r="B2354" s="1" t="s">
        <v>2341</v>
      </c>
      <c r="C2354" t="str">
        <f>IFERROR(__xludf.DUMMYFUNCTION("GOOGLETRANSLATE(B2354, ""es"", ""en"")"),"Product good as it was expected, nothing out of the ordinary, just the description. Good value for money. Happy with purchase")</f>
        <v>Product good as it was expected, nothing out of the ordinary, just the description. Good value for money. Happy with purchase</v>
      </c>
    </row>
    <row r="2355">
      <c r="A2355" s="1">
        <v>4.0</v>
      </c>
      <c r="B2355" s="1" t="s">
        <v>2342</v>
      </c>
      <c r="C2355" t="str">
        <f>IFERROR(__xludf.DUMMYFUNCTION("GOOGLETRANSLATE(B2355, ""es"", ""en"")"),"good bottle good quality, although obviously it is plastic and that I recommend not prefer glass or glass, what happens is that for transportation if it is much more practical this also brings another into smaller pot to put the powders milk is super conv"&amp;"enient !!, for this reason it is that I bought because if the price seems somewhat high and the subject of plastic, but of course if you want portability has to be. Bring innovative anti-colic system of the teat ooze, very slowly.")</f>
        <v>good bottle good quality, although obviously it is plastic and that I recommend not prefer glass or glass, what happens is that for transportation if it is much more practical this also brings another into smaller pot to put the powders milk is super convenient !!, for this reason it is that I bought because if the price seems somewhat high and the subject of plastic, but of course if you want portability has to be. Bring innovative anti-colic system of the teat ooze, very slowly.</v>
      </c>
    </row>
    <row r="2356">
      <c r="A2356" s="1">
        <v>4.0</v>
      </c>
      <c r="B2356" s="1" t="s">
        <v>2343</v>
      </c>
      <c r="C2356" t="str">
        <f>IFERROR(__xludf.DUMMYFUNCTION("GOOGLETRANSLATE(B2356, ""es"", ""en"")"),"Speed ​​and efficiency in serving Cable article very thin, fragile.")</f>
        <v>Speed ​​and efficiency in serving Cable article very thin, fragile.</v>
      </c>
    </row>
    <row r="2357">
      <c r="A2357" s="1">
        <v>4.0</v>
      </c>
      <c r="B2357" s="1" t="s">
        <v>2344</v>
      </c>
      <c r="C2357" t="str">
        <f>IFERROR(__xludf.DUMMYFUNCTION("GOOGLETRANSLATE(B2357, ""es"", ""en"")"),"good boots to work boots well finished with very good price, comfortable and safe, perfect for rain, is a product with a very good quality / price, without hesitation recominedo")</f>
        <v>good boots to work boots well finished with very good price, comfortable and safe, perfect for rain, is a product with a very good quality / price, without hesitation recominedo</v>
      </c>
    </row>
    <row r="2358">
      <c r="A2358" s="1">
        <v>5.0</v>
      </c>
      <c r="B2358" s="1" t="s">
        <v>2345</v>
      </c>
      <c r="C2358" t="str">
        <f>IFERROR(__xludf.DUMMYFUNCTION("GOOGLETRANSLATE(B2358, ""es"", ""en"")"),"100% recommended to L. Size Fits quite well to the body, very comfortable and good material. I recommend 100%")</f>
        <v>100% recommended to L. Size Fits quite well to the body, very comfortable and good material. I recommend 100%</v>
      </c>
    </row>
    <row r="2359">
      <c r="A2359" s="1">
        <v>5.0</v>
      </c>
      <c r="B2359" s="1" t="s">
        <v>2346</v>
      </c>
      <c r="C2359" t="str">
        <f>IFERROR(__xludf.DUMMYFUNCTION("GOOGLETRANSLATE(B2359, ""es"", ""en"")"),"Perfect All good")</f>
        <v>Perfect All good</v>
      </c>
    </row>
    <row r="2360">
      <c r="A2360" s="1">
        <v>5.0</v>
      </c>
      <c r="B2360" s="1" t="s">
        <v>2347</v>
      </c>
      <c r="C2360" t="str">
        <f>IFERROR(__xludf.DUMMYFUNCTION("GOOGLETRANSLATE(B2360, ""es"", ""en"")"),"No problem is too big for me but I worth")</f>
        <v>No problem is too big for me but I worth</v>
      </c>
    </row>
    <row r="2361">
      <c r="A2361" s="1">
        <v>5.0</v>
      </c>
      <c r="B2361" s="1" t="s">
        <v>2348</v>
      </c>
      <c r="C2361" t="str">
        <f>IFERROR(__xludf.DUMMYFUNCTION("GOOGLETRANSLATE(B2361, ""es"", ""en"")"),"100% compliant with expectations. Despite reading several not very good reviews, I decided to buy this model. I really do not think it's luck, but mine works fine. The packaging was very good, with clear instructions, there are up explanatory videos. Afte"&amp;"r a few days of testing, no objection. While temperatures mark (contrast), and I have to trust moisture. Rainy day 99% mark, which I think the senior is ok. Inertia temperature reading is slow, but I imagine it is correct for the type of sensor bearing. T"&amp;"hese sensors are not instant-read (let us equipment + 600 €) and take a few minutes (enough) to reach the correct temperature. In short, value for money, more than adequate. &lt;A data-hook = ""product-link-linked"" class = ""link-to-normal"" href = ""/ Ther"&amp;"moPro-TP65-Wireless-Thermometer-hygrometer-Digital-exterior-and-interior-with-big-Display- touch-and-backlit-blue-meter-de-Humidity-Temperature-Function-memory / dp / B075VMLZB9 / ref = cm_cr_getr_d_rvw_txt? ie = UTF8 ""&gt; ThermoPro TP65 Wireless Thermomet"&amp;"er hygrometer Digital outside and inside with large touchscreen and backlight blue, Temperature Humidity Meter, memory function &lt;/a&gt;")</f>
        <v>100% compliant with expectations. Despite reading several not very good reviews, I decided to buy this model. I really do not think it's luck, but mine works fine. The packaging was very good, with clear instructions, there are up explanatory videos. After a few days of testing, no objection. While temperatures mark (contrast), and I have to trust moisture. Rainy day 99% mark, which I think the senior is ok. Inertia temperature reading is slow, but I imagine it is correct for the type of sensor bearing. These sensors are not instant-read (let us equipment + 600 €) and take a few minutes (enough) to reach the correct temperature. In short, value for money, more than adequate. &lt;A data-hook = "product-link-linked" class = "link-to-normal" href = "/ ThermoPro-TP65-Wireless-Thermometer-hygrometer-Digital-exterior-and-interior-with-big-Display- touch-and-backlit-blue-meter-de-Humidity-Temperature-Function-memory / dp / B075VMLZB9 / ref = cm_cr_getr_d_rvw_txt? ie = UTF8 "&gt; ThermoPro TP65 Wireless Thermometer hygrometer Digital outside and inside with large touchscreen and backlight blue, Temperature Humidity Meter, memory function &lt;/a&gt;</v>
      </c>
    </row>
    <row r="2362">
      <c r="A2362" s="1">
        <v>5.0</v>
      </c>
      <c r="B2362" s="1" t="s">
        <v>2349</v>
      </c>
      <c r="C2362" t="str">
        <f>IFERROR(__xludf.DUMMYFUNCTION("GOOGLETRANSLATE(B2362, ""es"", ""en"")"),"simple clock but time is fine for the price you can not ask for anything more. It's fantastic to the relief of the train, but tactful to brass, plastic, but the coppery color gives the trick.")</f>
        <v>simple clock but time is fine for the price you can not ask for anything more. It's fantastic to the relief of the train, but tactful to brass, plastic, but the coppery color gives the trick.</v>
      </c>
    </row>
    <row r="2363">
      <c r="A2363" s="1">
        <v>5.0</v>
      </c>
      <c r="B2363" s="1" t="s">
        <v>2350</v>
      </c>
      <c r="C2363" t="str">
        <f>IFERROR(__xludf.DUMMYFUNCTION("GOOGLETRANSLATE(B2363, ""es"", ""en"")"),"Very nice is precious to me I loved recommend it, has much brightness as seen in the photo and the measure is perfect would buy without hesitation a good buy.")</f>
        <v>Very nice is precious to me I loved recommend it, has much brightness as seen in the photo and the measure is perfect would buy without hesitation a good buy.</v>
      </c>
    </row>
    <row r="2364">
      <c r="A2364" s="1">
        <v>5.0</v>
      </c>
      <c r="B2364" s="1" t="s">
        <v>2351</v>
      </c>
      <c r="C2364" t="str">
        <f>IFERROR(__xludf.DUMMYFUNCTION("GOOGLETRANSLATE(B2364, ""es"", ""en"")"),"Speaker Quality Great Price")</f>
        <v>Speaker Quality Great Price</v>
      </c>
    </row>
    <row r="2365">
      <c r="A2365" s="1">
        <v>5.0</v>
      </c>
      <c r="B2365" s="1" t="s">
        <v>2352</v>
      </c>
      <c r="C2365" t="str">
        <f>IFERROR(__xludf.DUMMYFUNCTION("GOOGLETRANSLATE(B2365, ""es"", ""en"")"),"Good quality are good sound, deep bass and clear treble and good build quality. They also come with a carrying case, works on almost all devices I've tested, I recommend it 100%.")</f>
        <v>Good quality are good sound, deep bass and clear treble and good build quality. They also come with a carrying case, works on almost all devices I've tested, I recommend it 100%.</v>
      </c>
    </row>
    <row r="2366">
      <c r="A2366" s="1">
        <v>5.0</v>
      </c>
      <c r="B2366" s="1" t="s">
        <v>2353</v>
      </c>
      <c r="C2366" t="str">
        <f>IFERROR(__xludf.DUMMYFUNCTION("GOOGLETRANSLATE(B2366, ""es"", ""en"")"),"He needed this to fit perfect in a particular place in my kitchen and it does really need a smaller mop but that's not the fault of the bucket")</f>
        <v>He needed this to fit perfect in a particular place in my kitchen and it does really need a smaller mop but that's not the fault of the bucket</v>
      </c>
    </row>
    <row r="2367">
      <c r="A2367" s="1">
        <v>5.0</v>
      </c>
      <c r="B2367" s="1" t="s">
        <v>2354</v>
      </c>
      <c r="C2367" t="str">
        <f>IFERROR(__xludf.DUMMYFUNCTION("GOOGLETRANSLATE(B2367, ""es"", ""en"")"),"biberon fast in shipping, perfect. The bottle is of very good quality, Teat mimics the shape of the breast, perfect baby as we wanted.")</f>
        <v>biberon fast in shipping, perfect. The bottle is of very good quality, Teat mimics the shape of the breast, perfect baby as we wanted.</v>
      </c>
    </row>
    <row r="2368">
      <c r="A2368" s="1">
        <v>5.0</v>
      </c>
      <c r="B2368" s="1" t="s">
        <v>2355</v>
      </c>
      <c r="C2368" t="str">
        <f>IFERROR(__xludf.DUMMYFUNCTION("GOOGLETRANSLATE(B2368, ""es"", ""en"")"),"Precious, repeat safe. I recommend it 100%.")</f>
        <v>Precious, repeat safe. I recommend it 100%.</v>
      </c>
    </row>
    <row r="2369">
      <c r="A2369" s="1">
        <v>5.0</v>
      </c>
      <c r="B2369" s="1" t="s">
        <v>2356</v>
      </c>
      <c r="C2369" t="str">
        <f>IFERROR(__xludf.DUMMYFUNCTION("GOOGLETRANSLATE(B2369, ""es"", ""en"")"),"Fantastic! I'm impressed with these headphones. For starters, the case where an electronic counter has come with the battery you have left. They are ergonomic and perfectly adapted to the shape of the ear, so you are not going to fall, whatever you do. Ve"&amp;"ry easily they paired with your phone or mp3, tablet, laptop, etc. and shows no connection problems, you can be away and continues to operate without interference. I usually use the mobile for a walk. Endure sweat smoothly. Have a button on each handset c"&amp;"an change songs or volume up or down without touching the phone. Headphones hear phenomenal, with excellent sound insulation and sound outside is spectacular. What I like most is autonomy, the base itself is a powerbank, which you used to charge the heads"&amp;"et. Definitely I recommend it and more ... I will buy others to give this Christmas.")</f>
        <v>Fantastic! I'm impressed with these headphones. For starters, the case where an electronic counter has come with the battery you have left. They are ergonomic and perfectly adapted to the shape of the ear, so you are not going to fall, whatever you do. Very easily they paired with your phone or mp3, tablet, laptop, etc. and shows no connection problems, you can be away and continues to operate without interference. I usually use the mobile for a walk. Endure sweat smoothly. Have a button on each handset can change songs or volume up or down without touching the phone. Headphones hear phenomenal, with excellent sound insulation and sound outside is spectacular. What I like most is autonomy, the base itself is a powerbank, which you used to charge the headset. Definitely I recommend it and more ... I will buy others to give this Christmas.</v>
      </c>
    </row>
    <row r="2370">
      <c r="A2370" s="1">
        <v>5.0</v>
      </c>
      <c r="B2370" s="1" t="s">
        <v>2357</v>
      </c>
      <c r="C2370" t="str">
        <f>IFERROR(__xludf.DUMMYFUNCTION("GOOGLETRANSLATE(B2370, ""es"", ""en"")"),"Encantada is to give and delighted")</f>
        <v>Encantada is to give and delighted</v>
      </c>
    </row>
    <row r="2371">
      <c r="A2371" s="1">
        <v>5.0</v>
      </c>
      <c r="B2371" s="1" t="s">
        <v>2358</v>
      </c>
      <c r="C2371" t="str">
        <f>IFERROR(__xludf.DUMMYFUNCTION("GOOGLETRANSLATE(B2371, ""es"", ""en"")"),"Very good The watch is very nice and came on time and very fast operating time of luxury and not very confusing when handle or when changing the time and others besides bringing you an instruction manual which explain it very clear")</f>
        <v>Very good The watch is very nice and came on time and very fast operating time of luxury and not very confusing when handle or when changing the time and others besides bringing you an instruction manual which explain it very clear</v>
      </c>
    </row>
    <row r="2372">
      <c r="A2372" s="1">
        <v>5.0</v>
      </c>
      <c r="B2372" s="1" t="s">
        <v>2359</v>
      </c>
      <c r="C2372" t="str">
        <f>IFERROR(__xludf.DUMMYFUNCTION("GOOGLETRANSLATE(B2372, ""es"", ""en"")"),"'Running Okay")</f>
        <v>'Running Okay</v>
      </c>
    </row>
    <row r="2373">
      <c r="A2373" s="1">
        <v>5.0</v>
      </c>
      <c r="B2373" s="1" t="s">
        <v>2360</v>
      </c>
      <c r="C2373" t="str">
        <f>IFERROR(__xludf.DUMMYFUNCTION("GOOGLETRANSLATE(B2373, ""es"", ""en"")"),"Durability wear black colored rings long enough and paint still intact other pending dehusked then are of good quality I'm satisfied")</f>
        <v>Durability wear black colored rings long enough and paint still intact other pending dehusked then are of good quality I'm satisfied</v>
      </c>
    </row>
    <row r="2374">
      <c r="A2374" s="1">
        <v>5.0</v>
      </c>
      <c r="B2374" s="1" t="s">
        <v>2361</v>
      </c>
      <c r="C2374" t="str">
        <f>IFERROR(__xludf.DUMMYFUNCTION("GOOGLETRANSLATE(B2374, ""es"", ""en"")"),"Perhaps it is highly recommended wide wee bit, but not too much. Of course it is a very comfortable shoe. It all came on time and in perfect condition.")</f>
        <v>Perhaps it is highly recommended wide wee bit, but not too much. Of course it is a very comfortable shoe. It all came on time and in perfect condition.</v>
      </c>
    </row>
    <row r="2375">
      <c r="A2375" s="1">
        <v>5.0</v>
      </c>
      <c r="B2375" s="1" t="s">
        <v>2362</v>
      </c>
      <c r="C2375" t="str">
        <f>IFERROR(__xludf.DUMMYFUNCTION("GOOGLETRANSLATE(B2375, ""es"", ""en"")"),"Perfect super comfortable size and very comfortable, I wear every day and go with everything.")</f>
        <v>Perfect super comfortable size and very comfortable, I wear every day and go with everything.</v>
      </c>
    </row>
    <row r="2376">
      <c r="A2376" s="1">
        <v>5.0</v>
      </c>
      <c r="B2376" s="1" t="s">
        <v>2363</v>
      </c>
      <c r="C2376" t="str">
        <f>IFERROR(__xludf.DUMMYFUNCTION("GOOGLETRANSLATE(B2376, ""es"", ""en"")"),"Modern and comfortable at a good price Excellent Clarks shoes at a price very tight (45 €). Comfortable and modern.")</f>
        <v>Modern and comfortable at a good price Excellent Clarks shoes at a price very tight (45 €). Comfortable and modern.</v>
      </c>
    </row>
    <row r="2377">
      <c r="A2377" s="1">
        <v>2.0</v>
      </c>
      <c r="B2377" s="1" t="s">
        <v>2364</v>
      </c>
      <c r="C2377" t="str">
        <f>IFERROR(__xludf.DUMMYFUNCTION("GOOGLETRANSLATE(B2377, ""es"", ""en"")"),"Despite being uncomfortable Asics (supposedly) they are very uncomfortable, since I notice very hard, which is why almost no use")</f>
        <v>Despite being uncomfortable Asics (supposedly) they are very uncomfortable, since I notice very hard, which is why almost no use</v>
      </c>
    </row>
    <row r="2378">
      <c r="A2378" s="1">
        <v>3.0</v>
      </c>
      <c r="B2378" s="1" t="s">
        <v>2365</v>
      </c>
      <c r="C2378" t="str">
        <f>IFERROR(__xludf.DUMMYFUNCTION("GOOGLETRANSLATE(B2378, ""es"", ""en"")"),"Plastic 100% 100% recycled = 100% Polyester. Okay, but I think worth the price.")</f>
        <v>Plastic 100% 100% recycled = 100% Polyester. Okay, but I think worth the price.</v>
      </c>
    </row>
    <row r="2379">
      <c r="A2379" s="1">
        <v>1.0</v>
      </c>
      <c r="B2379" s="1" t="s">
        <v>2366</v>
      </c>
      <c r="C2379" t="str">
        <f>IFERROR(__xludf.DUMMYFUNCTION("GOOGLETRANSLATE(B2379, ""es"", ""en"")"),"Cheap fabric poor, but almost transparent, thin it is not looking.")</f>
        <v>Cheap fabric poor, but almost transparent, thin it is not looking.</v>
      </c>
    </row>
    <row r="2380">
      <c r="A2380" s="1">
        <v>1.0</v>
      </c>
      <c r="B2380" s="1" t="s">
        <v>2367</v>
      </c>
      <c r="C2380" t="str">
        <f>IFERROR(__xludf.DUMMYFUNCTION("GOOGLETRANSLATE(B2380, ""es"", ""en"")"),"Small and narrow The size is smaller than normal and are very close to child")</f>
        <v>Small and narrow The size is smaller than normal and are very close to child</v>
      </c>
    </row>
    <row r="2381">
      <c r="A2381" s="1">
        <v>4.0</v>
      </c>
      <c r="B2381" s="1" t="s">
        <v>2368</v>
      </c>
      <c r="C2381" t="str">
        <f>IFERROR(__xludf.DUMMYFUNCTION("GOOGLETRANSLATE(B2381, ""es"", ""en"")"),"Not bad not bad but for the price you expected more.")</f>
        <v>Not bad not bad but for the price you expected more.</v>
      </c>
    </row>
    <row r="2382">
      <c r="A2382" s="1">
        <v>4.0</v>
      </c>
      <c r="B2382" s="1" t="s">
        <v>2369</v>
      </c>
      <c r="C2382" t="str">
        <f>IFERROR(__xludf.DUMMYFUNCTION("GOOGLETRANSLATE(B2382, ""es"", ""en"")"),"Beautiful ... The first pair of earrings is very large and does not look like the picture but the rest are fine. They are beautiful.")</f>
        <v>Beautiful ... The first pair of earrings is very large and does not look like the picture but the rest are fine. They are beautiful.</v>
      </c>
    </row>
    <row r="2383">
      <c r="A2383" s="1">
        <v>4.0</v>
      </c>
      <c r="B2383" s="1" t="s">
        <v>2370</v>
      </c>
      <c r="C2383" t="str">
        <f>IFERROR(__xludf.DUMMYFUNCTION("GOOGLETRANSLATE(B2383, ""es"", ""en"")"),"A disc very cheap capacidady. I have another disc of the same brand and capacity, long ago, I think I did not give any problems. However this new album to the connect the TV did not recognize me, no one Samsung LG no, no manera.El computer recognize him a"&amp;"t first, so I formated, but neither of those I recognized him the TVs. Looking at the comments on Amazon saw that there was alguine indicating that it had to format a page WB program, said and done, and miracle .......... already reconecen the TV.")</f>
        <v>A disc very cheap capacidady. I have another disc of the same brand and capacity, long ago, I think I did not give any problems. However this new album to the connect the TV did not recognize me, no one Samsung LG no, no manera.El computer recognize him at first, so I formated, but neither of those I recognized him the TVs. Looking at the comments on Amazon saw that there was alguine indicating that it had to format a page WB program, said and done, and miracle .......... already reconecen the TV.</v>
      </c>
    </row>
    <row r="2384">
      <c r="A2384" s="1">
        <v>4.0</v>
      </c>
      <c r="B2384" s="1" t="s">
        <v>2371</v>
      </c>
      <c r="C2384" t="str">
        <f>IFERROR(__xludf.DUMMYFUNCTION("GOOGLETRANSLATE(B2384, ""es"", ""en"")"),"Good product quality and packaging of the product is good but is not compatible with my smart bracelet band 4 the thickness of this.")</f>
        <v>Good product quality and packaging of the product is good but is not compatible with my smart bracelet band 4 the thickness of this.</v>
      </c>
    </row>
    <row r="2385">
      <c r="A2385" s="1">
        <v>4.0</v>
      </c>
      <c r="B2385" s="1" t="s">
        <v>2372</v>
      </c>
      <c r="C2385" t="str">
        <f>IFERROR(__xludf.DUMMYFUNCTION("GOOGLETRANSLATE(B2385, ""es"", ""en"")"),"You may have too comfortable ventilation, I see something wrong because when it rains or caught a puddle, I get wet foot (with purchase of a shoe covers, I fix it). But for good weather will be perfect.")</f>
        <v>You may have too comfortable ventilation, I see something wrong because when it rains or caught a puddle, I get wet foot (with purchase of a shoe covers, I fix it). But for good weather will be perfect.</v>
      </c>
    </row>
    <row r="2386">
      <c r="A2386" s="1">
        <v>5.0</v>
      </c>
      <c r="B2386" s="1" t="s">
        <v>2373</v>
      </c>
      <c r="C2386" t="str">
        <f>IFERROR(__xludf.DUMMYFUNCTION("GOOGLETRANSLATE(B2386, ""es"", ""en"")"),"brutal good fabric, good workmanship, the stem 34,36 and asked the girls S. It is worth")</f>
        <v>brutal good fabric, good workmanship, the stem 34,36 and asked the girls S. It is worth</v>
      </c>
    </row>
    <row r="2387">
      <c r="A2387" s="1">
        <v>5.0</v>
      </c>
      <c r="B2387" s="1" t="s">
        <v>2374</v>
      </c>
      <c r="C2387" t="str">
        <f>IFERROR(__xludf.DUMMYFUNCTION("GOOGLETRANSLATE(B2387, ""es"", ""en"")"),"As toy they are great. As a toy for children / as they are great. Sufficient volume, they are robust, and Bluetooth connection to the mobile is hoot to bring them music they like.")</f>
        <v>As toy they are great. As a toy for children / as they are great. Sufficient volume, they are robust, and Bluetooth connection to the mobile is hoot to bring them music they like.</v>
      </c>
    </row>
    <row r="2388">
      <c r="A2388" s="1">
        <v>5.0</v>
      </c>
      <c r="B2388" s="1" t="s">
        <v>2375</v>
      </c>
      <c r="C2388" t="str">
        <f>IFERROR(__xludf.DUMMYFUNCTION("GOOGLETRANSLATE(B2388, ""es"", ""en"")"),"Design, quality, price. &lt;Div id = ""video-block-R1RYJCJGEJQ3TI"" class = ""a-section a-spacing-small a-spacing-top mini video-block""&gt; &lt;/ div&gt; &lt;input type = ""hidden"" name = """" value = ""https://images-eu.ssl-images-amazon.com/images/I/C1TplfEZrBS.mp4"&amp;""" class = ""video-url""&gt; &lt;input type = ""hidden"" name = """" value = ""https: //images-eu.ssl-images-amazon.com/images/I/91A4RX8JN-S.png ""class ="" video-slate-img-url ""&gt; &amp; nbsp; I really happy ha, has only one slot but I fit 2 slices of bread with no"&amp;"rmal and also applies bread gets up rolls, bread dogs while I roasted sausages ... the design is gorgeous stainless steel which no trace. Value perfect.")</f>
        <v>Design, quality, price. &lt;Div id = "video-block-R1RYJCJGEJQ3TI" class = "a-section a-spacing-small a-spacing-top mini video-block"&gt; &lt;/ div&gt; &lt;input type = "hidden" name = "" value = "https://images-eu.ssl-images-amazon.com/images/I/C1TplfEZrBS.mp4" class = "video-url"&gt; &lt;input type = "hidden" name = "" value = "https: //images-eu.ssl-images-amazon.com/images/I/91A4RX8JN-S.png "class =" video-slate-img-url "&gt; &amp; nbsp; I really happy ha, has only one slot but I fit 2 slices of bread with normal and also applies bread gets up rolls, bread dogs while I roasted sausages ... the design is gorgeous stainless steel which no trace. Value perfect.</v>
      </c>
    </row>
    <row r="2389">
      <c r="A2389" s="1">
        <v>5.0</v>
      </c>
      <c r="B2389" s="1" t="s">
        <v>2376</v>
      </c>
      <c r="C2389" t="str">
        <f>IFERROR(__xludf.DUMMYFUNCTION("GOOGLETRANSLATE(B2389, ""es"", ""en"")"),"Porta perfect sports bottle belt to belt out to train super comfortable with reflective bands to be seen running at night! Pockets very spacious and very adjustable location of the bottle.")</f>
        <v>Porta perfect sports bottle belt to belt out to train super comfortable with reflective bands to be seen running at night! Pockets very spacious and very adjustable location of the bottle.</v>
      </c>
    </row>
    <row r="2390">
      <c r="A2390" s="1">
        <v>5.0</v>
      </c>
      <c r="B2390" s="1" t="s">
        <v>2377</v>
      </c>
      <c r="C2390" t="str">
        <f>IFERROR(__xludf.DUMMYFUNCTION("GOOGLETRANSLATE(B2390, ""es"", ""en"")"),"Recommended Excellent price / value. Pretty well eliminates the pops voice without changing the timbre too much.")</f>
        <v>Recommended Excellent price / value. Pretty well eliminates the pops voice without changing the timbre too much.</v>
      </c>
    </row>
    <row r="2391">
      <c r="A2391" s="1">
        <v>5.0</v>
      </c>
      <c r="B2391" s="1" t="s">
        <v>2378</v>
      </c>
      <c r="C2391" t="str">
        <f>IFERROR(__xludf.DUMMYFUNCTION("GOOGLETRANSLATE(B2391, ""es"", ""en"")"),"Effective effective. Absolutely recommended. Entro water in my car. It smelled of dogs and thanks to the bags, half kilo in total, the odor disappeared after 48 hours.")</f>
        <v>Effective effective. Absolutely recommended. Entro water in my car. It smelled of dogs and thanks to the bags, half kilo in total, the odor disappeared after 48 hours.</v>
      </c>
    </row>
    <row r="2392">
      <c r="A2392" s="1">
        <v>5.0</v>
      </c>
      <c r="B2392" s="1" t="s">
        <v>2379</v>
      </c>
      <c r="C2392" t="str">
        <f>IFERROR(__xludf.DUMMYFUNCTION("GOOGLETRANSLATE(B2392, ""es"", ""en"")"),"Good value I really liked buying this pack of socks for quality / price. Socks fit the foot so that do not form any wrinkles. The toe is reinforced and the design is very well thought out. In short, socks are very practical and also beautiful.")</f>
        <v>Good value I really liked buying this pack of socks for quality / price. Socks fit the foot so that do not form any wrinkles. The toe is reinforced and the design is very well thought out. In short, socks are very practical and also beautiful.</v>
      </c>
    </row>
    <row r="2393">
      <c r="A2393" s="1">
        <v>5.0</v>
      </c>
      <c r="B2393" s="1" t="s">
        <v>2380</v>
      </c>
      <c r="C2393" t="str">
        <f>IFERROR(__xludf.DUMMYFUNCTION("GOOGLETRANSLATE(B2393, ""es"", ""en"")"),"Good quality, tough and strong Cool. Grafoplas normally used with reference 55700 that are strong and rough, because others seem cigarette paper, but this brand I liked it, they are strong, tough and transparent! Very good quality, repeat for sure!")</f>
        <v>Good quality, tough and strong Cool. Grafoplas normally used with reference 55700 that are strong and rough, because others seem cigarette paper, but this brand I liked it, they are strong, tough and transparent! Very good quality, repeat for sure!</v>
      </c>
    </row>
    <row r="2394">
      <c r="A2394" s="1">
        <v>5.0</v>
      </c>
      <c r="B2394" s="1" t="s">
        <v>2381</v>
      </c>
      <c r="C2394" t="str">
        <f>IFERROR(__xludf.DUMMYFUNCTION("GOOGLETRANSLATE(B2394, ""es"", ""en"")"),"Good Great Awesome recommended seems to have a physio back is great and so I've saved physio pay each month")</f>
        <v>Good Great Awesome recommended seems to have a physio back is great and so I've saved physio pay each month</v>
      </c>
    </row>
    <row r="2395">
      <c r="A2395" s="1">
        <v>5.0</v>
      </c>
      <c r="B2395" s="1" t="s">
        <v>2382</v>
      </c>
      <c r="C2395" t="str">
        <f>IFERROR(__xludf.DUMMYFUNCTION("GOOGLETRANSLATE(B2395, ""es"", ""en"")"),"Very good buy Headphones very good and very versatile. I used them for various situations and are perfect. Running sound great and do not fall, nor move, they've synchronized with smartwatch and no problem, I take them to the minimum volume and outrageous"&amp;" hear also can carry one or two and you can pause the music to give just one tap any button on the two headphones, or move from track taking two touches in a row, also in either. For hard run to spare, although only they have tried about half hour followe"&amp;"d. They've synchronized with multiple devices and great, tablet, smartphone, etc .... plus you can use them without problems with someone else and luxury (both listening to the same music which can not be bothered and you're on the move, using audioguide "&amp;"visits tourism through mobile, listen to a movie on the tablet without messy cables, etc ...). It comes beautifully presented and the box where recharge is a hoot, with magnet on the base so that do not fall and this does not take anything, the materials "&amp;"are fine, they are also very comfortable and brings several pads of different sizes ear . So far the battery can not say whether or not last long, as I said earlier used only for half an hour followed. For what he wanted, totally recommended.")</f>
        <v>Very good buy Headphones very good and very versatile. I used them for various situations and are perfect. Running sound great and do not fall, nor move, they've synchronized with smartwatch and no problem, I take them to the minimum volume and outrageous hear also can carry one or two and you can pause the music to give just one tap any button on the two headphones, or move from track taking two touches in a row, also in either. For hard run to spare, although only they have tried about half hour followed. They've synchronized with multiple devices and great, tablet, smartphone, etc .... plus you can use them without problems with someone else and luxury (both listening to the same music which can not be bothered and you're on the move, using audioguide visits tourism through mobile, listen to a movie on the tablet without messy cables, etc ...). It comes beautifully presented and the box where recharge is a hoot, with magnet on the base so that do not fall and this does not take anything, the materials are fine, they are also very comfortable and brings several pads of different sizes ear . So far the battery can not say whether or not last long, as I said earlier used only for half an hour followed. For what he wanted, totally recommended.</v>
      </c>
    </row>
    <row r="2396">
      <c r="A2396" s="1">
        <v>5.0</v>
      </c>
      <c r="B2396" s="1" t="s">
        <v>2383</v>
      </c>
      <c r="C2396" t="str">
        <f>IFERROR(__xludf.DUMMYFUNCTION("GOOGLETRANSLATE(B2396, ""es"", ""en"")"),"Meets perfectly good value for money")</f>
        <v>Meets perfectly good value for money</v>
      </c>
    </row>
    <row r="2397">
      <c r="A2397" s="1">
        <v>5.0</v>
      </c>
      <c r="B2397" s="1" t="s">
        <v>2384</v>
      </c>
      <c r="C2397" t="str">
        <f>IFERROR(__xludf.DUMMYFUNCTION("GOOGLETRANSLATE(B2397, ""es"", ""en"")"),"Ecelente Product Love is inmantado and stays stuck in the fridge, so I like, I advise the purchase, hope to have help to weigh with the purchase.")</f>
        <v>Ecelente Product Love is inmantado and stays stuck in the fridge, so I like, I advise the purchase, hope to have help to weigh with the purchase.</v>
      </c>
    </row>
    <row r="2398">
      <c r="A2398" s="1">
        <v>5.0</v>
      </c>
      <c r="B2398" s="1" t="s">
        <v>2385</v>
      </c>
      <c r="C2398" t="str">
        <f>IFERROR(__xludf.DUMMYFUNCTION("GOOGLETRANSLATE(B2398, ""es"", ""en"")"),"A very good deal good deal much better price than the super or hyper. Good service delivery. It is the normal product.")</f>
        <v>A very good deal good deal much better price than the super or hyper. Good service delivery. It is the normal product.</v>
      </c>
    </row>
    <row r="2399">
      <c r="A2399" s="1">
        <v>5.0</v>
      </c>
      <c r="B2399" s="1" t="s">
        <v>2386</v>
      </c>
      <c r="C2399" t="str">
        <f>IFERROR(__xludf.DUMMYFUNCTION("GOOGLETRANSLATE(B2399, ""es"", ""en"")"),"Buenisima sound quality construction and a simple headset was looking to move a lot, and I was surprised by two things: the quality of sound and build quality. The extended hours in use during transport and during work. In addition style cable is perfect "&amp;"to avoid tangles. Super recommended!")</f>
        <v>Buenisima sound quality construction and a simple headset was looking to move a lot, and I was surprised by two things: the quality of sound and build quality. The extended hours in use during transport and during work. In addition style cable is perfect to avoid tangles. Super recommended!</v>
      </c>
    </row>
    <row r="2400">
      <c r="A2400" s="1">
        <v>5.0</v>
      </c>
      <c r="B2400" s="1" t="s">
        <v>2387</v>
      </c>
      <c r="C2400" t="str">
        <f>IFERROR(__xludf.DUMMYFUNCTION("GOOGLETRANSLATE(B2400, ""es"", ""en"")"),"Good quality satisfied. Many pockets. It was for a gift and charm.")</f>
        <v>Good quality satisfied. Many pockets. It was for a gift and charm.</v>
      </c>
    </row>
    <row r="2401">
      <c r="A2401" s="1">
        <v>5.0</v>
      </c>
      <c r="B2401" s="1" t="s">
        <v>2388</v>
      </c>
      <c r="C2401" t="str">
        <f>IFERROR(__xludf.DUMMYFUNCTION("GOOGLETRANSLATE(B2401, ""es"", ""en"")"),"Compact and quiet Very good buy. A disc with recudido size and fairly quiet. So I hold him. Buy recommended.")</f>
        <v>Compact and quiet Very good buy. A disc with recudido size and fairly quiet. So I hold him. Buy recommended.</v>
      </c>
    </row>
    <row r="2402">
      <c r="A2402" s="1">
        <v>5.0</v>
      </c>
      <c r="B2402" s="1" t="s">
        <v>2389</v>
      </c>
      <c r="C2402" t="str">
        <f>IFERROR(__xludf.DUMMYFUNCTION("GOOGLETRANSLATE(B2402, ""es"", ""en"")"),"entertaining Spectacular, my daughter loved it, has USB port easily connects to the phone (in my case IOS system), the battery still I have not charged since he came to me on the 17th, continue to use it as it came, it also has to add an SD card and is no"&amp;"t for nothing heavy, I was expecting heavier. Good buy if you want to have the kids entertained and you care not to suffer ""some"" headache :)")</f>
        <v>entertaining Spectacular, my daughter loved it, has USB port easily connects to the phone (in my case IOS system), the battery still I have not charged since he came to me on the 17th, continue to use it as it came, it also has to add an SD card and is not for nothing heavy, I was expecting heavier. Good buy if you want to have the kids entertained and you care not to suffer "some" headache :)</v>
      </c>
    </row>
    <row r="2403">
      <c r="A2403" s="1">
        <v>5.0</v>
      </c>
      <c r="B2403" s="1" t="s">
        <v>2390</v>
      </c>
      <c r="C2403" t="str">
        <f>IFERROR(__xludf.DUMMYFUNCTION("GOOGLETRANSLATE(B2403, ""es"", ""en"")"),"Great size perfect.")</f>
        <v>Great size perfect.</v>
      </c>
    </row>
    <row r="2404">
      <c r="A2404" s="1">
        <v>5.0</v>
      </c>
      <c r="B2404" s="1" t="s">
        <v>2391</v>
      </c>
      <c r="C2404" t="str">
        <f>IFERROR(__xludf.DUMMYFUNCTION("GOOGLETRANSLATE(B2404, ""es"", ""en"")"),"Perfect chancla comfortable and super comfortable, convenient and easy to wash. I recommend it.")</f>
        <v>Perfect chancla comfortable and super comfortable, convenient and easy to wash. I recommend it.</v>
      </c>
    </row>
    <row r="2405">
      <c r="A2405" s="1">
        <v>2.0</v>
      </c>
      <c r="B2405" s="1" t="s">
        <v>2392</v>
      </c>
      <c r="C2405" t="str">
        <f>IFERROR(__xludf.DUMMYFUNCTION("GOOGLETRANSLATE(B2405, ""es"", ""en"")"),"bad sweatshirt fabric texture is horrible, it is like soft plastic. Hood, to having this fabric is deformed and very large, although it remains to put bad. Logos are a plasticised sleazy")</f>
        <v>bad sweatshirt fabric texture is horrible, it is like soft plastic. Hood, to having this fabric is deformed and very large, although it remains to put bad. Logos are a plasticised sleazy</v>
      </c>
    </row>
    <row r="2406">
      <c r="A2406" s="1">
        <v>3.0</v>
      </c>
      <c r="B2406" s="1" t="s">
        <v>2393</v>
      </c>
      <c r="C2406" t="str">
        <f>IFERROR(__xludf.DUMMYFUNCTION("GOOGLETRANSLATE(B2406, ""es"", ""en"")"),"It is easy to wash mona")</f>
        <v>It is easy to wash mona</v>
      </c>
    </row>
    <row r="2407">
      <c r="A2407" s="1">
        <v>3.0</v>
      </c>
      <c r="B2407" s="1" t="s">
        <v>2394</v>
      </c>
      <c r="C2407" t="str">
        <f>IFERROR(__xludf.DUMMYFUNCTION("GOOGLETRANSLATE(B2407, ""es"", ""en"")"),"Well Overall good, but tarnishes when it's chilly, which does not happen with 5600 I have for 30 years. watches are no longer as before.")</f>
        <v>Well Overall good, but tarnishes when it's chilly, which does not happen with 5600 I have for 30 years. watches are no longer as before.</v>
      </c>
    </row>
    <row r="2408">
      <c r="A2408" s="1">
        <v>1.0</v>
      </c>
      <c r="B2408" s="1" t="s">
        <v>2395</v>
      </c>
      <c r="C2408" t="str">
        <f>IFERROR(__xludf.DUMMYFUNCTION("GOOGLETRANSLATE(B2408, ""es"", ""en"")"),"Swindle swindle, does nothing and if you're sensitive skin you get pimples.")</f>
        <v>Swindle swindle, does nothing and if you're sensitive skin you get pimples.</v>
      </c>
    </row>
    <row r="2409">
      <c r="A2409" s="1">
        <v>1.0</v>
      </c>
      <c r="B2409" s="1" t="s">
        <v>2396</v>
      </c>
      <c r="C2409" t="str">
        <f>IFERROR(__xludf.DUMMYFUNCTION("GOOGLETRANSLATE(B2409, ""es"", ""en"")"),"Sleazy, little over a month and has broken me has lasted little more than a month. And already it is broken. Poor quality. I do not recommend it because if had doubts that should not be worth more than 20 euros now I have no longer any doubt.")</f>
        <v>Sleazy, little over a month and has broken me has lasted little more than a month. And already it is broken. Poor quality. I do not recommend it because if had doubts that should not be worth more than 20 euros now I have no longer any doubt.</v>
      </c>
    </row>
    <row r="2410">
      <c r="A2410" s="1">
        <v>4.0</v>
      </c>
      <c r="B2410" s="1" t="s">
        <v>2397</v>
      </c>
      <c r="C2410" t="str">
        <f>IFERROR(__xludf.DUMMYFUNCTION("GOOGLETRANSLATE(B2410, ""es"", ""en"")"),"Ideal for catering to the beginning were a little stiff, but it was until the foot is accustomed. I spend more than 8h with them and feet do not tire me as much as before. the temperature of the foot, so it was not cold about them is maintained. The only "&amp;"fault we would, would be the sole, to having a lattice grid so fine, the crap that gets you sometimes hard to remove and causes the sole becomes smooth and slippery ...")</f>
        <v>Ideal for catering to the beginning were a little stiff, but it was until the foot is accustomed. I spend more than 8h with them and feet do not tire me as much as before. the temperature of the foot, so it was not cold about them is maintained. The only fault we would, would be the sole, to having a lattice grid so fine, the crap that gets you sometimes hard to remove and causes the sole becomes smooth and slippery ...</v>
      </c>
    </row>
    <row r="2411">
      <c r="A2411" s="1">
        <v>4.0</v>
      </c>
      <c r="B2411" s="1" t="s">
        <v>2398</v>
      </c>
      <c r="C2411" t="str">
        <f>IFERROR(__xludf.DUMMYFUNCTION("GOOGLETRANSLATE(B2411, ""es"", ""en"")"),"How quickly I received it I liked everything")</f>
        <v>How quickly I received it I liked everything</v>
      </c>
    </row>
    <row r="2412">
      <c r="A2412" s="1">
        <v>4.0</v>
      </c>
      <c r="B2412" s="1" t="s">
        <v>2399</v>
      </c>
      <c r="C2412" t="str">
        <f>IFERROR(__xludf.DUMMYFUNCTION("GOOGLETRANSLATE(B2412, ""es"", ""en"")"),"Sara Perfectas, although the color is a little darker than in the picture. I recommend it anyway. Order one size smaller")</f>
        <v>Sara Perfectas, although the color is a little darker than in the picture. I recommend it anyway. Order one size smaller</v>
      </c>
    </row>
    <row r="2413">
      <c r="A2413" s="1">
        <v>4.0</v>
      </c>
      <c r="B2413" s="1" t="s">
        <v>2400</v>
      </c>
      <c r="C2413" t="str">
        <f>IFERROR(__xludf.DUMMYFUNCTION("GOOGLETRANSLATE(B2413, ""es"", ""en"")"),"Is very strong, and beat well is a good product and a mark of great confidence, and has much strength to make any mash is great, the only bad the first day you blew the glass, and weighs slightly")</f>
        <v>Is very strong, and beat well is a good product and a mark of great confidence, and has much strength to make any mash is great, the only bad the first day you blew the glass, and weighs slightly</v>
      </c>
    </row>
    <row r="2414">
      <c r="A2414" s="1">
        <v>4.0</v>
      </c>
      <c r="B2414" s="1" t="s">
        <v>2401</v>
      </c>
      <c r="C2414" t="str">
        <f>IFERROR(__xludf.DUMMYFUNCTION("GOOGLETRANSLATE(B2414, ""es"", ""en"")"),"Card good value Within the ""domestic"" range of SDHC cards, this perhaps is the level highest of them, so if you do not you'll give intensive to it, it is certainly one of the best options you can choose. The recording speed burst shooting is fast enough"&amp;" to create no bottlenecks and as for video recording, if you're not going beyond 1080p, is perfect. Definitely a great buy if not I repeat you'll give professional use. I hope this review has been helpful :)")</f>
        <v>Card good value Within the "domestic" range of SDHC cards, this perhaps is the level highest of them, so if you do not you'll give intensive to it, it is certainly one of the best options you can choose. The recording speed burst shooting is fast enough to create no bottlenecks and as for video recording, if you're not going beyond 1080p, is perfect. Definitely a great buy if not I repeat you'll give professional use. I hope this review has been helpful :)</v>
      </c>
    </row>
    <row r="2415">
      <c r="A2415" s="1">
        <v>5.0</v>
      </c>
      <c r="B2415" s="1" t="s">
        <v>2402</v>
      </c>
      <c r="C2415" t="str">
        <f>IFERROR(__xludf.DUMMYFUNCTION("GOOGLETRANSLATE(B2415, ""es"", ""en"")"),"I like all of it all she's very pretty")</f>
        <v>I like all of it all she's very pretty</v>
      </c>
    </row>
    <row r="2416">
      <c r="A2416" s="1">
        <v>5.0</v>
      </c>
      <c r="B2416" s="1" t="s">
        <v>2403</v>
      </c>
      <c r="C2416" t="str">
        <f>IFERROR(__xludf.DUMMYFUNCTION("GOOGLETRANSLATE(B2416, ""es"", ""en"")"),"Value excellent all right")</f>
        <v>Value excellent all right</v>
      </c>
    </row>
    <row r="2417">
      <c r="A2417" s="1">
        <v>5.0</v>
      </c>
      <c r="B2417" s="1" t="s">
        <v>2404</v>
      </c>
      <c r="C2417" t="str">
        <f>IFERROR(__xludf.DUMMYFUNCTION("GOOGLETRANSLATE(B2417, ""es"", ""en"")"),"Perfect Very good. I like it. Is tiny, it weighs nothing. Easy to use.")</f>
        <v>Perfect Very good. I like it. Is tiny, it weighs nothing. Easy to use.</v>
      </c>
    </row>
    <row r="2418">
      <c r="A2418" s="1">
        <v>5.0</v>
      </c>
      <c r="B2418" s="1" t="s">
        <v>2405</v>
      </c>
      <c r="C2418" t="str">
        <f>IFERROR(__xludf.DUMMYFUNCTION("GOOGLETRANSLATE(B2418, ""es"", ""en"")"),"I like to finish and resistance, especially the finish. And resistance.")</f>
        <v>I like to finish and resistance, especially the finish. And resistance.</v>
      </c>
    </row>
    <row r="2419">
      <c r="A2419" s="1">
        <v>5.0</v>
      </c>
      <c r="B2419" s="1" t="s">
        <v>2406</v>
      </c>
      <c r="C2419" t="str">
        <f>IFERROR(__xludf.DUMMYFUNCTION("GOOGLETRANSLATE(B2419, ""es"", ""en"")"),"Small and good sound you hear are small and very light, ideal for walking and jogging.")</f>
        <v>Small and good sound you hear are small and very light, ideal for walking and jogging.</v>
      </c>
    </row>
    <row r="2420">
      <c r="A2420" s="1">
        <v>5.0</v>
      </c>
      <c r="B2420" s="1" t="s">
        <v>2407</v>
      </c>
      <c r="C2420" t="str">
        <f>IFERROR(__xludf.DUMMYFUNCTION("GOOGLETRANSLATE(B2420, ""es"", ""en"")"),"Very comfortable they are very cool. In my case they were for a girl to school and so far very well as expected.")</f>
        <v>Very comfortable they are very cool. In my case they were for a girl to school and so far very well as expected.</v>
      </c>
    </row>
    <row r="2421">
      <c r="A2421" s="1">
        <v>5.0</v>
      </c>
      <c r="B2421" s="1" t="s">
        <v>2408</v>
      </c>
      <c r="C2421" t="str">
        <f>IFERROR(__xludf.DUMMYFUNCTION("GOOGLETRANSLATE(B2421, ""es"", ""en"")"),"It looks myself quality; large compared to most standard bags man; original design. Ideal to give it away.")</f>
        <v>It looks myself quality; large compared to most standard bags man; original design. Ideal to give it away.</v>
      </c>
    </row>
    <row r="2422">
      <c r="A2422" s="1">
        <v>5.0</v>
      </c>
      <c r="B2422" s="1" t="s">
        <v>2409</v>
      </c>
      <c r="C2422" t="str">
        <f>IFERROR(__xludf.DUMMYFUNCTION("GOOGLETRANSLATE(B2422, ""es"", ""en"")"),"It has very good hard good finish. Large capacity and fast")</f>
        <v>It has very good hard good finish. Large capacity and fast</v>
      </c>
    </row>
    <row r="2423">
      <c r="A2423" s="1">
        <v>5.0</v>
      </c>
      <c r="B2423" s="1" t="s">
        <v>2410</v>
      </c>
      <c r="C2423" t="str">
        <f>IFERROR(__xludf.DUMMYFUNCTION("GOOGLETRANSLATE(B2423, ""es"", ""en"")"),"Precious delighted and very good quality. The perfect size. I would buy it. I recommend totalmente.fue gift and the owner uses it daily.")</f>
        <v>Precious delighted and very good quality. The perfect size. I would buy it. I recommend totalmente.fue gift and the owner uses it daily.</v>
      </c>
    </row>
    <row r="2424">
      <c r="A2424" s="1">
        <v>5.0</v>
      </c>
      <c r="B2424" s="1" t="s">
        <v>2411</v>
      </c>
      <c r="C2424" t="str">
        <f>IFERROR(__xludf.DUMMYFUNCTION("GOOGLETRANSLATE(B2424, ""es"", ""en"")"),"Puma Chanclas highly recommended and comfortable (I have 42 and maybe I should have asked for 43) Contento.")</f>
        <v>Puma Chanclas highly recommended and comfortable (I have 42 and maybe I should have asked for 43) Contento.</v>
      </c>
    </row>
    <row r="2425">
      <c r="A2425" s="1">
        <v>5.0</v>
      </c>
      <c r="B2425" s="1" t="s">
        <v>2412</v>
      </c>
      <c r="C2425" t="str">
        <f>IFERROR(__xludf.DUMMYFUNCTION("GOOGLETRANSLATE(B2425, ""es"", ""en"")"),"SIZE IS AS IS liked very much")</f>
        <v>SIZE IS AS IS liked very much</v>
      </c>
    </row>
    <row r="2426">
      <c r="A2426" s="1">
        <v>5.0</v>
      </c>
      <c r="B2426" s="1" t="s">
        <v>2413</v>
      </c>
      <c r="C2426" t="str">
        <f>IFERROR(__xludf.DUMMYFUNCTION("GOOGLETRANSLATE(B2426, ""es"", ""en"")"),"Very comfortable practical, comfortable, color is suffering, so little wash, dry fast very satisfied with the purchase, for escelentes walk, carried them up without socks !!!!")</f>
        <v>Very comfortable practical, comfortable, color is suffering, so little wash, dry fast very satisfied with the purchase, for escelentes walk, carried them up without socks !!!!</v>
      </c>
    </row>
    <row r="2427">
      <c r="A2427" s="1">
        <v>5.0</v>
      </c>
      <c r="B2427" s="1" t="s">
        <v>2414</v>
      </c>
      <c r="C2427" t="str">
        <f>IFERROR(__xludf.DUMMYFUNCTION("GOOGLETRANSLATE(B2427, ""es"", ""en"")"),"Have good headphones, it's like having an invisible friend on public transport I've spent years using this brand headphones, what more can I say. Although I once went wrong, with background noise in one of the hulls, this brand never fails.")</f>
        <v>Have good headphones, it's like having an invisible friend on public transport I've spent years using this brand headphones, what more can I say. Although I once went wrong, with background noise in one of the hulls, this brand never fails.</v>
      </c>
    </row>
    <row r="2428">
      <c r="A2428" s="1">
        <v>5.0</v>
      </c>
      <c r="B2428" s="1" t="s">
        <v>2415</v>
      </c>
      <c r="C2428" t="str">
        <f>IFERROR(__xludf.DUMMYFUNCTION("GOOGLETRANSLATE(B2428, ""es"", ""en"")"),"PERFECT PERFECT. DELIVERY TIME.")</f>
        <v>PERFECT PERFECT. DELIVERY TIME.</v>
      </c>
    </row>
    <row r="2429">
      <c r="A2429" s="1">
        <v>5.0</v>
      </c>
      <c r="B2429" s="1" t="s">
        <v>2416</v>
      </c>
      <c r="C2429" t="str">
        <f>IFERROR(__xludf.DUMMYFUNCTION("GOOGLETRANSLATE(B2429, ""es"", ""en"")"),"unsurpassed quality Assuming I'm not a big fan of sports or the mountain, my criticism of this product is a neophyte, I'll just talk about my feelings basic user. Of course, with children, every day more they force you to take off your shoes and put on sl"&amp;"ippers, and hiking with them. These shoes are awesome, nothing but catch them in hand touch, lightweight construction and appearance impresses you. The rubber sole brings some tacos that seems to go up Everest with one hand tied behind his back. It is a p"&amp;"roduct that a lover of adventure and excursions through the countryside or enjoy high mountain like a dwarf. The sizing is quite correct, chock 41-42 and 42're being me go well with thin sock, with thick one fair Pelin. But because they are flexible I do "&amp;"not think I have problem with use. I recommend catch them a little bigger than your usual size. Not comfortable, the following. They are gloves for foot, luxury fit loosely least, wide and comfortable last. It comes with a generous staff and non-slip rubb"&amp;"er sole is lugged, you do not fall for clumsy you are. And the damping is very comfortable. As for the textile, it is Gore-Tex, comfortable, waterproof and breathable, the best thing you can have. The color is green khaki, the photos do not do justice at "&amp;"all. The gums topped with textile this perfectly finished, impeccable. Even the cords are quality. An excellent product for those who love the mountain and adventure, even for a neophyte like me luxury van. Quality pays, but only 1 time")</f>
        <v>unsurpassed quality Assuming I'm not a big fan of sports or the mountain, my criticism of this product is a neophyte, I'll just talk about my feelings basic user. Of course, with children, every day more they force you to take off your shoes and put on slippers, and hiking with them. These shoes are awesome, nothing but catch them in hand touch, lightweight construction and appearance impresses you. The rubber sole brings some tacos that seems to go up Everest with one hand tied behind his back. It is a product that a lover of adventure and excursions through the countryside or enjoy high mountain like a dwarf. The sizing is quite correct, chock 41-42 and 42're being me go well with thin sock, with thick one fair Pelin. But because they are flexible I do not think I have problem with use. I recommend catch them a little bigger than your usual size. Not comfortable, the following. They are gloves for foot, luxury fit loosely least, wide and comfortable last. It comes with a generous staff and non-slip rubber sole is lugged, you do not fall for clumsy you are. And the damping is very comfortable. As for the textile, it is Gore-Tex, comfortable, waterproof and breathable, the best thing you can have. The color is green khaki, the photos do not do justice at all. The gums topped with textile this perfectly finished, impeccable. Even the cords are quality. An excellent product for those who love the mountain and adventure, even for a neophyte like me luxury van. Quality pays, but only 1 time</v>
      </c>
    </row>
    <row r="2430">
      <c r="A2430" s="1">
        <v>5.0</v>
      </c>
      <c r="B2430" s="1" t="s">
        <v>2417</v>
      </c>
      <c r="C2430" t="str">
        <f>IFERROR(__xludf.DUMMYFUNCTION("GOOGLETRANSLATE(B2430, ""es"", ""en"")"),"Excellent product quality, arrived on time and is natural and good smell")</f>
        <v>Excellent product quality, arrived on time and is natural and good smell</v>
      </c>
    </row>
    <row r="2431">
      <c r="A2431" s="1">
        <v>5.0</v>
      </c>
      <c r="B2431" s="1" t="s">
        <v>2418</v>
      </c>
      <c r="C2431" t="str">
        <f>IFERROR(__xludf.DUMMYFUNCTION("GOOGLETRANSLATE(B2431, ""es"", ""en"")"),"Good quality Not the typical folder that you buy in Chinese. If you like plastic very resistant and do not wrinkle to spending a couple of times your notes and want quality for a more Buy eurillos. :)")</f>
        <v>Good quality Not the typical folder that you buy in Chinese. If you like plastic very resistant and do not wrinkle to spending a couple of times your notes and want quality for a more Buy eurillos. :)</v>
      </c>
    </row>
    <row r="2432">
      <c r="A2432" s="1">
        <v>5.0</v>
      </c>
      <c r="B2432" s="1" t="s">
        <v>2419</v>
      </c>
      <c r="C2432" t="str">
        <f>IFERROR(__xludf.DUMMYFUNCTION("GOOGLETRANSLATE(B2432, ""es"", ""en"")"),"Encantado, recommended 100%'ve always wanted one for the neck, all that were found online for the back. The I PROVE as soon as I arrived and it's perfect for my neck pains, relieved me a lot. It also has 3 power levels. I recommend it.")</f>
        <v>Encantado, recommended 100%'ve always wanted one for the neck, all that were found online for the back. The I PROVE as soon as I arrived and it's perfect for my neck pains, relieved me a lot. It also has 3 power levels. I recommend it.</v>
      </c>
    </row>
    <row r="2433">
      <c r="A2433" s="1">
        <v>2.0</v>
      </c>
      <c r="B2433" s="1" t="s">
        <v>2420</v>
      </c>
      <c r="C2433" t="str">
        <f>IFERROR(__xludf.DUMMYFUNCTION("GOOGLETRANSLATE(B2433, ""es"", ""en"")"),"Its price is not justified I returned about JBL E65 because their noise reduction was not what I expected and decided to invest more money in these Bose because the comparisons in magazines specialized and comments from Amazon put them through the roof bu"&amp;"t behind the SONY WH -1000XM3B. They have a good sound but JBL are sharper and sound better. As the JBL materials far outweigh these Bose. Bluetooth range is mediocre, better not many meters away the device. In this JBL it is also much higher. In noise re"&amp;"duction may be somewhat better than JBL but nothing to rave about. In short, I personally do not think the price they have each other and far less justified 90 eur. difference between the two.")</f>
        <v>Its price is not justified I returned about JBL E65 because their noise reduction was not what I expected and decided to invest more money in these Bose because the comparisons in magazines specialized and comments from Amazon put them through the roof but behind the SONY WH -1000XM3B. They have a good sound but JBL are sharper and sound better. As the JBL materials far outweigh these Bose. Bluetooth range is mediocre, better not many meters away the device. In this JBL it is also much higher. In noise reduction may be somewhat better than JBL but nothing to rave about. In short, I personally do not think the price they have each other and far less justified 90 eur. difference between the two.</v>
      </c>
    </row>
    <row r="2434">
      <c r="A2434" s="1">
        <v>3.0</v>
      </c>
      <c r="B2434" s="1" t="s">
        <v>2421</v>
      </c>
      <c r="C2434" t="str">
        <f>IFERROR(__xludf.DUMMYFUNCTION("GOOGLETRANSLATE(B2434, ""es"", ""en"")"),"very cool unique are bad gums are out of the holes with only one day of rest for the original spindle and my daughter is haunted")</f>
        <v>very cool unique are bad gums are out of the holes with only one day of rest for the original spindle and my daughter is haunted</v>
      </c>
    </row>
    <row r="2435">
      <c r="A2435" s="1">
        <v>3.0</v>
      </c>
      <c r="B2435" s="1" t="s">
        <v>2422</v>
      </c>
      <c r="C2435" t="str">
        <f>IFERROR(__xludf.DUMMYFUNCTION("GOOGLETRANSLATE(B2435, ""es"", ""en"")"),"I was surprised by the quality has more quality than I expected in terms of audio. Of course, the clip is broken to apply and remove 5 or 6 times.")</f>
        <v>I was surprised by the quality has more quality than I expected in terms of audio. Of course, the clip is broken to apply and remove 5 or 6 times.</v>
      </c>
    </row>
    <row r="2436">
      <c r="A2436" s="1">
        <v>1.0</v>
      </c>
      <c r="B2436" s="1" t="s">
        <v>2423</v>
      </c>
      <c r="C2436" t="str">
        <f>IFERROR(__xludf.DUMMYFUNCTION("GOOGLETRANSLATE(B2436, ""es"", ""en"")"),"Small size T-shirt is good and nice but the size is incredibly small buy XL and I doubt it's an M. A pity.")</f>
        <v>Small size T-shirt is good and nice but the size is incredibly small buy XL and I doubt it's an M. A pity.</v>
      </c>
    </row>
    <row r="2437">
      <c r="A2437" s="1">
        <v>1.0</v>
      </c>
      <c r="B2437" s="1" t="s">
        <v>2424</v>
      </c>
      <c r="C2437" t="str">
        <f>IFERROR(__xludf.DUMMYFUNCTION("GOOGLETRANSLATE(B2437, ""es"", ""en"")"),"Disappointment I liked its light weight, its running and comfort to their sound but brought no instructions in Castilian and as the battery when I got brought me was impossible to load them into your box and can not use more over.")</f>
        <v>Disappointment I liked its light weight, its running and comfort to their sound but brought no instructions in Castilian and as the battery when I got brought me was impossible to load them into your box and can not use more over.</v>
      </c>
    </row>
    <row r="2438">
      <c r="A2438" s="1">
        <v>1.0</v>
      </c>
      <c r="B2438" s="1" t="s">
        <v>2425</v>
      </c>
      <c r="C2438" t="str">
        <f>IFERROR(__xludf.DUMMYFUNCTION("GOOGLETRANSLATE(B2438, ""es"", ""en"")"),"Cheap Yeah, well not use it to close cardboard boxes and no big deal. Breaks ""solo"", without doing much force. Not hard enough. I bought similar items and similar prices that have been great.")</f>
        <v>Cheap Yeah, well not use it to close cardboard boxes and no big deal. Breaks "solo", without doing much force. Not hard enough. I bought similar items and similar prices that have been great.</v>
      </c>
    </row>
    <row r="2439">
      <c r="A2439" s="1">
        <v>4.0</v>
      </c>
      <c r="B2439" s="1" t="s">
        <v>2426</v>
      </c>
      <c r="C2439" t="str">
        <f>IFERROR(__xludf.DUMMYFUNCTION("GOOGLETRANSLATE(B2439, ""es"", ""en"")"),"COMFORT IS VERY COMFORTABLE TO WALK AND VERY FLEXIBLE, good buy,")</f>
        <v>COMFORT IS VERY COMFORTABLE TO WALK AND VERY FLEXIBLE, good buy,</v>
      </c>
    </row>
    <row r="2440">
      <c r="A2440" s="1">
        <v>4.0</v>
      </c>
      <c r="B2440" s="1" t="s">
        <v>2427</v>
      </c>
      <c r="C2440" t="str">
        <f>IFERROR(__xludf.DUMMYFUNCTION("GOOGLETRANSLATE(B2440, ""es"", ""en"")"),"very light, very comfortable lightweight material.")</f>
        <v>very light, very comfortable lightweight material.</v>
      </c>
    </row>
    <row r="2441">
      <c r="A2441" s="1">
        <v>4.0</v>
      </c>
      <c r="B2441" s="1" t="s">
        <v>2428</v>
      </c>
      <c r="C2441" t="str">
        <f>IFERROR(__xludf.DUMMYFUNCTION("GOOGLETRANSLATE(B2441, ""es"", ""en"")"),"A little small? Buy the watch because it is a classic and to use it when I'm running, it is a bit smaller / fine than imagined, although the measures mentioned in the characteristics, the have it in hand, things change a little, not it is very thick, more"&amp;" or less like a smartphone. That if 100% Original made in Japan, with instructions and warranty (the box is plastic)")</f>
        <v>A little small? Buy the watch because it is a classic and to use it when I'm running, it is a bit smaller / fine than imagined, although the measures mentioned in the characteristics, the have it in hand, things change a little, not it is very thick, more or less like a smartphone. That if 100% Original made in Japan, with instructions and warranty (the box is plastic)</v>
      </c>
    </row>
    <row r="2442">
      <c r="A2442" s="1">
        <v>4.0</v>
      </c>
      <c r="B2442" s="1" t="s">
        <v>2429</v>
      </c>
      <c r="C2442" t="str">
        <f>IFERROR(__xludf.DUMMYFUNCTION("GOOGLETRANSLATE(B2442, ""es"", ""en"")"),"Looks great, but it is not so much once since I've always been CASIO me look best in value, this would be my fourth brand watch (the rest I have given and still work) it is large, hands look very good, which seems to me a mistake screen is very small and "&amp;"barely visible, sometimes with how big can cover your hands are much vision, and something I think imcomprensible is ....... ... why the hell ...... !!! NO LIGHT !!! my previous and less expensive 3 had a very good way to read the display in low or no lig"&amp;"ht and this ........ can not seem silly but it is not, at the least that we move outdoors and often at night, I recommend reading the manual to understand their roles")</f>
        <v>Looks great, but it is not so much once since I've always been CASIO me look best in value, this would be my fourth brand watch (the rest I have given and still work) it is large, hands look very good, which seems to me a mistake screen is very small and barely visible, sometimes with how big can cover your hands are much vision, and something I think imcomprensible is ....... ... why the hell ...... !!! NO LIGHT !!! my previous and less expensive 3 had a very good way to read the display in low or no light and this ........ can not seem silly but it is not, at the least that we move outdoors and often at night, I recommend reading the manual to understand their roles</v>
      </c>
    </row>
    <row r="2443">
      <c r="A2443" s="1">
        <v>5.0</v>
      </c>
      <c r="B2443" s="1" t="s">
        <v>2430</v>
      </c>
      <c r="C2443" t="str">
        <f>IFERROR(__xludf.DUMMYFUNCTION("GOOGLETRANSLATE(B2443, ""es"", ""en"")"),"Very powerful!!!! Package delivered within the time limit, corresponds perfectly described by the seller and would like to highlight its power and value. Magnifica purchase.")</f>
        <v>Very powerful!!!! Package delivered within the time limit, corresponds perfectly described by the seller and would like to highlight its power and value. Magnifica purchase.</v>
      </c>
    </row>
    <row r="2444">
      <c r="A2444" s="1">
        <v>5.0</v>
      </c>
      <c r="B2444" s="1" t="s">
        <v>2431</v>
      </c>
      <c r="C2444" t="str">
        <f>IFERROR(__xludf.DUMMYFUNCTION("GOOGLETRANSLATE(B2444, ""es"", ""en"")"),"Expected, all right without surprises, arrived well and works perfectly")</f>
        <v>Expected, all right without surprises, arrived well and works perfectly</v>
      </c>
    </row>
    <row r="2445">
      <c r="A2445" s="1">
        <v>5.0</v>
      </c>
      <c r="B2445" s="1" t="s">
        <v>2432</v>
      </c>
      <c r="C2445" t="str">
        <f>IFERROR(__xludf.DUMMYFUNCTION("GOOGLETRANSLATE(B2445, ""es"", ""en"")"),"They cut very well and seem durable. Happy with purchase, would buy. Perhaps the price should be a little lower.")</f>
        <v>They cut very well and seem durable. Happy with purchase, would buy. Perhaps the price should be a little lower.</v>
      </c>
    </row>
    <row r="2446">
      <c r="A2446" s="1">
        <v>5.0</v>
      </c>
      <c r="B2446" s="1" t="s">
        <v>2433</v>
      </c>
      <c r="C2446" t="str">
        <f>IFERROR(__xludf.DUMMYFUNCTION("GOOGLETRANSLATE(B2446, ""es"", ""en"")"),"Warms the neck without resistance, but heated. Just received and tested. As it is shown in the picture. Supersoft. Heated very well, although it is true that no resistance in the neck, the cervical heated by proximity of the other, and at the temperature,"&amp;" the more heat. I love.")</f>
        <v>Warms the neck without resistance, but heated. Just received and tested. As it is shown in the picture. Supersoft. Heated very well, although it is true that no resistance in the neck, the cervical heated by proximity of the other, and at the temperature, the more heat. I love.</v>
      </c>
    </row>
    <row r="2447">
      <c r="A2447" s="1">
        <v>5.0</v>
      </c>
      <c r="B2447" s="1" t="s">
        <v>2434</v>
      </c>
      <c r="C2447" t="str">
        <f>IFERROR(__xludf.DUMMYFUNCTION("GOOGLETRANSLATE(B2447, ""es"", ""en"")"),"Tough, good, nice and cheap It has everything that you can ask a clock: analog needle seconds. digital display, alarm clock, stopwatch, dual time (supports two different, useful hours to travel to other time zones), water resistant ... I just had another "&amp;"watch. The only downside is that over time (many years) buttons begin to malfunction. And if you want to keep the seal must carry Casio to change the battery, put new tires and put in a special chamber. It is not expensive and if convenient.")</f>
        <v>Tough, good, nice and cheap It has everything that you can ask a clock: analog needle seconds. digital display, alarm clock, stopwatch, dual time (supports two different, useful hours to travel to other time zones), water resistant ... I just had another watch. The only downside is that over time (many years) buttons begin to malfunction. And if you want to keep the seal must carry Casio to change the battery, put new tires and put in a special chamber. It is not expensive and if convenient.</v>
      </c>
    </row>
    <row r="2448">
      <c r="A2448" s="1">
        <v>5.0</v>
      </c>
      <c r="B2448" s="1" t="s">
        <v>2435</v>
      </c>
      <c r="C2448" t="str">
        <f>IFERROR(__xludf.DUMMYFUNCTION("GOOGLETRANSLATE(B2448, ""es"", ""en"")"),"Sound spectacular. I bought it for the comments but despite all, the surprise was great. Sound great, of course, natural. I do not like materials, very hot ears, but it is supported by listening sound.")</f>
        <v>Sound spectacular. I bought it for the comments but despite all, the surprise was great. Sound great, of course, natural. I do not like materials, very hot ears, but it is supported by listening sound.</v>
      </c>
    </row>
    <row r="2449">
      <c r="A2449" s="1">
        <v>5.0</v>
      </c>
      <c r="B2449" s="1" t="s">
        <v>2436</v>
      </c>
      <c r="C2449" t="str">
        <f>IFERROR(__xludf.DUMMYFUNCTION("GOOGLETRANSLATE(B2449, ""es"", ""en"")"),"Best biberon perfect anti-colic")</f>
        <v>Best biberon perfect anti-colic</v>
      </c>
    </row>
    <row r="2450">
      <c r="A2450" s="1">
        <v>5.0</v>
      </c>
      <c r="B2450" s="1" t="s">
        <v>2437</v>
      </c>
      <c r="C2450" t="str">
        <f>IFERROR(__xludf.DUMMYFUNCTION("GOOGLETRANSLATE(B2450, ""es"", ""en"")"),"are very comfortable Asics have to carve smaller. But all right, I recommend it.")</f>
        <v>are very comfortable Asics have to carve smaller. But all right, I recommend it.</v>
      </c>
    </row>
    <row r="2451">
      <c r="A2451" s="1">
        <v>5.0</v>
      </c>
      <c r="B2451" s="1" t="s">
        <v>2438</v>
      </c>
      <c r="C2451" t="str">
        <f>IFERROR(__xludf.DUMMYFUNCTION("GOOGLETRANSLATE(B2451, ""es"", ""en"")"),"I came as I asked Very good shoes")</f>
        <v>I came as I asked Very good shoes</v>
      </c>
    </row>
    <row r="2452">
      <c r="A2452" s="1">
        <v>5.0</v>
      </c>
      <c r="B2452" s="1" t="s">
        <v>2439</v>
      </c>
      <c r="C2452" t="str">
        <f>IFERROR(__xludf.DUMMYFUNCTION("GOOGLETRANSLATE(B2452, ""es"", ""en"")"),"Skechers Skechers never disappoints use the brand for some time and I've used everything is comfortable and fits the size marking. By by putting a but these shoes ... maybe a little too high in the back.")</f>
        <v>Skechers Skechers never disappoints use the brand for some time and I've used everything is comfortable and fits the size marking. By by putting a but these shoes ... maybe a little too high in the back.</v>
      </c>
    </row>
    <row r="2453">
      <c r="A2453" s="1">
        <v>5.0</v>
      </c>
      <c r="B2453" s="1" t="s">
        <v>2440</v>
      </c>
      <c r="C2453" t="str">
        <f>IFERROR(__xludf.DUMMYFUNCTION("GOOGLETRANSLATE(B2453, ""es"", ""en"")"),"Perfect carving perfect, as we had tried in the store. I will not discover anything now NB, since it is the most comfortable shoe I've tried")</f>
        <v>Perfect carving perfect, as we had tried in the store. I will not discover anything now NB, since it is the most comfortable shoe I've tried</v>
      </c>
    </row>
    <row r="2454">
      <c r="A2454" s="1">
        <v>5.0</v>
      </c>
      <c r="B2454" s="1" t="s">
        <v>2441</v>
      </c>
      <c r="C2454" t="str">
        <f>IFERROR(__xludf.DUMMYFUNCTION("GOOGLETRANSLATE(B2454, ""es"", ""en"")"),"Everything OK! Perfect and very comfortable! I recommend getting less commonly used carving, I usually wear one 39 and have asked for a 38 2/3 heeding the comments I've read, and have successful!")</f>
        <v>Everything OK! Perfect and very comfortable! I recommend getting less commonly used carving, I usually wear one 39 and have asked for a 38 2/3 heeding the comments I've read, and have successful!</v>
      </c>
    </row>
    <row r="2455">
      <c r="A2455" s="1">
        <v>5.0</v>
      </c>
      <c r="B2455" s="1" t="s">
        <v>2442</v>
      </c>
      <c r="C2455" t="str">
        <f>IFERROR(__xludf.DUMMYFUNCTION("GOOGLETRANSLATE(B2455, ""es"", ""en"")"),"Excellent value for money is better than I expected. The materials are of good quality, no creaks or loose parts sound. Quite silent as to use it if there is a person sleeping. Weighs little, so much that a person can use it without getting tired. The bat"&amp;"tery lasts one week giving a daily use of about 15 min. I recommend using 3-Intensive head massage in twins.")</f>
        <v>Excellent value for money is better than I expected. The materials are of good quality, no creaks or loose parts sound. Quite silent as to use it if there is a person sleeping. Weighs little, so much that a person can use it without getting tired. The battery lasts one week giving a daily use of about 15 min. I recommend using 3-Intensive head massage in twins.</v>
      </c>
    </row>
    <row r="2456">
      <c r="A2456" s="1">
        <v>5.0</v>
      </c>
      <c r="B2456" s="1" t="s">
        <v>2443</v>
      </c>
      <c r="C2456" t="str">
        <f>IFERROR(__xludf.DUMMYFUNCTION("GOOGLETRANSLATE(B2456, ""es"", ""en"")"),"I love Marta! It's great that average numbers do I fit very well. The color is super successful, neutral without being the typical white.")</f>
        <v>I love Marta! It's great that average numbers do I fit very well. The color is super successful, neutral without being the typical white.</v>
      </c>
    </row>
    <row r="2457">
      <c r="A2457" s="1">
        <v>5.0</v>
      </c>
      <c r="B2457" s="1" t="s">
        <v>2444</v>
      </c>
      <c r="C2457" t="str">
        <f>IFERROR(__xludf.DUMMYFUNCTION("GOOGLETRANSLATE(B2457, ""es"", ""en"")"),"Very soft pillow comes with an elastic band to ajustártela the part of the body you want. Supersoft touch is very correct and regulations. mode heated hotter than cute.")</f>
        <v>Very soft pillow comes with an elastic band to ajustártela the part of the body you want. Supersoft touch is very correct and regulations. mode heated hotter than cute.</v>
      </c>
    </row>
    <row r="2458">
      <c r="A2458" s="1">
        <v>5.0</v>
      </c>
      <c r="B2458" s="1" t="s">
        <v>2445</v>
      </c>
      <c r="C2458" t="str">
        <f>IFERROR(__xludf.DUMMYFUNCTION("GOOGLETRANSLATE(B2458, ""es"", ""en"")"),"Cracking Powerful, clean and comfortable to use, nice, small. It has it all, if you enjoy fruit smoothies, oatmeal, milk, yogurt is a product ... 10.")</f>
        <v>Cracking Powerful, clean and comfortable to use, nice, small. It has it all, if you enjoy fruit smoothies, oatmeal, milk, yogurt is a product ... 10.</v>
      </c>
    </row>
    <row r="2459">
      <c r="A2459" s="1">
        <v>5.0</v>
      </c>
      <c r="B2459" s="1" t="s">
        <v>2446</v>
      </c>
      <c r="C2459" t="str">
        <f>IFERROR(__xludf.DUMMYFUNCTION("GOOGLETRANSLATE(B2459, ""es"", ""en"")"),"Good buy fulfills its function, we are happy. The material is quality so we will last a few years what we were looking for")</f>
        <v>Good buy fulfills its function, we are happy. The material is quality so we will last a few years what we were looking for</v>
      </c>
    </row>
    <row r="2460">
      <c r="A2460" s="1">
        <v>5.0</v>
      </c>
      <c r="B2460" s="1" t="s">
        <v>2447</v>
      </c>
      <c r="C2460" t="str">
        <f>IFERROR(__xludf.DUMMYFUNCTION("GOOGLETRANSLATE(B2460, ""es"", ""en"")"),"True Wireless very comfortable with good sound quality at a good price. I will screw up bt headphones were wired together and seeing these I opted for the price. I was surprised by the materials, how easy it is to synchronize (it contains instructions in "&amp;"Castilian) and smart buttons to mutate, picking up a call or change songs. Housing to save and load is not very big, you can take it anywhere, and headphones are held well within it via magnet. Once the first synchronization, simply out of the box and tur"&amp;"n on and you link to the smartphone alone, to extinguish the same, to keep them off automatically. Very surprised, I recommend it.")</f>
        <v>True Wireless very comfortable with good sound quality at a good price. I will screw up bt headphones were wired together and seeing these I opted for the price. I was surprised by the materials, how easy it is to synchronize (it contains instructions in Castilian) and smart buttons to mutate, picking up a call or change songs. Housing to save and load is not very big, you can take it anywhere, and headphones are held well within it via magnet. Once the first synchronization, simply out of the box and turn on and you link to the smartphone alone, to extinguish the same, to keep them off automatically. Very surprised, I recommend it.</v>
      </c>
    </row>
    <row r="2461">
      <c r="A2461" s="1">
        <v>5.0</v>
      </c>
      <c r="B2461" s="1" t="s">
        <v>2448</v>
      </c>
      <c r="C2461" t="str">
        <f>IFERROR(__xludf.DUMMYFUNCTION("GOOGLETRANSLATE(B2461, ""es"", ""en"")"),"Arguably the most popular is a high-end hard drive made specifically for use on NAS servers. Slightly more expensive than green and very compatible version, you've been using just over a month and have had no problems with it. Yes, I have within the NAS a"&amp;"nother disc of the same brand but low-end, and the server tells me that both are at the same temperature, so that from the low power consumption and less heat do not know what to think. In any case I bought for their efficiency and durability, and so is b"&amp;"eing / have expectations of it.")</f>
        <v>Arguably the most popular is a high-end hard drive made specifically for use on NAS servers. Slightly more expensive than green and very compatible version, you've been using just over a month and have had no problems with it. Yes, I have within the NAS another disc of the same brand but low-end, and the server tells me that both are at the same temperature, so that from the low power consumption and less heat do not know what to think. In any case I bought for their efficiency and durability, and so is being / have expectations of it.</v>
      </c>
    </row>
    <row r="2462">
      <c r="A2462" s="1">
        <v>2.0</v>
      </c>
      <c r="B2462" s="1" t="s">
        <v>2449</v>
      </c>
      <c r="C2462" t="str">
        <f>IFERROR(__xludf.DUMMYFUNCTION("GOOGLETRANSLATE(B2462, ""es"", ""en"")"),"I'm not convinced ... I just use it to mash or creamed vegetables, but always stays small pieces and is not as smooth cream.")</f>
        <v>I'm not convinced ... I just use it to mash or creamed vegetables, but always stays small pieces and is not as smooth cream.</v>
      </c>
    </row>
    <row r="2463">
      <c r="A2463" s="1">
        <v>3.0</v>
      </c>
      <c r="B2463" s="1" t="s">
        <v>2450</v>
      </c>
      <c r="C2463" t="str">
        <f>IFERROR(__xludf.DUMMYFUNCTION("GOOGLETRANSLATE(B2463, ""es"", ""en"")"),"Normalita mesh. It is a mesh that makes its function, but not too different with others you can buy much cheaper. The problem I see is that I have another another brand, which is very very comfortable with a lot more perspiration than this, is perhaps the"&amp;" best compression but what is very average comfortable. If it seems useful opinion, please Vote me.")</f>
        <v>Normalita mesh. It is a mesh that makes its function, but not too different with others you can buy much cheaper. The problem I see is that I have another another brand, which is very very comfortable with a lot more perspiration than this, is perhaps the best compression but what is very average comfortable. If it seems useful opinion, please Vote me.</v>
      </c>
    </row>
    <row r="2464">
      <c r="A2464" s="1">
        <v>3.0</v>
      </c>
      <c r="B2464" s="1" t="s">
        <v>2451</v>
      </c>
      <c r="C2464" t="str">
        <f>IFERROR(__xludf.DUMMYFUNCTION("GOOGLETRANSLATE(B2464, ""es"", ""en"")"),"Creak a nice but walking the shoe is very cute but every time you take a step, because the outer material, make an annoying noise. Once you put them several times already you pass. They are cold, though.")</f>
        <v>Creak a nice but walking the shoe is very cute but every time you take a step, because the outer material, make an annoying noise. Once you put them several times already you pass. They are cold, though.</v>
      </c>
    </row>
    <row r="2465">
      <c r="A2465" s="1">
        <v>1.0</v>
      </c>
      <c r="B2465" s="1" t="s">
        <v>2452</v>
      </c>
      <c r="C2465" t="str">
        <f>IFERROR(__xludf.DUMMYFUNCTION("GOOGLETRANSLATE(B2465, ""es"", ""en"")"),"The sound is not bona fide thin and metallic, but everything worked well to start, however, after a month, the sound began to dissolve, especially when I was walking. Today was the same and when I returned home, I used them with my laptop, with no respons"&amp;"e. I loaded the headphones, but once loaded completely, not was no sound! Why is the time to return the product is less than a month? (From July 25 to August 19) very disappointed, Richard Froud.")</f>
        <v>The sound is not bona fide thin and metallic, but everything worked well to start, however, after a month, the sound began to dissolve, especially when I was walking. Today was the same and when I returned home, I used them with my laptop, with no response. I loaded the headphones, but once loaded completely, not was no sound! Why is the time to return the product is less than a month? (From July 25 to August 19) very disappointed, Richard Froud.</v>
      </c>
    </row>
    <row r="2466">
      <c r="A2466" s="1">
        <v>4.0</v>
      </c>
      <c r="B2466" s="1" t="s">
        <v>2453</v>
      </c>
      <c r="C2466" t="str">
        <f>IFERROR(__xludf.DUMMYFUNCTION("GOOGLETRANSLATE(B2466, ""es"", ""en"")"),"Krizantha I arrive at the estimated time, the color is indicating the photo and is ideal for sports, the only thing is that shrinking after several washings")</f>
        <v>Krizantha I arrive at the estimated time, the color is indicating the photo and is ideal for sports, the only thing is that shrinking after several washings</v>
      </c>
    </row>
    <row r="2467">
      <c r="A2467" s="1">
        <v>4.0</v>
      </c>
      <c r="B2467" s="1" t="s">
        <v>2454</v>
      </c>
      <c r="C2467" t="str">
        <f>IFERROR(__xludf.DUMMYFUNCTION("GOOGLETRANSLATE(B2467, ""es"", ""en"")"),"Functional and good buy !!! Good blender: ice pick, smoothies on your point is very well sauces, creams, fruits, vegetables ... It was a gift for my mother is delighted.")</f>
        <v>Functional and good buy !!! Good blender: ice pick, smoothies on your point is very well sauces, creams, fruits, vegetables ... It was a gift for my mother is delighted.</v>
      </c>
    </row>
    <row r="2468">
      <c r="A2468" s="1">
        <v>4.0</v>
      </c>
      <c r="B2468" s="1" t="s">
        <v>2455</v>
      </c>
      <c r="C2468" t="str">
        <f>IFERROR(__xludf.DUMMYFUNCTION("GOOGLETRANSLATE(B2468, ""es"", ""en"")"),"Happy with purchase Very nice, three bright colors, however it is very small, I would have liked a slightly larger but otherwise I am pleased with the purchase, is a gift, I hope you like it")</f>
        <v>Happy with purchase Very nice, three bright colors, however it is very small, I would have liked a slightly larger but otherwise I am pleased with the purchase, is a gift, I hope you like it</v>
      </c>
    </row>
    <row r="2469">
      <c r="A2469" s="1">
        <v>4.0</v>
      </c>
      <c r="B2469" s="1" t="s">
        <v>2456</v>
      </c>
      <c r="C2469" t="str">
        <f>IFERROR(__xludf.DUMMYFUNCTION("GOOGLETRANSLATE(B2469, ""es"", ""en"")"),"Low quality materials The materials are of low quality. A less than I expected Adidas. I do not think that will last long.")</f>
        <v>Low quality materials The materials are of low quality. A less than I expected Adidas. I do not think that will last long.</v>
      </c>
    </row>
    <row r="2470">
      <c r="A2470" s="1">
        <v>4.0</v>
      </c>
      <c r="B2470" s="1" t="s">
        <v>2457</v>
      </c>
      <c r="C2470" t="str">
        <f>IFERROR(__xludf.DUMMYFUNCTION("GOOGLETRANSLATE(B2470, ""es"", ""en"")"),"For money, recommended product. Good, regarding the shipment, I received earlier than expected. The product is as expected. Comes in a zippered pouch right size to carry and hard material so they do not crush, sound better than I expected, no noise from t"&amp;"he outside and are well suited also bring several pads of different sizes. I have given 4 stars for that even I have not used a lot and I can not give an opinion durability and long-term operation, if not give them 5 for the price and quality a recommenda"&amp;"ble product.")</f>
        <v>For money, recommended product. Good, regarding the shipment, I received earlier than expected. The product is as expected. Comes in a zippered pouch right size to carry and hard material so they do not crush, sound better than I expected, no noise from the outside and are well suited also bring several pads of different sizes. I have given 4 stars for that even I have not used a lot and I can not give an opinion durability and long-term operation, if not give them 5 for the price and quality a recommendable product.</v>
      </c>
    </row>
    <row r="2471">
      <c r="A2471" s="1">
        <v>5.0</v>
      </c>
      <c r="B2471" s="1" t="s">
        <v>2458</v>
      </c>
      <c r="C2471" t="str">
        <f>IFERROR(__xludf.DUMMYFUNCTION("GOOGLETRANSLATE(B2471, ""es"", ""en"")"),"Beautiful and excellent quality Casio LINEAGE family begin to notice the quality materials. Sapphire crystal, polished steel and very good reading of the needles, which are also visible in the dark for a long time. In addition, the fact that it is powered"&amp;" by the sun avoids have to be open virtually over its lifetime, which makes it watertight and prevents spoilage. Comfortable and functional elgante (5 alarms, stopwatch, countdown, radio synchronization ...). You can not ask for more. As downside (for me "&amp;"it is not) you could say that light is a little weak, but from my point of view is not necessary to see the time in the dark.")</f>
        <v>Beautiful and excellent quality Casio LINEAGE family begin to notice the quality materials. Sapphire crystal, polished steel and very good reading of the needles, which are also visible in the dark for a long time. In addition, the fact that it is powered by the sun avoids have to be open virtually over its lifetime, which makes it watertight and prevents spoilage. Comfortable and functional elgante (5 alarms, stopwatch, countdown, radio synchronization ...). You can not ask for more. As downside (for me it is not) you could say that light is a little weak, but from my point of view is not necessary to see the time in the dark.</v>
      </c>
    </row>
    <row r="2472">
      <c r="A2472" s="1">
        <v>5.0</v>
      </c>
      <c r="B2472" s="1" t="s">
        <v>2459</v>
      </c>
      <c r="C2472" t="str">
        <f>IFERROR(__xludf.DUMMYFUNCTION("GOOGLETRANSLATE(B2472, ""es"", ""en"")"),"Very comfortable you want to temporarily take desdechufar some I use it to temporarily turn off the stove without unplugging and being able to use other outlets such as for the presenter")</f>
        <v>Very comfortable you want to temporarily take desdechufar some I use it to temporarily turn off the stove without unplugging and being able to use other outlets such as for the presenter</v>
      </c>
    </row>
    <row r="2473">
      <c r="A2473" s="1">
        <v>5.0</v>
      </c>
      <c r="B2473" s="1" t="s">
        <v>2460</v>
      </c>
      <c r="C2473" t="str">
        <f>IFERROR(__xludf.DUMMYFUNCTION("GOOGLETRANSLATE(B2473, ""es"", ""en"")"),"perfect organization The product has a high adhesion, so it is fantastic without worrying that may detach from time to time. Highly recommended.")</f>
        <v>perfect organization The product has a high adhesion, so it is fantastic without worrying that may detach from time to time. Highly recommended.</v>
      </c>
    </row>
    <row r="2474">
      <c r="A2474" s="1">
        <v>5.0</v>
      </c>
      <c r="B2474" s="1" t="s">
        <v>2461</v>
      </c>
      <c r="C2474" t="str">
        <f>IFERROR(__xludf.DUMMYFUNCTION("GOOGLETRANSLATE(B2474, ""es"", ""en"")"),"Very comfortable. Comfortable, solid and good material.")</f>
        <v>Very comfortable. Comfortable, solid and good material.</v>
      </c>
    </row>
    <row r="2475">
      <c r="A2475" s="1">
        <v>5.0</v>
      </c>
      <c r="B2475" s="1" t="s">
        <v>2462</v>
      </c>
      <c r="C2475" t="str">
        <f>IFERROR(__xludf.DUMMYFUNCTION("GOOGLETRANSLATE(B2475, ""es"", ""en"")"),"Good Value Everyone should have this pack at home. They are wonderful. Worth spending a little more and have these rules.")</f>
        <v>Good Value Everyone should have this pack at home. They are wonderful. Worth spending a little more and have these rules.</v>
      </c>
    </row>
    <row r="2476">
      <c r="A2476" s="1">
        <v>5.0</v>
      </c>
      <c r="B2476" s="1" t="s">
        <v>2463</v>
      </c>
      <c r="C2476" t="str">
        <f>IFERROR(__xludf.DUMMYFUNCTION("GOOGLETRANSLATE(B2476, ""es"", ""en"")"),"Free Ink For me the most important has been servicing ink HP ink that gives me free if you do not print more than 15 pages a month. What I do is print or scan from time to time by need (tags Amazon, copies of the ID card, etc ...), and if you need to prin"&amp;"t 200 pages, go to a local printer. At the end I have a printer at home for my emergency things a free ink.")</f>
        <v>Free Ink For me the most important has been servicing ink HP ink that gives me free if you do not print more than 15 pages a month. What I do is print or scan from time to time by need (tags Amazon, copies of the ID card, etc ...), and if you need to print 200 pages, go to a local printer. At the end I have a printer at home for my emergency things a free ink.</v>
      </c>
    </row>
    <row r="2477">
      <c r="A2477" s="1">
        <v>5.0</v>
      </c>
      <c r="B2477" s="1" t="s">
        <v>2464</v>
      </c>
      <c r="C2477" t="str">
        <f>IFERROR(__xludf.DUMMYFUNCTION("GOOGLETRANSLATE(B2477, ""es"", ""en"")"),"It's beautiful and comfortable beautiful and very comfortable, my boy loved it. Very good quality is giving much use for work")</f>
        <v>It's beautiful and comfortable beautiful and very comfortable, my boy loved it. Very good quality is giving much use for work</v>
      </c>
    </row>
    <row r="2478">
      <c r="A2478" s="1">
        <v>5.0</v>
      </c>
      <c r="B2478" s="1" t="s">
        <v>2465</v>
      </c>
      <c r="C2478" t="str">
        <f>IFERROR(__xludf.DUMMYFUNCTION("GOOGLETRANSLATE(B2478, ""es"", ""en"")"),"Much better than I expected Well, I've found it much better than I expected, with good finishes and it works great.")</f>
        <v>Much better than I expected Well, I've found it much better than I expected, with good finishes and it works great.</v>
      </c>
    </row>
    <row r="2479">
      <c r="A2479" s="1">
        <v>5.0</v>
      </c>
      <c r="B2479" s="1" t="s">
        <v>2466</v>
      </c>
      <c r="C2479" t="str">
        <f>IFERROR(__xludf.DUMMYFUNCTION("GOOGLETRANSLATE(B2479, ""es"", ""en"")"),"I love !! I love !!! They are lightweight, very nice and comfortable")</f>
        <v>I love !! I love !!! They are lightweight, very nice and comfortable</v>
      </c>
    </row>
    <row r="2480">
      <c r="A2480" s="1">
        <v>5.0</v>
      </c>
      <c r="B2480" s="1" t="s">
        <v>2467</v>
      </c>
      <c r="C2480" t="str">
        <f>IFERROR(__xludf.DUMMYFUNCTION("GOOGLETRANSLATE(B2480, ""es"", ""en"")"),"Super I liked")</f>
        <v>Super I liked</v>
      </c>
    </row>
    <row r="2481">
      <c r="A2481" s="1">
        <v>5.0</v>
      </c>
      <c r="B2481" s="1" t="s">
        <v>2468</v>
      </c>
      <c r="C2481" t="str">
        <f>IFERROR(__xludf.DUMMYFUNCTION("GOOGLETRANSLATE(B2481, ""es"", ""en"")"),"right perfect delivery.")</f>
        <v>right perfect delivery.</v>
      </c>
    </row>
    <row r="2482">
      <c r="A2482" s="1">
        <v>5.0</v>
      </c>
      <c r="B2482" s="1" t="s">
        <v>2469</v>
      </c>
      <c r="C2482" t="str">
        <f>IFERROR(__xludf.DUMMYFUNCTION("GOOGLETRANSLATE(B2482, ""es"", ""en"")"),"Very good pack good pack of socks are fine for summer and variety comes to you very well for different times. I have used them to go out and play paddle and work well. Time will decide the duration!")</f>
        <v>Very good pack good pack of socks are fine for summer and variety comes to you very well for different times. I have used them to go out and play paddle and work well. Time will decide the duration!</v>
      </c>
    </row>
    <row r="2483">
      <c r="A2483" s="1">
        <v>5.0</v>
      </c>
      <c r="B2483" s="1" t="s">
        <v>2470</v>
      </c>
      <c r="C2483" t="str">
        <f>IFERROR(__xludf.DUMMYFUNCTION("GOOGLETRANSLATE(B2483, ""es"", ""en"")"),"Very comfortable and effective anti-colic Bottle effective. Do not spill valve and expels air either inside. I have several of this brand and others Dr Brown and truly these Avent I like more because they are more comfortable and less leakage of milk.")</f>
        <v>Very comfortable and effective anti-colic Bottle effective. Do not spill valve and expels air either inside. I have several of this brand and others Dr Brown and truly these Avent I like more because they are more comfortable and less leakage of milk.</v>
      </c>
    </row>
    <row r="2484">
      <c r="A2484" s="1">
        <v>5.0</v>
      </c>
      <c r="B2484" s="1" t="s">
        <v>2471</v>
      </c>
      <c r="C2484" t="str">
        <f>IFERROR(__xludf.DUMMYFUNCTION("GOOGLETRANSLATE(B2484, ""es"", ""en"")"),"Perfect Perfect, good looks perfect sphere time. So far no failure")</f>
        <v>Perfect Perfect, good looks perfect sphere time. So far no failure</v>
      </c>
    </row>
    <row r="2485">
      <c r="A2485" s="1">
        <v>5.0</v>
      </c>
      <c r="B2485" s="1" t="s">
        <v>2472</v>
      </c>
      <c r="C2485" t="str">
        <f>IFERROR(__xludf.DUMMYFUNCTION("GOOGLETRANSLATE(B2485, ""es"", ""en"")"),"Good smell. It smells good")</f>
        <v>Good smell. It smells good</v>
      </c>
    </row>
    <row r="2486">
      <c r="A2486" s="1">
        <v>5.0</v>
      </c>
      <c r="B2486" s="1" t="s">
        <v>2473</v>
      </c>
      <c r="C2486" t="str">
        <f>IFERROR(__xludf.DUMMYFUNCTION("GOOGLETRANSLATE(B2486, ""es"", ""en"")"),"Comodo Very comfortable, in perfect condition very nice color, as described by")</f>
        <v>Comodo Very comfortable, in perfect condition very nice color, as described by</v>
      </c>
    </row>
    <row r="2487">
      <c r="A2487" s="1">
        <v>5.0</v>
      </c>
      <c r="B2487" s="1" t="s">
        <v>2474</v>
      </c>
      <c r="C2487" t="str">
        <f>IFERROR(__xludf.DUMMYFUNCTION("GOOGLETRANSLATE(B2487, ""es"", ""en"")"),"I loved arrived before the delivery date. It's just what I needed to do my set Up to study and record vocals and guitar. Controls levels of EQ are very convenient and power meter effects the entry for that purpose I think a very important addition since I"&amp;" use my micro BR Boss to put reverb and other effects deciding the level which affects each track. Just delighted with all the possibilities that it has opened. Also you can use the input tape and effect return channels for use for two more in the case of"&amp;" need include more instruments. More than enough for what I'll do with it.")</f>
        <v>I loved arrived before the delivery date. It's just what I needed to do my set Up to study and record vocals and guitar. Controls levels of EQ are very convenient and power meter effects the entry for that purpose I think a very important addition since I use my micro BR Boss to put reverb and other effects deciding the level which affects each track. Just delighted with all the possibilities that it has opened. Also you can use the input tape and effect return channels for use for two more in the case of need include more instruments. More than enough for what I'll do with it.</v>
      </c>
    </row>
    <row r="2488">
      <c r="A2488" s="1">
        <v>5.0</v>
      </c>
      <c r="B2488" s="1" t="s">
        <v>2475</v>
      </c>
      <c r="C2488" t="str">
        <f>IFERROR(__xludf.DUMMYFUNCTION("GOOGLETRANSLATE(B2488, ""es"", ""en"")"),"It works perfect Large capacity and proper functioning")</f>
        <v>It works perfect Large capacity and proper functioning</v>
      </c>
    </row>
    <row r="2489">
      <c r="A2489" s="1">
        <v>5.0</v>
      </c>
      <c r="B2489" s="1" t="s">
        <v>2476</v>
      </c>
      <c r="C2489" t="str">
        <f>IFERROR(__xludf.DUMMYFUNCTION("GOOGLETRANSLATE(B2489, ""es"", ""en"")"),"Perfect for sports pants I look great. Sizes are quite similar and elastic leaves tight pants. It has details on fosforito yellow that comes in handy when you jog and see you. Even if there are some tight pants doing stretches for the calf it has elastic "&amp;"strips, which is good because although estores will not have much problem it will split or slit pants. It also has pockets and one zippered back with perfect store keys, etc. when you jog. For the price it is pretty good")</f>
        <v>Perfect for sports pants I look great. Sizes are quite similar and elastic leaves tight pants. It has details on fosforito yellow that comes in handy when you jog and see you. Even if there are some tight pants doing stretches for the calf it has elastic strips, which is good because although estores will not have much problem it will split or slit pants. It also has pockets and one zippered back with perfect store keys, etc. when you jog. For the price it is pretty good</v>
      </c>
    </row>
    <row r="2490">
      <c r="A2490" s="1">
        <v>2.0</v>
      </c>
      <c r="B2490" s="1" t="s">
        <v>2477</v>
      </c>
      <c r="C2490" t="str">
        <f>IFERROR(__xludf.DUMMYFUNCTION("GOOGLETRANSLATE(B2490, ""es"", ""en"")"),"Beatriz came without handle ydesde Amazon restocked me another also came without a handle, and I do not, it is clear that this bucket comes without the handle.")</f>
        <v>Beatriz came without handle ydesde Amazon restocked me another also came without a handle, and I do not, it is clear that this bucket comes without the handle.</v>
      </c>
    </row>
    <row r="2491">
      <c r="A2491" s="1">
        <v>3.0</v>
      </c>
      <c r="B2491" s="1" t="s">
        <v>2478</v>
      </c>
      <c r="C2491" t="str">
        <f>IFERROR(__xludf.DUMMYFUNCTION("GOOGLETRANSLATE(B2491, ""es"", ""en"")"),"Bonita is the announcement, comfortable and beautiful it says")</f>
        <v>Bonita is the announcement, comfortable and beautiful it says</v>
      </c>
    </row>
    <row r="2492">
      <c r="A2492" s="1">
        <v>1.0</v>
      </c>
      <c r="B2492" s="1" t="s">
        <v>2479</v>
      </c>
      <c r="C2492" t="str">
        <f>IFERROR(__xludf.DUMMYFUNCTION("GOOGLETRANSLATE(B2492, ""es"", ""en"")"),"Too little more than one size smaller.")</f>
        <v>Too little more than one size smaller.</v>
      </c>
    </row>
    <row r="2493">
      <c r="A2493" s="1">
        <v>1.0</v>
      </c>
      <c r="B2493" s="1" t="s">
        <v>2480</v>
      </c>
      <c r="C2493" t="str">
        <f>IFERROR(__xludf.DUMMYFUNCTION("GOOGLETRANSLATE(B2493, ""es"", ""en"")"),"HAVE SENT ME WHAT I HAVE PURCHASED HAVE SENT ME THE COLOR BLACK. I've contacted the seller and even send picture (black, calaro) and have not received a response. By the way the black ones have red zippers. I have stayed with her to not get in trouble ret"&amp;"urns. I imagine that buying online has these risks ....")</f>
        <v>HAVE SENT ME WHAT I HAVE PURCHASED HAVE SENT ME THE COLOR BLACK. I've contacted the seller and even send picture (black, calaro) and have not received a response. By the way the black ones have red zippers. I have stayed with her to not get in trouble returns. I imagine that buying online has these risks ....</v>
      </c>
    </row>
    <row r="2494">
      <c r="A2494" s="1">
        <v>1.0</v>
      </c>
      <c r="B2494" s="1" t="s">
        <v>2481</v>
      </c>
      <c r="C2494" t="str">
        <f>IFERROR(__xludf.DUMMYFUNCTION("GOOGLETRANSLATE(B2494, ""es"", ""en"")"),"Penoso not work !!! It worked the first two days, but as they say other opinions, two days does not recognize any device.")</f>
        <v>Penoso not work !!! It worked the first two days, but as they say other opinions, two days does not recognize any device.</v>
      </c>
    </row>
    <row r="2495">
      <c r="A2495" s="1">
        <v>4.0</v>
      </c>
      <c r="B2495" s="1" t="s">
        <v>2482</v>
      </c>
      <c r="C2495" t="str">
        <f>IFERROR(__xludf.DUMMYFUNCTION("GOOGLETRANSLATE(B2495, ""es"", ""en"")"),"opinion after a few days of use have to say have good audio quality, but sometime not well synchronized left atrial")</f>
        <v>opinion after a few days of use have to say have good audio quality, but sometime not well synchronized left atrial</v>
      </c>
    </row>
    <row r="2496">
      <c r="A2496" s="1">
        <v>4.0</v>
      </c>
      <c r="B2496" s="1" t="s">
        <v>2483</v>
      </c>
      <c r="C2496" t="str">
        <f>IFERROR(__xludf.DUMMYFUNCTION("GOOGLETRANSLATE(B2496, ""es"", ""en"")"),"For great summer there are very nice, I liked a lot, although the wire is a bit thin, it should be stronger.")</f>
        <v>For great summer there are very nice, I liked a lot, although the wire is a bit thin, it should be stronger.</v>
      </c>
    </row>
    <row r="2497">
      <c r="A2497" s="1">
        <v>4.0</v>
      </c>
      <c r="B2497" s="1" t="s">
        <v>2484</v>
      </c>
      <c r="C2497" t="str">
        <f>IFERROR(__xludf.DUMMYFUNCTION("GOOGLETRANSLATE(B2497, ""es"", ""en"")"),"I love. I encanta.Es as expected for the girl. Well, we all know that the Casio brand comes out pretty well. / Value I recommend it!")</f>
        <v>I love. I encanta.Es as expected for the girl. Well, we all know that the Casio brand comes out pretty well. / Value I recommend it!</v>
      </c>
    </row>
    <row r="2498">
      <c r="A2498" s="1">
        <v>4.0</v>
      </c>
      <c r="B2498" s="1" t="s">
        <v>2485</v>
      </c>
      <c r="C2498" t="str">
        <f>IFERROR(__xludf.DUMMYFUNCTION("GOOGLETRANSLATE(B2498, ""es"", ""en"")"),"It is resistant has a good size")</f>
        <v>It is resistant has a good size</v>
      </c>
    </row>
    <row r="2499">
      <c r="A2499" s="1">
        <v>4.0</v>
      </c>
      <c r="B2499" s="1" t="s">
        <v>2486</v>
      </c>
      <c r="C2499" t="str">
        <f>IFERROR(__xludf.DUMMYFUNCTION("GOOGLETRANSLATE(B2499, ""es"", ""en"")"),"ok perfect All right, fine carving. and brings tie shoelaces and rope. They are great and are very comfortable")</f>
        <v>ok perfect All right, fine carving. and brings tie shoelaces and rope. They are great and are very comfortable</v>
      </c>
    </row>
    <row r="2500">
      <c r="A2500" s="1">
        <v>5.0</v>
      </c>
      <c r="B2500" s="1" t="s">
        <v>2487</v>
      </c>
      <c r="C2500" t="str">
        <f>IFERROR(__xludf.DUMMYFUNCTION("GOOGLETRANSLATE(B2500, ""es"", ""en"")"),"A great our baby loves. Unlike other teats, is it like a nipple and although mame you can keep it in your mouth. Flow marks the baby, because if not suck and does not drip force. The system of silicone bag is very good, and very easy to clean. We have thi"&amp;"s and two teats Calma, we vary. Both are great.")</f>
        <v>A great our baby loves. Unlike other teats, is it like a nipple and although mame you can keep it in your mouth. Flow marks the baby, because if not suck and does not drip force. The system of silicone bag is very good, and very easy to clean. We have this and two teats Calma, we vary. Both are great.</v>
      </c>
    </row>
    <row r="2501">
      <c r="A2501" s="1">
        <v>5.0</v>
      </c>
      <c r="B2501" s="1" t="s">
        <v>2488</v>
      </c>
      <c r="C2501" t="str">
        <f>IFERROR(__xludf.DUMMYFUNCTION("GOOGLETRANSLATE(B2501, ""es"", ""en"")"),"FANDARE and backpacks the best option I had a mishap with the backpack but it was sorted very professionally and I must say it is a wise purchase 100%. If you importancua give to humane treatment and to guarantee FANDARE this backpack is the best choice.")</f>
        <v>FANDARE and backpacks the best option I had a mishap with the backpack but it was sorted very professionally and I must say it is a wise purchase 100%. If you importancua give to humane treatment and to guarantee FANDARE this backpack is the best choice.</v>
      </c>
    </row>
    <row r="2502">
      <c r="A2502" s="1">
        <v>5.0</v>
      </c>
      <c r="B2502" s="1" t="s">
        <v>2489</v>
      </c>
      <c r="C2502" t="str">
        <f>IFERROR(__xludf.DUMMYFUNCTION("GOOGLETRANSLATE(B2502, ""es"", ""en"")"),"Great size perfect and the price is very good!")</f>
        <v>Great size perfect and the price is very good!</v>
      </c>
    </row>
    <row r="2503">
      <c r="A2503" s="1">
        <v>5.0</v>
      </c>
      <c r="B2503" s="1" t="s">
        <v>2490</v>
      </c>
      <c r="C2503" t="str">
        <f>IFERROR(__xludf.DUMMYFUNCTION("GOOGLETRANSLATE(B2503, ""es"", ""en"")"),"Perfect speed and quality item and fast shipping. Price high for off season.")</f>
        <v>Perfect speed and quality item and fast shipping. Price high for off season.</v>
      </c>
    </row>
    <row r="2504">
      <c r="A2504" s="1">
        <v>5.0</v>
      </c>
      <c r="B2504" s="1" t="s">
        <v>2491</v>
      </c>
      <c r="C2504" t="str">
        <f>IFERROR(__xludf.DUMMYFUNCTION("GOOGLETRANSLATE(B2504, ""es"", ""en"")"),"Well I love !! Although sizing small, that if otherwise phenomenal.")</f>
        <v>Well I love !! Although sizing small, that if otherwise phenomenal.</v>
      </c>
    </row>
    <row r="2505">
      <c r="A2505" s="1">
        <v>5.0</v>
      </c>
      <c r="B2505" s="1" t="s">
        <v>2492</v>
      </c>
      <c r="C2505" t="str">
        <f>IFERROR(__xludf.DUMMYFUNCTION("GOOGLETRANSLATE(B2505, ""es"", ""en"")"),"One last Luismiebg shoes are very comfortable and hard. Is the third pair of the same that spending and are great.")</f>
        <v>One last Luismiebg shoes are very comfortable and hard. Is the third pair of the same that spending and are great.</v>
      </c>
    </row>
    <row r="2506">
      <c r="A2506" s="1">
        <v>5.0</v>
      </c>
      <c r="B2506" s="1" t="s">
        <v>2493</v>
      </c>
      <c r="C2506" t="str">
        <f>IFERROR(__xludf.DUMMYFUNCTION("GOOGLETRANSLATE(B2506, ""es"", ""en"")"),"It is perfect Very small, it is what I loved looking")</f>
        <v>It is perfect Very small, it is what I loved looking</v>
      </c>
    </row>
    <row r="2507">
      <c r="A2507" s="1">
        <v>5.0</v>
      </c>
      <c r="B2507" s="1" t="s">
        <v>2494</v>
      </c>
      <c r="C2507" t="str">
        <f>IFERROR(__xludf.DUMMYFUNCTION("GOOGLETRANSLATE(B2507, ""es"", ""en"")"),"Very good Recommended 100% original have been a gift and I was right. Good materials and very comfortable. The fabric is 100% white strip slightly to off-white.")</f>
        <v>Very good Recommended 100% original have been a gift and I was right. Good materials and very comfortable. The fabric is 100% white strip slightly to off-white.</v>
      </c>
    </row>
    <row r="2508">
      <c r="A2508" s="1">
        <v>5.0</v>
      </c>
      <c r="B2508" s="1" t="s">
        <v>2495</v>
      </c>
      <c r="C2508" t="str">
        <f>IFERROR(__xludf.DUMMYFUNCTION("GOOGLETRANSLATE(B2508, ""es"", ""en"")"),"This is excellent because you bought the 4th .. To give 😉 And logically have gone fabulous acquire it working!")</f>
        <v>This is excellent because you bought the 4th .. To give 😉 And logically have gone fabulous acquire it working!</v>
      </c>
    </row>
    <row r="2509">
      <c r="A2509" s="1">
        <v>5.0</v>
      </c>
      <c r="B2509" s="1" t="s">
        <v>2496</v>
      </c>
      <c r="C2509" t="str">
        <f>IFERROR(__xludf.DUMMYFUNCTION("GOOGLETRANSLATE(B2509, ""es"", ""en"")"),"Necklace necklace was a gift and the person who has received has been delighted. Chain is finite and size of the medallion is fine. Good product.")</f>
        <v>Necklace necklace was a gift and the person who has received has been delighted. Chain is finite and size of the medallion is fine. Good product.</v>
      </c>
    </row>
    <row r="2510">
      <c r="A2510" s="1">
        <v>5.0</v>
      </c>
      <c r="B2510" s="1" t="s">
        <v>2497</v>
      </c>
      <c r="C2510" t="str">
        <f>IFERROR(__xludf.DUMMYFUNCTION("GOOGLETRANSLATE(B2510, ""es"", ""en"")"),"I love good product! very strong, it is a very good product and comfortable, I recommend it without a doubt !. I bought a couple 4 months ago and are still as new.")</f>
        <v>I love good product! very strong, it is a very good product and comfortable, I recommend it without a doubt !. I bought a couple 4 months ago and are still as new.</v>
      </c>
    </row>
    <row r="2511">
      <c r="A2511" s="1">
        <v>5.0</v>
      </c>
      <c r="B2511" s="1" t="s">
        <v>2498</v>
      </c>
      <c r="C2511" t="str">
        <f>IFERROR(__xludf.DUMMYFUNCTION("GOOGLETRANSLATE(B2511, ""es"", ""en"")"),"As nice looks. Is very pretty. Hopefully that's not ugly wet it gets, looks good quality")</f>
        <v>As nice looks. Is very pretty. Hopefully that's not ugly wet it gets, looks good quality</v>
      </c>
    </row>
    <row r="2512">
      <c r="A2512" s="1">
        <v>5.0</v>
      </c>
      <c r="B2512" s="1" t="s">
        <v>2499</v>
      </c>
      <c r="C2512" t="str">
        <f>IFERROR(__xludf.DUMMYFUNCTION("GOOGLETRANSLATE(B2512, ""es"", ""en"")"),"Toilet brush and holder. Ecobilla supported. The silicone brush is best to clean dirt. The support is plastic. The brush can be removed. It weighs nothing and can easily linpiar.")</f>
        <v>Toilet brush and holder. Ecobilla supported. The silicone brush is best to clean dirt. The support is plastic. The brush can be removed. It weighs nothing and can easily linpiar.</v>
      </c>
    </row>
    <row r="2513">
      <c r="A2513" s="1">
        <v>5.0</v>
      </c>
      <c r="B2513" s="1" t="s">
        <v>2500</v>
      </c>
      <c r="C2513" t="str">
        <f>IFERROR(__xludf.DUMMYFUNCTION("GOOGLETRANSLATE(B2513, ""es"", ""en"")"),"Great quality / price for a headset and took several years using these headphones, both home to go jogging. I have bought several since at the end, with the cane I give them, just breaking down. I have bought these for a family, which already had about th"&amp;"e same for some time. The quality of the sound, without being a 10, it's pretty good and normal activities, I do not think it necessary to spend more.")</f>
        <v>Great quality / price for a headset and took several years using these headphones, both home to go jogging. I have bought several since at the end, with the cane I give them, just breaking down. I have bought these for a family, which already had about the same for some time. The quality of the sound, without being a 10, it's pretty good and normal activities, I do not think it necessary to spend more.</v>
      </c>
    </row>
    <row r="2514">
      <c r="A2514" s="1">
        <v>5.0</v>
      </c>
      <c r="B2514" s="1" t="s">
        <v>2501</v>
      </c>
      <c r="C2514" t="str">
        <f>IFERROR(__xludf.DUMMYFUNCTION("GOOGLETRANSLATE(B2514, ""es"", ""en"")"),"Good size and very comfortable I have received the item and is fine. Very practical. A medium sized but capable and comfortable pockets.")</f>
        <v>Good size and very comfortable I have received the item and is fine. Very practical. A medium sized but capable and comfortable pockets.</v>
      </c>
    </row>
    <row r="2515">
      <c r="A2515" s="1">
        <v>5.0</v>
      </c>
      <c r="B2515" s="1" t="s">
        <v>2502</v>
      </c>
      <c r="C2515" t="str">
        <f>IFERROR(__xludf.DUMMYFUNCTION("GOOGLETRANSLATE(B2515, ""es"", ""en"")"),"Elegant and fine Surprised and happy. ideal, slim and stylish size. I bought it to give to my mother and is very happy. Good size and light weight. Good finish and btillante. Very happy")</f>
        <v>Elegant and fine Surprised and happy. ideal, slim and stylish size. I bought it to give to my mother and is very happy. Good size and light weight. Good finish and btillante. Very happy</v>
      </c>
    </row>
    <row r="2516">
      <c r="A2516" s="1">
        <v>5.0</v>
      </c>
      <c r="B2516" s="1" t="s">
        <v>2503</v>
      </c>
      <c r="C2516" t="str">
        <f>IFERROR(__xludf.DUMMYFUNCTION("GOOGLETRANSLATE(B2516, ""es"", ""en"")"),"Perfect jewel wonderful and very beautiful.")</f>
        <v>Perfect jewel wonderful and very beautiful.</v>
      </c>
    </row>
    <row r="2517">
      <c r="A2517" s="1">
        <v>5.0</v>
      </c>
      <c r="B2517" s="1" t="s">
        <v>2504</v>
      </c>
      <c r="C2517" t="str">
        <f>IFERROR(__xludf.DUMMYFUNCTION("GOOGLETRANSLATE(B2517, ""es"", ""en"")"),"Perfect for a home NAS. I recently bought a pair of discs together with 4TB Synology DS216j NAS, here on Amazon, and I am delighted with its performance. I have configured in RAID1 and work perfectly. Fast, silent and Synology (do not know other NAS) have"&amp;" an agreement to further check the status of IronWolf Seagate drives with built in Synology own tools. I basically use to store information, especially as a Backup. I would definitely recommend.")</f>
        <v>Perfect for a home NAS. I recently bought a pair of discs together with 4TB Synology DS216j NAS, here on Amazon, and I am delighted with its performance. I have configured in RAID1 and work perfectly. Fast, silent and Synology (do not know other NAS) have an agreement to further check the status of IronWolf Seagate drives with built in Synology own tools. I basically use to store information, especially as a Backup. I would definitely recommend.</v>
      </c>
    </row>
    <row r="2518">
      <c r="A2518" s="1">
        <v>2.0</v>
      </c>
      <c r="B2518" s="1" t="s">
        <v>2505</v>
      </c>
      <c r="C2518" t="str">
        <f>IFERROR(__xludf.DUMMYFUNCTION("GOOGLETRANSLATE(B2518, ""es"", ""en"")"),"A pretty nice sports pair my taste, something hot for summer and not as comfortable as I imagined. They carve a little big and give of. I've been using the walking for a few days and have noticed that hardly have any grip on the heel and tread makes me wr"&amp;"ong, it may be my foot, but it has never happened with any type of footwear.")</f>
        <v>A pretty nice sports pair my taste, something hot for summer and not as comfortable as I imagined. They carve a little big and give of. I've been using the walking for a few days and have noticed that hardly have any grip on the heel and tread makes me wrong, it may be my foot, but it has never happened with any type of footwear.</v>
      </c>
    </row>
    <row r="2519">
      <c r="A2519" s="1">
        <v>3.0</v>
      </c>
      <c r="B2519" s="1" t="s">
        <v>2506</v>
      </c>
      <c r="C2519" t="str">
        <f>IFERROR(__xludf.DUMMYFUNCTION("GOOGLETRANSLATE(B2519, ""es"", ""en"")"),"Uncomfortable. Good sound / price. The good: The sound is relatively good to play and 7.1 compliant. Although you need equalization, logitech software serves perfectly. The bad: The headband is poorly designed, with a very hard foam and a curve that conce"&amp;"ntrates all the pressure on the top of the skull (which have normal) which makes the half hour disturbed and when unbearable. A ear go well. They are huge! Very cumbersome. Although they are well constructed materials are unsatisfactory, both plastic and "&amp;"pads. Conclusion. If we ignore the problems of comfort I've had (which may be personal) they are not bad but would not recommend. I change mine.")</f>
        <v>Uncomfortable. Good sound / price. The good: The sound is relatively good to play and 7.1 compliant. Although you need equalization, logitech software serves perfectly. The bad: The headband is poorly designed, with a very hard foam and a curve that concentrates all the pressure on the top of the skull (which have normal) which makes the half hour disturbed and when unbearable. A ear go well. They are huge! Very cumbersome. Although they are well constructed materials are unsatisfactory, both plastic and pads. Conclusion. If we ignore the problems of comfort I've had (which may be personal) they are not bad but would not recommend. I change mine.</v>
      </c>
    </row>
    <row r="2520">
      <c r="A2520" s="1">
        <v>3.0</v>
      </c>
      <c r="B2520" s="1" t="s">
        <v>2507</v>
      </c>
      <c r="C2520" t="str">
        <f>IFERROR(__xludf.DUMMYFUNCTION("GOOGLETRANSLATE(B2520, ""es"", ""en"")"),"Maria Isabel The sizing is normal, but would lack the preform to take the nipples did tick not because the sport aesthetics is very important")</f>
        <v>Maria Isabel The sizing is normal, but would lack the preform to take the nipples did tick not because the sport aesthetics is very important</v>
      </c>
    </row>
    <row r="2521">
      <c r="A2521" s="1">
        <v>1.0</v>
      </c>
      <c r="B2521" s="1" t="s">
        <v>2508</v>
      </c>
      <c r="C2521" t="str">
        <f>IFERROR(__xludf.DUMMYFUNCTION("GOOGLETRANSLATE(B2521, ""es"", ""en"")"),"I would not buy. I bought it in April 2017 and at 3 months the problems started: The foot is not easily separated; linking rod blades engine and uses a plastic gear part is released, so q can not in a dishwasher; at the top of the foot, another black piec"&amp;"e that holds the rod, which also released. The engine is good and my is not broken me the knife. Why a star. I would not buy.")</f>
        <v>I would not buy. I bought it in April 2017 and at 3 months the problems started: The foot is not easily separated; linking rod blades engine and uses a plastic gear part is released, so q can not in a dishwasher; at the top of the foot, another black piece that holds the rod, which also released. The engine is good and my is not broken me the knife. Why a star. I would not buy.</v>
      </c>
    </row>
    <row r="2522">
      <c r="A2522" s="1">
        <v>1.0</v>
      </c>
      <c r="B2522" s="1" t="s">
        <v>2509</v>
      </c>
      <c r="C2522" t="str">
        <f>IFERROR(__xludf.DUMMYFUNCTION("GOOGLETRANSLATE(B2522, ""es"", ""en"")"),"false or misleading information is false that measures 9 mm thick, I bought it thinking it was so, proceed to return")</f>
        <v>false or misleading information is false that measures 9 mm thick, I bought it thinking it was so, proceed to return</v>
      </c>
    </row>
    <row r="2523">
      <c r="A2523" s="1">
        <v>4.0</v>
      </c>
      <c r="B2523" s="1" t="s">
        <v>2510</v>
      </c>
      <c r="C2523" t="str">
        <f>IFERROR(__xludf.DUMMYFUNCTION("GOOGLETRANSLATE(B2523, ""es"", ""en"")"),"Improved sound quality of these headphones I bought because I wanted each ""battle"" to bring in the backpack and pulls aguantasen and others. For the price I bought consider it a success so far (see how are durable). The sound is nothing of the other wor"&amp;"ld but defend. If you are looking for high quality, these are not your headphones. The design is nice and are comfortable in the ears. Consider having a mean neither too large nor too small. In short: A good helmets for day to day at an attractive price u"&amp;"npretentious sound quality. A greeting!")</f>
        <v>Improved sound quality of these headphones I bought because I wanted each "battle" to bring in the backpack and pulls aguantasen and others. For the price I bought consider it a success so far (see how are durable). The sound is nothing of the other world but defend. If you are looking for high quality, these are not your headphones. The design is nice and are comfortable in the ears. Consider having a mean neither too large nor too small. In short: A good helmets for day to day at an attractive price unpretentious sound quality. A greeting!</v>
      </c>
    </row>
    <row r="2524">
      <c r="A2524" s="1">
        <v>4.0</v>
      </c>
      <c r="B2524" s="1" t="s">
        <v>2511</v>
      </c>
      <c r="C2524" t="str">
        <f>IFERROR(__xludf.DUMMYFUNCTION("GOOGLETRANSLATE(B2524, ""es"", ""en"")"),"Good decent quality product with decent audio quality. The cable is covered with a kind of transparent tube which should help not only to improve endurance but also to be wound less.")</f>
        <v>Good decent quality product with decent audio quality. The cable is covered with a kind of transparent tube which should help not only to improve endurance but also to be wound less.</v>
      </c>
    </row>
    <row r="2525">
      <c r="A2525" s="1">
        <v>4.0</v>
      </c>
      <c r="B2525" s="1" t="s">
        <v>2512</v>
      </c>
      <c r="C2525" t="str">
        <f>IFERROR(__xludf.DUMMYFUNCTION("GOOGLETRANSLATE(B2525, ""es"", ""en"")"),"Comfortable, waiting for results. A female being this product, I write this review from the point of view of my girlfriend who is who has tried and continues to use it. According to open the box, the content comes nicely packaged, to the out is all very g"&amp;"ood, the first thing we find is the control or unit (so called in the manual), then comes the main element, a type calzona I culote lycra very good quality in black and finished in pink (seams and beige (small drawings on the sides), third have 4 adhesive"&amp;" patches and finally the charger and plug adapter. If I describe the Material can say it's all very good looking and comes all very well explained in the instruction book: - control knob or unit: with him is thus stimulating contraction will receive our m"&amp;"uscles is controlled can. controlling the intensity (from 0 to 99 points) and the program (4 different) time each program is marked by the apparatus according to the program chosen - Bib:.. is lycra, has a nice design, has in its part lead a small pocket "&amp;"in the upper right and in the belt carries the cable which must be connected end of the unit and on the back has four devices where patches are placed, mimic four opening windows and part mobile is where said patches are placed above a metal points. It is"&amp;" very easy to place. A small downside is that there are all sizes, carving is unique, ranging from size 34 to 40, this corresponds to a waist 61-81cm hip: 81-97cm. - Patches: are perfectly stored individually in a small package and within which come with "&amp;"plastic spacers. Although not difficult to place in the culotte, you have to read the instructions to do well since we already spoil that one side can not touch, it is placed over the electrodes having the calzona. You need to be changed periodically. Not"&amp;" battery operated, uses a rechargeable battery. The instruction manual is written in 6 languages: English, French, Spanish, German, Dutch and Portuguese. This shorts has a technology muscular electro-stimulation (EMS) to act on the muscles of the buttocks"&amp;", sculpting and reafirmándolos in just 4 weeks. My girlfriend takes very little time using it and for the moment note feeling of firmness in that area. She says that the connecting and operating it is very nice but at the same time it is powerful, the fee"&amp;"ling is a tingling throughout the area occupied by the patch, the so remove the remaining area relaxed and she makes small stretches of gluteal muscles and avoid and overload. According to the manufacturer, using it for 4 weeks at a frequency of 4 times a"&amp;" week the results are noticed and that these are, that's proven to be followed using it to determine its effectiveness. As a final conclusion of this product, I think it's a quality product with a good presentation ahead of the client and carry a big work"&amp;" behind that with very little time and effort we can exercise our buttocks without leaving home and it turns out to have proven results.")</f>
        <v>Comfortable, waiting for results. A female being this product, I write this review from the point of view of my girlfriend who is who has tried and continues to use it. According to open the box, the content comes nicely packaged, to the out is all very good, the first thing we find is the control or unit (so called in the manual), then comes the main element, a type calzona I culote lycra very good quality in black and finished in pink (seams and beige (small drawings on the sides), third have 4 adhesive patches and finally the charger and plug adapter. If I describe the Material can say it's all very good looking and comes all very well explained in the instruction book: - control knob or unit: with him is thus stimulating contraction will receive our muscles is controlled can. controlling the intensity (from 0 to 99 points) and the program (4 different) time each program is marked by the apparatus according to the program chosen - Bib:.. is lycra, has a nice design, has in its part lead a small pocket in the upper right and in the belt carries the cable which must be connected end of the unit and on the back has four devices where patches are placed, mimic four opening windows and part mobile is where said patches are placed above a metal points. It is very easy to place. A small downside is that there are all sizes, carving is unique, ranging from size 34 to 40, this corresponds to a waist 61-81cm hip: 81-97cm. - Patches: are perfectly stored individually in a small package and within which come with plastic spacers. Although not difficult to place in the culotte, you have to read the instructions to do well since we already spoil that one side can not touch, it is placed over the electrodes having the calzona. You need to be changed periodically. Not battery operated, uses a rechargeable battery. The instruction manual is written in 6 languages: English, French, Spanish, German, Dutch and Portuguese. This shorts has a technology muscular electro-stimulation (EMS) to act on the muscles of the buttocks, sculpting and reafirmándolos in just 4 weeks. My girlfriend takes very little time using it and for the moment note feeling of firmness in that area. She says that the connecting and operating it is very nice but at the same time it is powerful, the feeling is a tingling throughout the area occupied by the patch, the so remove the remaining area relaxed and she makes small stretches of gluteal muscles and avoid and overload. According to the manufacturer, using it for 4 weeks at a frequency of 4 times a week the results are noticed and that these are, that's proven to be followed using it to determine its effectiveness. As a final conclusion of this product, I think it's a quality product with a good presentation ahead of the client and carry a big work behind that with very little time and effort we can exercise our buttocks without leaving home and it turns out to have proven results.</v>
      </c>
    </row>
    <row r="2526">
      <c r="A2526" s="1">
        <v>4.0</v>
      </c>
      <c r="B2526" s="1" t="s">
        <v>2513</v>
      </c>
      <c r="C2526" t="str">
        <f>IFERROR(__xludf.DUMMYFUNCTION("GOOGLETRANSLATE(B2526, ""es"", ""en"")"),"As it is expected thin and sleazy, but my son loves stamping.")</f>
        <v>As it is expected thin and sleazy, but my son loves stamping.</v>
      </c>
    </row>
    <row r="2527">
      <c r="A2527" s="1">
        <v>5.0</v>
      </c>
      <c r="B2527" s="1" t="s">
        <v>2514</v>
      </c>
      <c r="C2527" t="str">
        <f>IFERROR(__xludf.DUMMYFUNCTION("GOOGLETRANSLATE(B2527, ""es"", ""en"")"),"Phenomenal quickly")</f>
        <v>Phenomenal quickly</v>
      </c>
    </row>
    <row r="2528">
      <c r="A2528" s="1">
        <v>5.0</v>
      </c>
      <c r="B2528" s="1" t="s">
        <v>2515</v>
      </c>
      <c r="C2528" t="str">
        <f>IFERROR(__xludf.DUMMYFUNCTION("GOOGLETRANSLATE(B2528, ""es"", ""en"")"),"Poor presentation. Original?? It came in a simple clear plastic bag and I doubt the truth that is original. It was for a gift and not know if it is good quality.")</f>
        <v>Poor presentation. Original?? It came in a simple clear plastic bag and I doubt the truth that is original. It was for a gift and not know if it is good quality.</v>
      </c>
    </row>
    <row r="2529">
      <c r="A2529" s="1">
        <v>5.0</v>
      </c>
      <c r="B2529" s="1" t="s">
        <v>2516</v>
      </c>
      <c r="C2529" t="str">
        <f>IFERROR(__xludf.DUMMYFUNCTION("GOOGLETRANSLATE(B2529, ""es"", ""en"")"),"It is perfect fits well and is pleasing to the touch.")</f>
        <v>It is perfect fits well and is pleasing to the touch.</v>
      </c>
    </row>
    <row r="2530">
      <c r="A2530" s="1">
        <v>5.0</v>
      </c>
      <c r="B2530" s="1" t="s">
        <v>2517</v>
      </c>
      <c r="C2530" t="str">
        <f>IFERROR(__xludf.DUMMYFUNCTION("GOOGLETRANSLATE(B2530, ""es"", ""en"")"),"3 € worth People complain habit ... 3 € expected? I arrived 5 days earlier than expected and fairly and aunk have not tried it yet do not sleazy")</f>
        <v>3 € worth People complain habit ... 3 € expected? I arrived 5 days earlier than expected and fairly and aunk have not tried it yet do not sleazy</v>
      </c>
    </row>
    <row r="2531">
      <c r="A2531" s="1">
        <v>5.0</v>
      </c>
      <c r="B2531" s="1" t="s">
        <v>2518</v>
      </c>
      <c r="C2531" t="str">
        <f>IFERROR(__xludf.DUMMYFUNCTION("GOOGLETRANSLATE(B2531, ""es"", ""en"")"),"As I expected I am very satisfied with both the sending (rapidísmo) as slippers. They seem new and come in original box. The truth is that if I say that are new or doubt it. Very pleased with purchase, I repeat it again if I see some other model that I li"&amp;"ke!")</f>
        <v>As I expected I am very satisfied with both the sending (rapidísmo) as slippers. They seem new and come in original box. The truth is that if I say that are new or doubt it. Very pleased with purchase, I repeat it again if I see some other model that I like!</v>
      </c>
    </row>
    <row r="2532">
      <c r="A2532" s="1">
        <v>5.0</v>
      </c>
      <c r="B2532" s="1" t="s">
        <v>2519</v>
      </c>
      <c r="C2532" t="str">
        <f>IFERROR(__xludf.DUMMYFUNCTION("GOOGLETRANSLATE(B2532, ""es"", ""en"")"),"Fantastic and what a year and have the qualities of my recordings have improved greatly. I tried many condenser mics but this not regret buying it at all.")</f>
        <v>Fantastic and what a year and have the qualities of my recordings have improved greatly. I tried many condenser mics but this not regret buying it at all.</v>
      </c>
    </row>
    <row r="2533">
      <c r="A2533" s="1">
        <v>5.0</v>
      </c>
      <c r="B2533" s="1" t="s">
        <v>2520</v>
      </c>
      <c r="C2533" t="str">
        <f>IFERROR(__xludf.DUMMYFUNCTION("GOOGLETRANSLATE(B2533, ""es"", ""en"")"),"It was good for a gift and the truth that the quality seemed to be pretty good. He likes a lot and have good price.")</f>
        <v>It was good for a gift and the truth that the quality seemed to be pretty good. He likes a lot and have good price.</v>
      </c>
    </row>
    <row r="2534">
      <c r="A2534" s="1">
        <v>5.0</v>
      </c>
      <c r="B2534" s="1" t="s">
        <v>2521</v>
      </c>
      <c r="C2534" t="str">
        <f>IFERROR(__xludf.DUMMYFUNCTION("GOOGLETRANSLATE(B2534, ""es"", ""en"")"),"New Balance Quality Assurance functionality, with reinforced bead to prevent unwanted movement, strengthening the toe cap thumb without strengthening the competition end with a ""breather"", the color and quality of the fabric. Emphasize comfort. 100% rec"&amp;"ommendable.")</f>
        <v>New Balance Quality Assurance functionality, with reinforced bead to prevent unwanted movement, strengthening the toe cap thumb without strengthening the competition end with a "breather", the color and quality of the fabric. Emphasize comfort. 100% recommendable.</v>
      </c>
    </row>
    <row r="2535">
      <c r="A2535" s="1">
        <v>5.0</v>
      </c>
      <c r="B2535" s="1" t="s">
        <v>2522</v>
      </c>
      <c r="C2535" t="str">
        <f>IFERROR(__xludf.DUMMYFUNCTION("GOOGLETRANSLATE(B2535, ""es"", ""en"")"),"NICE SHOES ... are my second new balance, I have a 574 classic for a while now and have decided to repeat this model being a sport sole lead 574 and the tip is somewhat different. I must say that after a few weeks of use are very comfortable and are well "&amp;"adapted to the foot. As for the sizing, carve something loose unlike the classic 574, but it is an exaggeration. Other brands I chock 44 and nb another number, it is true that in this model with a 44.5 would have been enough but ordered a 45 and I go well"&amp;", being the leading one longer little that classic look somewhat larger ..... In short, good product and even better price than gotcha !!")</f>
        <v>NICE SHOES ... are my second new balance, I have a 574 classic for a while now and have decided to repeat this model being a sport sole lead 574 and the tip is somewhat different. I must say that after a few weeks of use are very comfortable and are well adapted to the foot. As for the sizing, carve something loose unlike the classic 574, but it is an exaggeration. Other brands I chock 44 and nb another number, it is true that in this model with a 44.5 would have been enough but ordered a 45 and I go well, being the leading one longer little that classic look somewhat larger ..... In short, good product and even better price than gotcha !!</v>
      </c>
    </row>
    <row r="2536">
      <c r="A2536" s="1">
        <v>5.0</v>
      </c>
      <c r="B2536" s="1" t="s">
        <v>2523</v>
      </c>
      <c r="C2536" t="str">
        <f>IFERROR(__xludf.DUMMYFUNCTION("GOOGLETRANSLATE(B2536, ""es"", ""en"")"),"chest bag I love because it has many zippered compartments !!!. And especially the price you and I recommend it to everyone !!!")</f>
        <v>chest bag I love because it has many zippered compartments !!!. And especially the price you and I recommend it to everyone !!!</v>
      </c>
    </row>
    <row r="2537">
      <c r="A2537" s="1">
        <v>5.0</v>
      </c>
      <c r="B2537" s="1" t="s">
        <v>2524</v>
      </c>
      <c r="C2537" t="str">
        <f>IFERROR(__xludf.DUMMYFUNCTION("GOOGLETRANSLATE(B2537, ""es"", ""en"")"),"Deafness feeling leaves Helmets are a past, is heard quite well and the battery lasts a lot. The value for money is pretty good. I recommend these helmets if you go to listen to music for a long period of time because not invasive nor ears after you get t"&amp;"he feeling deafness. The downside is it takes a while to load the battery.")</f>
        <v>Deafness feeling leaves Helmets are a past, is heard quite well and the battery lasts a lot. The value for money is pretty good. I recommend these helmets if you go to listen to music for a long period of time because not invasive nor ears after you get the feeling deafness. The downside is it takes a while to load the battery.</v>
      </c>
    </row>
    <row r="2538">
      <c r="A2538" s="1">
        <v>5.0</v>
      </c>
      <c r="B2538" s="1" t="s">
        <v>2525</v>
      </c>
      <c r="C2538" t="str">
        <f>IFERROR(__xludf.DUMMYFUNCTION("GOOGLETRANSLATE(B2538, ""es"", ""en"")"),"Nice and comfortable Very nice, very good quality. I would definitely buy!")</f>
        <v>Nice and comfortable Very nice, very good quality. I would definitely buy!</v>
      </c>
    </row>
    <row r="2539">
      <c r="A2539" s="1">
        <v>5.0</v>
      </c>
      <c r="B2539" s="1" t="s">
        <v>2526</v>
      </c>
      <c r="C2539" t="str">
        <f>IFERROR(__xludf.DUMMYFUNCTION("GOOGLETRANSLATE(B2539, ""es"", ""en"")"),"Perfect Perfect!")</f>
        <v>Perfect Perfect!</v>
      </c>
    </row>
    <row r="2540">
      <c r="A2540" s="1">
        <v>5.0</v>
      </c>
      <c r="B2540" s="1" t="s">
        <v>2527</v>
      </c>
      <c r="C2540" t="str">
        <f>IFERROR(__xludf.DUMMYFUNCTION("GOOGLETRANSLATE(B2540, ""es"", ""en"")"),"Its function I like its design but could be a little bigger")</f>
        <v>Its function I like its design but could be a little bigger</v>
      </c>
    </row>
    <row r="2541">
      <c r="A2541" s="1">
        <v>5.0</v>
      </c>
      <c r="B2541" s="1" t="s">
        <v>2528</v>
      </c>
      <c r="C2541" t="str">
        <f>IFERROR(__xludf.DUMMYFUNCTION("GOOGLETRANSLATE(B2541, ""es"", ""en"")"),"Masajeador effective after several days of use, I can recommend this device. In my case I am many hours standing in my work and when I get home and use this massager relaxes me a lot. It has several modes of intensity and duration, and the heat produced f"&amp;"oot movement achieves that more and more relaxation effect. Bring a knob to regulate all configurations without having to bend down. And the best part is that you can wash the cover in the washing machine with no problem.")</f>
        <v>Masajeador effective after several days of use, I can recommend this device. In my case I am many hours standing in my work and when I get home and use this massager relaxes me a lot. It has several modes of intensity and duration, and the heat produced foot movement achieves that more and more relaxation effect. Bring a knob to regulate all configurations without having to bend down. And the best part is that you can wash the cover in the washing machine with no problem.</v>
      </c>
    </row>
    <row r="2542">
      <c r="A2542" s="1">
        <v>5.0</v>
      </c>
      <c r="B2542" s="1" t="s">
        <v>2529</v>
      </c>
      <c r="C2542" t="str">
        <f>IFERROR(__xludf.DUMMYFUNCTION("GOOGLETRANSLATE(B2542, ""es"", ""en"")"),"Good product I love these shoes, do not spend time for them, they are always in fashion")</f>
        <v>Good product I love these shoes, do not spend time for them, they are always in fashion</v>
      </c>
    </row>
    <row r="2543">
      <c r="A2543" s="1">
        <v>5.0</v>
      </c>
      <c r="B2543" s="1" t="s">
        <v>2530</v>
      </c>
      <c r="C2543" t="str">
        <f>IFERROR(__xludf.DUMMYFUNCTION("GOOGLETRANSLATE(B2543, ""es"", ""en"")"),"Perfect to keep warm in winter This covers electric mattress comes beautifully presented. The fabric quality is good and very smooth. I placed it between the mattress and the sheet. The feeling is very good. In the go to bed cold you never spend using it."&amp;" Bring 3 power levels. I usually put the maximum at the beginning and then on to the 1. Very happy with it")</f>
        <v>Perfect to keep warm in winter This covers electric mattress comes beautifully presented. The fabric quality is good and very smooth. I placed it between the mattress and the sheet. The feeling is very good. In the go to bed cold you never spend using it. Bring 3 power levels. I usually put the maximum at the beginning and then on to the 1. Very happy with it</v>
      </c>
    </row>
    <row r="2544">
      <c r="A2544" s="1">
        <v>5.0</v>
      </c>
      <c r="B2544" s="1" t="s">
        <v>2531</v>
      </c>
      <c r="C2544" t="str">
        <f>IFERROR(__xludf.DUMMYFUNCTION("GOOGLETRANSLATE(B2544, ""es"", ""en"")"),"They look good fit small. Good finishes and quality expected. I recommend one size bigger than usual. 43 use in sports (Nike, Adidas, NB ....) and also in sneakers. In this case I requested a 43 and are too tight. The've had to change a 44. With 44, perfe"&amp;"ct.")</f>
        <v>They look good fit small. Good finishes and quality expected. I recommend one size bigger than usual. 43 use in sports (Nike, Adidas, NB ....) and also in sneakers. In this case I requested a 43 and are too tight. The've had to change a 44. With 44, perfect.</v>
      </c>
    </row>
    <row r="2545">
      <c r="A2545" s="1">
        <v>5.0</v>
      </c>
      <c r="B2545" s="1" t="s">
        <v>2532</v>
      </c>
      <c r="C2545" t="str">
        <f>IFERROR(__xludf.DUMMYFUNCTION("GOOGLETRANSLATE(B2545, ""es"", ""en"")"),"Quality good price is nice, comfortable and it works perfectly. It is a good watch even cheaper than other brands. It is an excellent watch for everyday use.")</f>
        <v>Quality good price is nice, comfortable and it works perfectly. It is a good watch even cheaper than other brands. It is an excellent watch for everyday use.</v>
      </c>
    </row>
    <row r="2546">
      <c r="A2546" s="1">
        <v>2.0</v>
      </c>
      <c r="B2546" s="1" t="s">
        <v>2533</v>
      </c>
      <c r="C2546" t="str">
        <f>IFERROR(__xludf.DUMMYFUNCTION("GOOGLETRANSLATE(B2546, ""es"", ""en"")"),"I would not work to me has not been me, I do not know if used well. I gave it with a cloth glasses, 3 applications.")</f>
        <v>I would not work to me has not been me, I do not know if used well. I gave it with a cloth glasses, 3 applications.</v>
      </c>
    </row>
    <row r="2547">
      <c r="A2547" s="1">
        <v>3.0</v>
      </c>
      <c r="B2547" s="1" t="s">
        <v>2534</v>
      </c>
      <c r="C2547" t="str">
        <f>IFERROR(__xludf.DUMMYFUNCTION("GOOGLETRANSLATE(B2547, ""es"", ""en"")"),"Poor construction, and good sound! Very good sound quality (for what they cost), good noise cancellation (do not forget to turn off the ANC button, which will separately on and off), good battery life, good connectivity, are quite comfortable, but they ha"&amp;"ve a serious problem of quality materials manufacturing (Made in China). At 3 months of buying them, and only for daily use, the headband is left to the middle in the plastic top (photo 2). After 6 months of use, they were peeling off the various interior"&amp;" layers that separate the crown of the head (photo 1). That is, they are disposable! I do not recommend! Now I have a Sony WH-CH700N, and I'm pretty satisfied with them, even on days with wind noise the air gets you everywhere!")</f>
        <v>Poor construction, and good sound! Very good sound quality (for what they cost), good noise cancellation (do not forget to turn off the ANC button, which will separately on and off), good battery life, good connectivity, are quite comfortable, but they have a serious problem of quality materials manufacturing (Made in China). At 3 months of buying them, and only for daily use, the headband is left to the middle in the plastic top (photo 2). After 6 months of use, they were peeling off the various interior layers that separate the crown of the head (photo 1). That is, they are disposable! I do not recommend! Now I have a Sony WH-CH700N, and I'm pretty satisfied with them, even on days with wind noise the air gets you everywhere!</v>
      </c>
    </row>
    <row r="2548">
      <c r="A2548" s="1">
        <v>3.0</v>
      </c>
      <c r="B2548" s="1" t="s">
        <v>2535</v>
      </c>
      <c r="C2548" t="str">
        <f>IFERROR(__xludf.DUMMYFUNCTION("GOOGLETRANSLATE(B2548, ""es"", ""en"")"),"bad plastic, good engine has 2 buttons - speed 1 and speed 2. The buttons are not very precise ... can they pressure and nothing happens, but then if you do force in an area of ​​the bottpn longer works. The engine has enough power - no complaints at this"&amp;" point. The engagement of the arm with the body is not very accurate ... and seen in the picture connection to the motor arm is not centered. The arm is stainless steel and washes well and is of good quality (to use creams while still boiled vegetables an"&amp;"d went well). ""A"" cheap I think it will be expensive ... Positive - the strength of the engine. - Negative arm material - plastic poor quality - controls, buttons and lace.")</f>
        <v>bad plastic, good engine has 2 buttons - speed 1 and speed 2. The buttons are not very precise ... can they pressure and nothing happens, but then if you do force in an area of ​​the bottpn longer works. The engine has enough power - no complaints at this point. The engagement of the arm with the body is not very accurate ... and seen in the picture connection to the motor arm is not centered. The arm is stainless steel and washes well and is of good quality (to use creams while still boiled vegetables and went well). "A" cheap I think it will be expensive ... Positive - the strength of the engine. - Negative arm material - plastic poor quality - controls, buttons and lace.</v>
      </c>
    </row>
    <row r="2549">
      <c r="A2549" s="1">
        <v>1.0</v>
      </c>
      <c r="B2549" s="1" t="s">
        <v>2536</v>
      </c>
      <c r="C2549" t="str">
        <f>IFERROR(__xludf.DUMMYFUNCTION("GOOGLETRANSLATE(B2549, ""es"", ""en"")"),"no longer works I bought 1 month and a half ago and I no longer works. I am disapointed.")</f>
        <v>no longer works I bought 1 month and a half ago and I no longer works. I am disapointed.</v>
      </c>
    </row>
    <row r="2550">
      <c r="A2550" s="1">
        <v>1.0</v>
      </c>
      <c r="B2550" s="1" t="s">
        <v>2537</v>
      </c>
      <c r="C2550" t="str">
        <f>IFERROR(__xludf.DUMMYFUNCTION("GOOGLETRANSLATE(B2550, ""es"", ""en"")"),"The returned I had to return because it did not fit the blade wheel well and had to turn over the entire beater (motor included) to unscrew the bottle with knives and that the content is not poured.")</f>
        <v>The returned I had to return because it did not fit the blade wheel well and had to turn over the entire beater (motor included) to unscrew the bottle with knives and that the content is not poured.</v>
      </c>
    </row>
    <row r="2551">
      <c r="A2551" s="1">
        <v>4.0</v>
      </c>
      <c r="B2551" s="1" t="s">
        <v>2538</v>
      </c>
      <c r="C2551" t="str">
        <f>IFERROR(__xludf.DUMMYFUNCTION("GOOGLETRANSLATE(B2551, ""es"", ""en"")"),"SAFE For the price, which is what I needed and I felt that this article cumplia my expectations in that momento.Muchas thanks")</f>
        <v>SAFE For the price, which is what I needed and I felt that this article cumplia my expectations in that momento.Muchas thanks</v>
      </c>
    </row>
    <row r="2552">
      <c r="A2552" s="1">
        <v>4.0</v>
      </c>
      <c r="B2552" s="1" t="s">
        <v>2539</v>
      </c>
      <c r="C2552" t="str">
        <f>IFERROR(__xludf.DUMMYFUNCTION("GOOGLETRANSLATE(B2552, ""es"", ""en"")"),"CORRECT correct item, as described in the listing")</f>
        <v>CORRECT correct item, as described in the listing</v>
      </c>
    </row>
    <row r="2553">
      <c r="A2553" s="1">
        <v>4.0</v>
      </c>
      <c r="B2553" s="1" t="s">
        <v>2540</v>
      </c>
      <c r="C2553" t="str">
        <f>IFERROR(__xludf.DUMMYFUNCTION("GOOGLETRANSLATE(B2553, ""es"", ""en"")"),"Rapido came to the next day in a blue tulle ball.")</f>
        <v>Rapido came to the next day in a blue tulle ball.</v>
      </c>
    </row>
    <row r="2554">
      <c r="A2554" s="1">
        <v>4.0</v>
      </c>
      <c r="B2554" s="1" t="s">
        <v>2541</v>
      </c>
      <c r="C2554" t="str">
        <f>IFERROR(__xludf.DUMMYFUNCTION("GOOGLETRANSLATE(B2554, ""es"", ""en"")"),"Original shoes the perfect shoe all right one day came late but all good thanks")</f>
        <v>Original shoes the perfect shoe all right one day came late but all good thanks</v>
      </c>
    </row>
    <row r="2555">
      <c r="A2555" s="1">
        <v>4.0</v>
      </c>
      <c r="B2555" s="1" t="s">
        <v>2542</v>
      </c>
      <c r="C2555" t="str">
        <f>IFERROR(__xludf.DUMMYFUNCTION("GOOGLETRANSLATE(B2555, ""es"", ""en"")"),"Well it's fine to Cocky is part of good product. highly recommended")</f>
        <v>Well it's fine to Cocky is part of good product. highly recommended</v>
      </c>
    </row>
    <row r="2556">
      <c r="A2556" s="1">
        <v>5.0</v>
      </c>
      <c r="B2556" s="1" t="s">
        <v>2543</v>
      </c>
      <c r="C2556" t="str">
        <f>IFERROR(__xludf.DUMMYFUNCTION("GOOGLETRANSLATE(B2556, ""es"", ""en"")"),"Comfortable and the baby loves Since we tested this bottle my son takes to win, no cramps super simple to clean and very comfortable")</f>
        <v>Comfortable and the baby loves Since we tested this bottle my son takes to win, no cramps super simple to clean and very comfortable</v>
      </c>
    </row>
    <row r="2557">
      <c r="A2557" s="1">
        <v>5.0</v>
      </c>
      <c r="B2557" s="1" t="s">
        <v>2544</v>
      </c>
      <c r="C2557" t="str">
        <f>IFERROR(__xludf.DUMMYFUNCTION("GOOGLETRANSLATE(B2557, ""es"", ""en"")"),"I love super nice, comfortable, no show through, as is in the photo, I am delighted !!!!")</f>
        <v>I love super nice, comfortable, no show through, as is in the photo, I am delighted !!!!</v>
      </c>
    </row>
    <row r="2558">
      <c r="A2558" s="1">
        <v>5.0</v>
      </c>
      <c r="B2558" s="1" t="s">
        <v>2545</v>
      </c>
      <c r="C2558" t="str">
        <f>IFERROR(__xludf.DUMMYFUNCTION("GOOGLETRANSLATE(B2558, ""es"", ""en"")"),"Very good quality I struggled a bit because I've gone link free, when I read the instructions I've done smoothly. They'm very happy with headphones are lightweight and comfortable, the battery lasts quite, hear great and they are so beautiful. Once you co"&amp;"nnected you can press the button to start the wizard lead to Google, answer calls, pause a song. Overall very happy I think I will buy another for my partner.")</f>
        <v>Very good quality I struggled a bit because I've gone link free, when I read the instructions I've done smoothly. They'm very happy with headphones are lightweight and comfortable, the battery lasts quite, hear great and they are so beautiful. Once you connected you can press the button to start the wizard lead to Google, answer calls, pause a song. Overall very happy I think I will buy another for my partner.</v>
      </c>
    </row>
    <row r="2559">
      <c r="A2559" s="1">
        <v>5.0</v>
      </c>
      <c r="B2559" s="1" t="s">
        <v>2546</v>
      </c>
      <c r="C2559" t="str">
        <f>IFERROR(__xludf.DUMMYFUNCTION("GOOGLETRANSLATE(B2559, ""es"", ""en"")"),"Very nice Loved the product, the packaging surprised me because it is not typical that brings Tous but very good!")</f>
        <v>Very nice Loved the product, the packaging surprised me because it is not typical that brings Tous but very good!</v>
      </c>
    </row>
    <row r="2560">
      <c r="A2560" s="1">
        <v>5.0</v>
      </c>
      <c r="B2560" s="1" t="s">
        <v>2547</v>
      </c>
      <c r="C2560" t="str">
        <f>IFERROR(__xludf.DUMMYFUNCTION("GOOGLETRANSLATE(B2560, ""es"", ""en"")"),"Powerful and easy to use. Very powerful and easy to use. I have tried chopping ice, making juices, gazpacho, etc and going great. ideal capacity for 5-6 people. Very pleased with purchase and fully recommended.")</f>
        <v>Powerful and easy to use. Very powerful and easy to use. I have tried chopping ice, making juices, gazpacho, etc and going great. ideal capacity for 5-6 people. Very pleased with purchase and fully recommended.</v>
      </c>
    </row>
    <row r="2561">
      <c r="A2561" s="1">
        <v>5.0</v>
      </c>
      <c r="B2561" s="1" t="s">
        <v>2548</v>
      </c>
      <c r="C2561" t="str">
        <f>IFERROR(__xludf.DUMMYFUNCTION("GOOGLETRANSLATE(B2561, ""es"", ""en"")"),"Memory Expansion for my new iPhone 11 Pro I just bought a new iPhone 11 Pro ... with only 64 GB of memory and I fear running out of storage when I get to record 4K videos on my travels. Now with this penflash I can ""double up"" memory and then pass it to"&amp;" a PC, etc ... and so I can not do without procuparme photos or videos filling the iPhone. In its day it had a similar Sandisk memory with a connector for iPAD and one via USB ... but at the end of time (and after changing versions of iOS) stopped it. Now"&amp;" with this (and certified by Apple) I hope not give me back problems over time. Via USB 3.0 speed is not to throw rockets but more than enough to make backups :-)")</f>
        <v>Memory Expansion for my new iPhone 11 Pro I just bought a new iPhone 11 Pro ... with only 64 GB of memory and I fear running out of storage when I get to record 4K videos on my travels. Now with this penflash I can "double up" memory and then pass it to a PC, etc ... and so I can not do without procuparme photos or videos filling the iPhone. In its day it had a similar Sandisk memory with a connector for iPAD and one via USB ... but at the end of time (and after changing versions of iOS) stopped it. Now with this (and certified by Apple) I hope not give me back problems over time. Via USB 3.0 speed is not to throw rockets but more than enough to make backups :-)</v>
      </c>
    </row>
    <row r="2562">
      <c r="A2562" s="1">
        <v>5.0</v>
      </c>
      <c r="B2562" s="1" t="s">
        <v>2549</v>
      </c>
      <c r="C2562" t="str">
        <f>IFERROR(__xludf.DUMMYFUNCTION("GOOGLETRANSLATE(B2562, ""es"", ""en"")"),"Helmets Helmets recommended 100% perfect. They fit perfectly to the ear. It sounds great. And they come up with a small, functional box. It helmets are introduced to perfection. Easy per magnet placed and loaded into it. It comes to four loads. After comp"&amp;"leting the four charges, including the cable, it connects to the network, to have 4 loads available again. Easy, simple, durable, has it all. I can not be happier with the purchase. Also note that they have a very comfortable design and elegant, is, I am "&amp;"using it to work, since the being of black color, both the headphones and the charging box, its design is excellent for the workplace. It is very compact and easily transportable in a pocket, small backpack, bag for man or women, very useful truth. They a"&amp;"re the most comfortable headphones I've tried, it fits very well, and hear perfectly. I've used it to watch videos, calls, and even TV at home when it's late and did not want to disturb the neighbors. Above the price they have they are very competitive. C"&amp;"ompared to other models, I saw it was the best fit my needs, and so has sidoPor Finally I just want to explain in simple terms how to use them. Very easily they connect to my phone. Since the first connection has been simply activate the bluetooth on my p"&amp;"hone, and put myself helmets, once I heard ""conected,"" and I could enjoy them. To remove them, as easy as removing them from the ears and place them in the loader box. light box so you know it is charging lights. It can not be easier. It is a wonder. An"&amp;"d once configured once, automatically connect to my phone. I tried to connect with other home devices like TV, mobile family and great. They liked so much that I and a great gift idea for Christmas :) 5/5")</f>
        <v>Helmets Helmets recommended 100% perfect. They fit perfectly to the ear. It sounds great. And they come up with a small, functional box. It helmets are introduced to perfection. Easy per magnet placed and loaded into it. It comes to four loads. After completing the four charges, including the cable, it connects to the network, to have 4 loads available again. Easy, simple, durable, has it all. I can not be happier with the purchase. Also note that they have a very comfortable design and elegant, is, I am using it to work, since the being of black color, both the headphones and the charging box, its design is excellent for the workplace. It is very compact and easily transportable in a pocket, small backpack, bag for man or women, very useful truth. They are the most comfortable headphones I've tried, it fits very well, and hear perfectly. I've used it to watch videos, calls, and even TV at home when it's late and did not want to disturb the neighbors. Above the price they have they are very competitive. Compared to other models, I saw it was the best fit my needs, and so has sidoPor Finally I just want to explain in simple terms how to use them. Very easily they connect to my phone. Since the first connection has been simply activate the bluetooth on my phone, and put myself helmets, once I heard "conected," and I could enjoy them. To remove them, as easy as removing them from the ears and place them in the loader box. light box so you know it is charging lights. It can not be easier. It is a wonder. And once configured once, automatically connect to my phone. I tried to connect with other home devices like TV, mobile family and great. They liked so much that I and a great gift idea for Christmas :) 5/5</v>
      </c>
    </row>
    <row r="2563">
      <c r="A2563" s="1">
        <v>5.0</v>
      </c>
      <c r="B2563" s="1" t="s">
        <v>2550</v>
      </c>
      <c r="C2563" t="str">
        <f>IFERROR(__xludf.DUMMYFUNCTION("GOOGLETRANSLATE(B2563, ""es"", ""en"")"),"I love are very good price Very good and better")</f>
        <v>I love are very good price Very good and better</v>
      </c>
    </row>
    <row r="2564">
      <c r="A2564" s="1">
        <v>5.0</v>
      </c>
      <c r="B2564" s="1" t="s">
        <v>2551</v>
      </c>
      <c r="C2564" t="str">
        <f>IFERROR(__xludf.DUMMYFUNCTION("GOOGLETRANSLATE(B2564, ""es"", ""en"")"),"A classic, a very good watch for my watch This is a myth, tough, smart (for me it is, no doubt), not luxurious is clear is easy, simple and functional. And comfort, to say it, it seems not bring anything on the wrist. It is too large dolls right (not my c"&amp;"ase), a very good buy.")</f>
        <v>A classic, a very good watch for my watch This is a myth, tough, smart (for me it is, no doubt), not luxurious is clear is easy, simple and functional. And comfort, to say it, it seems not bring anything on the wrist. It is too large dolls right (not my case), a very good buy.</v>
      </c>
    </row>
    <row r="2565">
      <c r="A2565" s="1">
        <v>5.0</v>
      </c>
      <c r="B2565" s="1" t="s">
        <v>2552</v>
      </c>
      <c r="C2565" t="str">
        <f>IFERROR(__xludf.DUMMYFUNCTION("GOOGLETRANSLATE(B2565, ""es"", ""en"")"),"Excellent product excellent shoes. The perfect shape.")</f>
        <v>Excellent product excellent shoes. The perfect shape.</v>
      </c>
    </row>
    <row r="2566">
      <c r="A2566" s="1">
        <v>5.0</v>
      </c>
      <c r="B2566" s="1" t="s">
        <v>2553</v>
      </c>
      <c r="C2566" t="str">
        <f>IFERROR(__xludf.DUMMYFUNCTION("GOOGLETRANSLATE(B2566, ""es"", ""en"")"),"Nike pants. All, nothing, every day.")</f>
        <v>Nike pants. All, nothing, every day.</v>
      </c>
    </row>
    <row r="2567">
      <c r="A2567" s="1">
        <v>5.0</v>
      </c>
      <c r="B2567" s="1" t="s">
        <v>2554</v>
      </c>
      <c r="C2567" t="str">
        <f>IFERROR(__xludf.DUMMYFUNCTION("GOOGLETRANSLATE(B2567, ""es"", ""en"")"),"Value good are some very nice earrings, the perfect gift for my mother. At the beginning when I arrived seemed a bit small but when you put them look perfect. Glisten a lot and closing is quality, not easily open and so that Mandella no problem of losing "&amp;"them. Also note that although the price are quality because my mother if not put silver or gold given allergy and do not give. Very happy!")</f>
        <v>Value good are some very nice earrings, the perfect gift for my mother. At the beginning when I arrived seemed a bit small but when you put them look perfect. Glisten a lot and closing is quality, not easily open and so that Mandella no problem of losing them. Also note that although the price are quality because my mother if not put silver or gold given allergy and do not give. Very happy!</v>
      </c>
    </row>
    <row r="2568">
      <c r="A2568" s="1">
        <v>5.0</v>
      </c>
      <c r="B2568" s="1" t="s">
        <v>2555</v>
      </c>
      <c r="C2568" t="str">
        <f>IFERROR(__xludf.DUMMYFUNCTION("GOOGLETRANSLATE(B2568, ""es"", ""en"")"),"Basic beauty routine for a basic product for my daily routine care and hydration. And I would not change any cream. And this makes me all goes well, might repeat!")</f>
        <v>Basic beauty routine for a basic product for my daily routine care and hydration. And I would not change any cream. And this makes me all goes well, might repeat!</v>
      </c>
    </row>
    <row r="2569">
      <c r="A2569" s="1">
        <v>5.0</v>
      </c>
      <c r="B2569" s="1" t="s">
        <v>2556</v>
      </c>
      <c r="C2569" t="str">
        <f>IFERROR(__xludf.DUMMYFUNCTION("GOOGLETRANSLATE(B2569, ""es"", ""en"")"),"A joy!! We've released tonight and let you new! Tb plug brings normal or car, and brings several buttons on the side for heat, change rotation etc, very easy to use and fantastic results")</f>
        <v>A joy!! We've released tonight and let you new! Tb plug brings normal or car, and brings several buttons on the side for heat, change rotation etc, very easy to use and fantastic results</v>
      </c>
    </row>
    <row r="2570">
      <c r="A2570" s="1">
        <v>5.0</v>
      </c>
      <c r="B2570" s="1" t="s">
        <v>2557</v>
      </c>
      <c r="C2570" t="str">
        <f>IFERROR(__xludf.DUMMYFUNCTION("GOOGLETRANSLATE(B2570, ""es"", ""en"")"),"Very good very broad, as expected")</f>
        <v>Very good very broad, as expected</v>
      </c>
    </row>
    <row r="2571">
      <c r="A2571" s="1">
        <v>5.0</v>
      </c>
      <c r="B2571" s="1" t="s">
        <v>2558</v>
      </c>
      <c r="C2571" t="str">
        <f>IFERROR(__xludf.DUMMYFUNCTION("GOOGLETRANSLATE(B2571, ""es"", ""en"")"),"Quality has a lot of power and let the food good texture. It is easy to use and clean. The blender has Barilla accessories, meter boat and ice pick. The material is of good quality.")</f>
        <v>Quality has a lot of power and let the food good texture. It is easy to use and clean. The blender has Barilla accessories, meter boat and ice pick. The material is of good quality.</v>
      </c>
    </row>
    <row r="2572">
      <c r="A2572" s="1">
        <v>5.0</v>
      </c>
      <c r="B2572" s="1" t="s">
        <v>2559</v>
      </c>
      <c r="C2572" t="str">
        <f>IFERROR(__xludf.DUMMYFUNCTION("GOOGLETRANSLATE(B2572, ""es"", ""en"")"),"Perfect 👌 Better than I thought. Perfectly fulfills its mission. Quite powerful. To clean very comfortable.")</f>
        <v>Perfect 👌 Better than I thought. Perfectly fulfills its mission. Quite powerful. To clean very comfortable.</v>
      </c>
    </row>
    <row r="2573">
      <c r="A2573" s="1">
        <v>5.0</v>
      </c>
      <c r="B2573" s="1" t="s">
        <v>2560</v>
      </c>
      <c r="C2573" t="str">
        <f>IFERROR(__xludf.DUMMYFUNCTION("GOOGLETRANSLATE(B2573, ""es"", ""en"")"),"ALL PERFECT AND VERY GOOD FAST")</f>
        <v>ALL PERFECT AND VERY GOOD FAST</v>
      </c>
    </row>
    <row r="2574">
      <c r="A2574" s="1">
        <v>5.0</v>
      </c>
      <c r="B2574" s="1" t="s">
        <v>2561</v>
      </c>
      <c r="C2574" t="str">
        <f>IFERROR(__xludf.DUMMYFUNCTION("GOOGLETRANSLATE(B2574, ""es"", ""en"")"),"10 points Everything perfect, no surprises.")</f>
        <v>10 points Everything perfect, no surprises.</v>
      </c>
    </row>
    <row r="2575">
      <c r="A2575" s="1">
        <v>2.0</v>
      </c>
      <c r="B2575" s="1" t="s">
        <v>2562</v>
      </c>
      <c r="C2575" t="str">
        <f>IFERROR(__xludf.DUMMYFUNCTION("GOOGLETRANSLATE(B2575, ""es"", ""en"")"),"To be lijeras are too harsh harsh Son says my wife and not put them on again a shame but it's what she says")</f>
        <v>To be lijeras are too harsh harsh Son says my wife and not put them on again a shame but it's what she says</v>
      </c>
    </row>
    <row r="2576">
      <c r="A2576" s="1">
        <v>3.0</v>
      </c>
      <c r="B2576" s="1" t="s">
        <v>2563</v>
      </c>
      <c r="C2576" t="str">
        <f>IFERROR(__xludf.DUMMYFUNCTION("GOOGLETRANSLATE(B2576, ""es"", ""en"")"),"The table is stable enough weight to pull the tape and cut without tipping over. Saw cutting works depending on the quality of the roll of tape we use")</f>
        <v>The table is stable enough weight to pull the tape and cut without tipping over. Saw cutting works depending on the quality of the roll of tape we use</v>
      </c>
    </row>
    <row r="2577">
      <c r="A2577" s="1">
        <v>1.0</v>
      </c>
      <c r="B2577" s="1" t="s">
        <v>2564</v>
      </c>
      <c r="C2577" t="str">
        <f>IFERROR(__xludf.DUMMYFUNCTION("GOOGLETRANSLATE(B2577, ""es"", ""en"")"),"Correa game with less than a month of use with less than a month of use without wear it every day, I departed the belt; I contacted the seller and told me that the belt does not come under warranty, I do not understand. Surely in any other store I have ch"&amp;"anged the belt, because it is not normal to break in less than a month. That's why I do not recommend buying this watch here. Moreover, the watch itself worth. Retro look, very nice. I would buy but elsewhere.")</f>
        <v>Correa game with less than a month of use with less than a month of use without wear it every day, I departed the belt; I contacted the seller and told me that the belt does not come under warranty, I do not understand. Surely in any other store I have changed the belt, because it is not normal to break in less than a month. That's why I do not recommend buying this watch here. Moreover, the watch itself worth. Retro look, very nice. I would buy but elsewhere.</v>
      </c>
    </row>
    <row r="2578">
      <c r="A2578" s="1">
        <v>1.0</v>
      </c>
      <c r="B2578" s="1" t="s">
        <v>2565</v>
      </c>
      <c r="C2578" t="str">
        <f>IFERROR(__xludf.DUMMYFUNCTION("GOOGLETRANSLATE(B2578, ""es"", ""en"")"),"Gloomy bought 2 cards so cheap they were, as has been throwing money, none of them works for me. The PS3 does not detect. The PC does not detect. Tablet not detected. The notebook does not detect. Mobile not detected. The camera does not detect. The first"&amp;" time something happens like me and I've come to buy cards up in stores around 100.")</f>
        <v>Gloomy bought 2 cards so cheap they were, as has been throwing money, none of them works for me. The PS3 does not detect. The PC does not detect. Tablet not detected. The notebook does not detect. Mobile not detected. The camera does not detect. The first time something happens like me and I've come to buy cards up in stores around 100.</v>
      </c>
    </row>
    <row r="2579">
      <c r="A2579" s="1">
        <v>4.0</v>
      </c>
      <c r="B2579" s="1" t="s">
        <v>2566</v>
      </c>
      <c r="C2579" t="str">
        <f>IFERROR(__xludf.DUMMYFUNCTION("GOOGLETRANSLATE(B2579, ""es"", ""en"")"),"Ok Tot correcte")</f>
        <v>Ok Tot correcte</v>
      </c>
    </row>
    <row r="2580">
      <c r="A2580" s="1">
        <v>4.0</v>
      </c>
      <c r="B2580" s="1" t="s">
        <v>2567</v>
      </c>
      <c r="C2580" t="str">
        <f>IFERROR(__xludf.DUMMYFUNCTION("GOOGLETRANSLATE(B2580, ""es"", ""en"")"),"PERFECT FOR HOUSE was tired of Tassimo coffee capsules ... And really for what was used to make me tea or warm water. So I threw myself into this kettle. And he had Russell Hobbs toaster, so I chose the same brand. The size is perfect for 2 or 3 cups, but"&amp;" you can do some more. But overall it is for little use. For me it is perfect.")</f>
        <v>PERFECT FOR HOUSE was tired of Tassimo coffee capsules ... And really for what was used to make me tea or warm water. So I threw myself into this kettle. And he had Russell Hobbs toaster, so I chose the same brand. The size is perfect for 2 or 3 cups, but you can do some more. But overall it is for little use. For me it is perfect.</v>
      </c>
    </row>
    <row r="2581">
      <c r="A2581" s="1">
        <v>4.0</v>
      </c>
      <c r="B2581" s="1" t="s">
        <v>2568</v>
      </c>
      <c r="C2581" t="str">
        <f>IFERROR(__xludf.DUMMYFUNCTION("GOOGLETRANSLATE(B2581, ""es"", ""en"")"),"Efficient but not miraculous My dog ​​smells strong, I have put in a motorhome, I had to put two. Does not remove it from the all but improves")</f>
        <v>Efficient but not miraculous My dog ​​smells strong, I have put in a motorhome, I had to put two. Does not remove it from the all but improves</v>
      </c>
    </row>
    <row r="2582">
      <c r="A2582" s="1">
        <v>4.0</v>
      </c>
      <c r="B2582" s="1" t="s">
        <v>2569</v>
      </c>
      <c r="C2582" t="str">
        <f>IFERROR(__xludf.DUMMYFUNCTION("GOOGLETRANSLATE(B2582, ""es"", ""en"")"),"It's pretty warm, but gives little size so I had to take more sizing")</f>
        <v>It's pretty warm, but gives little size so I had to take more sizing</v>
      </c>
    </row>
    <row r="2583">
      <c r="A2583" s="1">
        <v>4.0</v>
      </c>
      <c r="B2583" s="1" t="s">
        <v>2570</v>
      </c>
      <c r="C2583" t="str">
        <f>IFERROR(__xludf.DUMMYFUNCTION("GOOGLETRANSLATE(B2583, ""es"", ""en"")"),"DVD CD needed to record my wedding and this was the cheapest I found in his day. For me it has been perfect.")</f>
        <v>DVD CD needed to record my wedding and this was the cheapest I found in his day. For me it has been perfect.</v>
      </c>
    </row>
    <row r="2584">
      <c r="A2584" s="1">
        <v>5.0</v>
      </c>
      <c r="B2584" s="1" t="s">
        <v>2571</v>
      </c>
      <c r="C2584" t="str">
        <f>IFERROR(__xludf.DUMMYFUNCTION("GOOGLETRANSLATE(B2584, ""es"", ""en"")"),"Effectiveness need to make shipping labels although jewelry are still too large anyway that I bought it, great!")</f>
        <v>Effectiveness need to make shipping labels although jewelry are still too large anyway that I bought it, great!</v>
      </c>
    </row>
    <row r="2585">
      <c r="A2585" s="1">
        <v>5.0</v>
      </c>
      <c r="B2585" s="1" t="s">
        <v>2572</v>
      </c>
      <c r="C2585" t="str">
        <f>IFERROR(__xludf.DUMMYFUNCTION("GOOGLETRANSLATE(B2585, ""es"", ""en"")"),"The three B These shoes are great. Comfortable and not heavy.")</f>
        <v>The three B These shoes are great. Comfortable and not heavy.</v>
      </c>
    </row>
    <row r="2586">
      <c r="A2586" s="1">
        <v>5.0</v>
      </c>
      <c r="B2586" s="1" t="s">
        <v>2573</v>
      </c>
      <c r="C2586" t="str">
        <f>IFERROR(__xludf.DUMMYFUNCTION("GOOGLETRANSLATE(B2586, ""es"", ""en"")"),"It can be removed from the base container. There are others who can not do this perfect. Quality unbeatable price")</f>
        <v>It can be removed from the base container. There are others who can not do this perfect. Quality unbeatable price</v>
      </c>
    </row>
    <row r="2587">
      <c r="A2587" s="1">
        <v>5.0</v>
      </c>
      <c r="B2587" s="1" t="s">
        <v>2574</v>
      </c>
      <c r="C2587" t="str">
        <f>IFERROR(__xludf.DUMMYFUNCTION("GOOGLETRANSLATE(B2587, ""es"", ""en"")"),"retinas small bottles with narrow mouth. 100% recommended are small and the retinas narrow mouth bottles. Eye with that. But worth it because the supply is fine. The delivery was fast in what fits")</f>
        <v>retinas small bottles with narrow mouth. 100% recommended are small and the retinas narrow mouth bottles. Eye with that. But worth it because the supply is fine. The delivery was fast in what fits</v>
      </c>
    </row>
    <row r="2588">
      <c r="A2588" s="1">
        <v>5.0</v>
      </c>
      <c r="B2588" s="1" t="s">
        <v>2575</v>
      </c>
      <c r="C2588" t="str">
        <f>IFERROR(__xludf.DUMMYFUNCTION("GOOGLETRANSLATE(B2588, ""es"", ""en"")"),"More than a year using it and perfect La've been using for over a year and it works perfectly. It is fast for small volumes of water (0.5 to 0.75 liters, which is what usually use) and the outer plastic has not been soiled or deteriorated excessively. goo"&amp;"d buy")</f>
        <v>More than a year using it and perfect La've been using for over a year and it works perfectly. It is fast for small volumes of water (0.5 to 0.75 liters, which is what usually use) and the outer plastic has not been soiled or deteriorated excessively. good buy</v>
      </c>
    </row>
    <row r="2589">
      <c r="A2589" s="1">
        <v>5.0</v>
      </c>
      <c r="B2589" s="1" t="s">
        <v>2576</v>
      </c>
      <c r="C2589" t="str">
        <f>IFERROR(__xludf.DUMMYFUNCTION("GOOGLETRANSLATE(B2589, ""es"", ""en"")"),"Buy yourself another safe! They are definitely the best memory for the Dj! Fast and strong! The aluminum body gives a very good finish. Practical and functional. It is expensive but worth it")</f>
        <v>Buy yourself another safe! They are definitely the best memory for the Dj! Fast and strong! The aluminum body gives a very good finish. Practical and functional. It is expensive but worth it</v>
      </c>
    </row>
    <row r="2590">
      <c r="A2590" s="1">
        <v>5.0</v>
      </c>
      <c r="B2590" s="1" t="s">
        <v>2577</v>
      </c>
      <c r="C2590" t="str">
        <f>IFERROR(__xludf.DUMMYFUNCTION("GOOGLETRANSLATE(B2590, ""es"", ""en"")"),"Good quality and comfort Very comfortable and Robustas. They weigh little. To work all day and walk me going great. Winter great")</f>
        <v>Good quality and comfort Very comfortable and Robustas. They weigh little. To work all day and walk me going great. Winter great</v>
      </c>
    </row>
    <row r="2591">
      <c r="A2591" s="1">
        <v>5.0</v>
      </c>
      <c r="B2591" s="1" t="s">
        <v>2578</v>
      </c>
      <c r="C2591" t="str">
        <f>IFERROR(__xludf.DUMMYFUNCTION("GOOGLETRANSLATE(B2591, ""es"", ""en"")"),"Helmets adaptable to ear your shipment fast and in perfect condition I like very much are elegant and easy to k connect the Bluetooth to the phone fit well and were made to not hear outside noise the quality of the sound is truly exceptional has FM radio "&amp;"you can answer your phone calls without the need to take ... Buy recommended if you are looking for a Bluetooth helmets amply fulfill their function without the price is too high")</f>
        <v>Helmets adaptable to ear your shipment fast and in perfect condition I like very much are elegant and easy to k connect the Bluetooth to the phone fit well and were made to not hear outside noise the quality of the sound is truly exceptional has FM radio you can answer your phone calls without the need to take ... Buy recommended if you are looking for a Bluetooth helmets amply fulfill their function without the price is too high</v>
      </c>
    </row>
    <row r="2592">
      <c r="A2592" s="1">
        <v>5.0</v>
      </c>
      <c r="B2592" s="1" t="s">
        <v>2579</v>
      </c>
      <c r="C2592" t="str">
        <f>IFERROR(__xludf.DUMMYFUNCTION("GOOGLETRANSLATE(B2592, ""es"", ""en"")"),"No fall is heard well and subject to the ear is very good. Gives me quality in all aspects. They come beautifully presented.")</f>
        <v>No fall is heard well and subject to the ear is very good. Gives me quality in all aspects. They come beautifully presented.</v>
      </c>
    </row>
    <row r="2593">
      <c r="A2593" s="1">
        <v>5.0</v>
      </c>
      <c r="B2593" s="1" t="s">
        <v>2580</v>
      </c>
      <c r="C2593" t="str">
        <f>IFERROR(__xludf.DUMMYFUNCTION("GOOGLETRANSLATE(B2593, ""es"", ""en"")"),"Good value for money wanted a memory of this type to move files and photos from mobile more quickly and conveniently. My phone is the iphoneX me and is working perfectly, it connects very fast and upload speed of information is good. Regarding its design "&amp;"is very cute, I chose pink and comes in a box with an adapter if you want to use on other devices.")</f>
        <v>Good value for money wanted a memory of this type to move files and photos from mobile more quickly and conveniently. My phone is the iphoneX me and is working perfectly, it connects very fast and upload speed of information is good. Regarding its design is very cute, I chose pink and comes in a box with an adapter if you want to use on other devices.</v>
      </c>
    </row>
    <row r="2594">
      <c r="A2594" s="1">
        <v>5.0</v>
      </c>
      <c r="B2594" s="1" t="s">
        <v>2581</v>
      </c>
      <c r="C2594" t="str">
        <f>IFERROR(__xludf.DUMMYFUNCTION("GOOGLETRANSLATE(B2594, ""es"", ""en"")"),"They are very bright and very nice very nice and good size")</f>
        <v>They are very bright and very nice very nice and good size</v>
      </c>
    </row>
    <row r="2595">
      <c r="A2595" s="1">
        <v>5.0</v>
      </c>
      <c r="B2595" s="1" t="s">
        <v>2582</v>
      </c>
      <c r="C2595" t="str">
        <f>IFERROR(__xludf.DUMMYFUNCTION("GOOGLETRANSLATE(B2595, ""es"", ""en"")"),"Q good magnifier fulfills its purpose amply meets my expectations. I used to paint the miniatures of 2.8 cm. the details are perfectly (choose the right lens according accuracy and distance) and not get tired. He used glasses and are relatively comfortabl"&amp;"e to use once q magnifying glass. Light helps a lot to distinguish details and is well q can be oriented. Q The only but I can think of is the support to improve magnifying glass on the nose. It is rigid and there are q look good position to not bother q "&amp;"(at least to me wearing glasses q).")</f>
        <v>Q good magnifier fulfills its purpose amply meets my expectations. I used to paint the miniatures of 2.8 cm. the details are perfectly (choose the right lens according accuracy and distance) and not get tired. He used glasses and are relatively comfortable to use once q magnifying glass. Light helps a lot to distinguish details and is well q can be oriented. Q The only but I can think of is the support to improve magnifying glass on the nose. It is rigid and there are q look good position to not bother q (at least to me wearing glasses q).</v>
      </c>
    </row>
    <row r="2596">
      <c r="A2596" s="1">
        <v>5.0</v>
      </c>
      <c r="B2596" s="1" t="s">
        <v>2583</v>
      </c>
      <c r="C2596" t="str">
        <f>IFERROR(__xludf.DUMMYFUNCTION("GOOGLETRANSLATE(B2596, ""es"", ""en"")"),"Very practical is very practical to make juice or smoothy with this mini blender. Montarje is lightweight and easy disassembly. Also it serves to convey the juice or beaten with a handle that folds and unfolds. The container is made of glass can be dishwa"&amp;"sher safe and easy cleanability. To make crushed fruit to mush also going very well. My daughter really like juices and delighted with this little blender are not too lazy to use and clean.")</f>
        <v>Very practical is very practical to make juice or smoothy with this mini blender. Montarje is lightweight and easy disassembly. Also it serves to convey the juice or beaten with a handle that folds and unfolds. The container is made of glass can be dishwasher safe and easy cleanability. To make crushed fruit to mush also going very well. My daughter really like juices and delighted with this little blender are not too lazy to use and clean.</v>
      </c>
    </row>
    <row r="2597">
      <c r="A2597" s="1">
        <v>5.0</v>
      </c>
      <c r="B2597" s="1" t="s">
        <v>2584</v>
      </c>
      <c r="C2597" t="str">
        <f>IFERROR(__xludf.DUMMYFUNCTION("GOOGLETRANSLATE(B2597, ""es"", ""en"")"),"Antonio V.V. This very bien.yo have too little of this brand and I see money bien.material good even for outdoor recomiendo.medida lluvia.lo and perfect interior.")</f>
        <v>Antonio V.V. This very bien.yo have too little of this brand and I see money bien.material good even for outdoor recomiendo.medida lluvia.lo and perfect interior.</v>
      </c>
    </row>
    <row r="2598">
      <c r="A2598" s="1">
        <v>5.0</v>
      </c>
      <c r="B2598" s="1" t="s">
        <v>2585</v>
      </c>
      <c r="C2598" t="str">
        <f>IFERROR(__xludf.DUMMYFUNCTION("GOOGLETRANSLATE(B2598, ""es"", ""en"")"),"TIMBERLAND BOOT PREMIUM me no choice but to congratulate the opinion of my comrades and give them absolute reason. High quality boots at a bargain price (When this) and insignificant to what the product itself. Amazon says they are for women but for men n"&amp;"ot even noticed the difference. I think I'll buy a couple more for my family because this is a real bargain. Boots that guise of more than 200 euros for 40. Almost free come on. Thank you Amazon for these rebates so incredible that do occasionally. When I"&amp;" saw I thought; Hell, that piece of boots. I worked so much detail. That leather so good. Like smell. Finally, delighted and satisfied 100%. The highly recommend whether or if. By the way, perfect shipping. Delivery was scheduled for more than three weeks"&amp;" but progress and have come today. Great.")</f>
        <v>TIMBERLAND BOOT PREMIUM me no choice but to congratulate the opinion of my comrades and give them absolute reason. High quality boots at a bargain price (When this) and insignificant to what the product itself. Amazon says they are for women but for men not even noticed the difference. I think I'll buy a couple more for my family because this is a real bargain. Boots that guise of more than 200 euros for 40. Almost free come on. Thank you Amazon for these rebates so incredible that do occasionally. When I saw I thought; Hell, that piece of boots. I worked so much detail. That leather so good. Like smell. Finally, delighted and satisfied 100%. The highly recommend whether or if. By the way, perfect shipping. Delivery was scheduled for more than three weeks but progress and have come today. Great.</v>
      </c>
    </row>
    <row r="2599">
      <c r="A2599" s="1">
        <v>5.0</v>
      </c>
      <c r="B2599" s="1" t="s">
        <v>2586</v>
      </c>
      <c r="C2599" t="str">
        <f>IFERROR(__xludf.DUMMYFUNCTION("GOOGLETRANSLATE(B2599, ""es"", ""en"")"),"Perhaps the biggest q beautiful in the photo, but just bonito..esos if I care xq opening the petals out")</f>
        <v>Perhaps the biggest q beautiful in the photo, but just bonito..esos if I care xq opening the petals out</v>
      </c>
    </row>
    <row r="2600">
      <c r="A2600" s="1">
        <v>5.0</v>
      </c>
      <c r="B2600" s="1" t="s">
        <v>2587</v>
      </c>
      <c r="C2600" t="str">
        <f>IFERROR(__xludf.DUMMYFUNCTION("GOOGLETRANSLATE(B2600, ""es"", ""en"")"),"Precious classic, color is very vivid and intense red. They carve well and are very comfortable. a remake of a classic slippers returning. The price is high and not easy to get.")</f>
        <v>Precious classic, color is very vivid and intense red. They carve well and are very comfortable. a remake of a classic slippers returning. The price is high and not easy to get.</v>
      </c>
    </row>
    <row r="2601">
      <c r="A2601" s="1">
        <v>5.0</v>
      </c>
      <c r="B2601" s="1" t="s">
        <v>2588</v>
      </c>
      <c r="C2601" t="str">
        <f>IFERROR(__xludf.DUMMYFUNCTION("GOOGLETRANSLATE(B2601, ""es"", ""en"")"),"Very happy The mixer meets expectations, accessories are very functional and comfortable, are very happy with laas two units that we bought in my family.")</f>
        <v>Very happy The mixer meets expectations, accessories are very functional and comfortable, are very happy with laas two units that we bought in my family.</v>
      </c>
    </row>
    <row r="2602">
      <c r="A2602" s="1">
        <v>5.0</v>
      </c>
      <c r="B2602" s="1" t="s">
        <v>2589</v>
      </c>
      <c r="C2602" t="str">
        <f>IFERROR(__xludf.DUMMYFUNCTION("GOOGLETRANSLATE(B2602, ""es"", ""en"")"),"Good product fulfills its function.")</f>
        <v>Good product fulfills its function.</v>
      </c>
    </row>
    <row r="2603">
      <c r="A2603" s="1">
        <v>2.0</v>
      </c>
      <c r="B2603" s="1" t="s">
        <v>2590</v>
      </c>
      <c r="C2603" t="str">
        <f>IFERROR(__xludf.DUMMYFUNCTION("GOOGLETRANSLATE(B2603, ""es"", ""en"")"),"So far disappointing've tried with lavender and sweet orange, with more than generous doses have to be the same side of the humidifier to smell something. Compared with one bought in the Chinese turn, they have no color. I repeat disappointed.")</f>
        <v>So far disappointing've tried with lavender and sweet orange, with more than generous doses have to be the same side of the humidifier to smell something. Compared with one bought in the Chinese turn, they have no color. I repeat disappointed.</v>
      </c>
    </row>
    <row r="2604">
      <c r="A2604" s="1">
        <v>3.0</v>
      </c>
      <c r="B2604" s="1" t="s">
        <v>2591</v>
      </c>
      <c r="C2604" t="str">
        <f>IFERROR(__xludf.DUMMYFUNCTION("GOOGLETRANSLATE(B2604, ""es"", ""en"")"),"OK but not subject well I bought these headphones for the gym, and the truth that in terms of sound quality are correct for the price and size they have. However for some sports headphones grip it is not good; headphones not reach but will fall out of the"&amp;" ear canal, as the rubber holding the handset is hard plastic so it will not grab the ear and is not of the whole subject.")</f>
        <v>OK but not subject well I bought these headphones for the gym, and the truth that in terms of sound quality are correct for the price and size they have. However for some sports headphones grip it is not good; headphones not reach but will fall out of the ear canal, as the rubber holding the handset is hard plastic so it will not grab the ear and is not of the whole subject.</v>
      </c>
    </row>
    <row r="2605">
      <c r="A2605" s="1">
        <v>3.0</v>
      </c>
      <c r="B2605" s="1" t="s">
        <v>2592</v>
      </c>
      <c r="C2605" t="str">
        <f>IFERROR(__xludf.DUMMYFUNCTION("GOOGLETRANSLATE(B2605, ""es"", ""en"")"),"He has satisfied the need of him. The relationship is balanced boasts quality. Meets what is expected of a normal mixer. It is easy to wash after use.")</f>
        <v>He has satisfied the need of him. The relationship is balanced boasts quality. Meets what is expected of a normal mixer. It is easy to wash after use.</v>
      </c>
    </row>
    <row r="2606">
      <c r="A2606" s="1">
        <v>1.0</v>
      </c>
      <c r="B2606" s="1" t="s">
        <v>2593</v>
      </c>
      <c r="C2606" t="str">
        <f>IFERROR(__xludf.DUMMYFUNCTION("GOOGLETRANSLATE(B2606, ""es"", ""en"")"),"Value 0 has not liked anything, the color of the bracelet is different from that of the support clock; to make it smaller need you out a master watchmaking, and to top it weighs like a wall clock !!!!")</f>
        <v>Value 0 has not liked anything, the color of the bracelet is different from that of the support clock; to make it smaller need you out a master watchmaking, and to top it weighs like a wall clock !!!!</v>
      </c>
    </row>
    <row r="2607">
      <c r="A2607" s="1">
        <v>1.0</v>
      </c>
      <c r="B2607" s="1" t="s">
        <v>2594</v>
      </c>
      <c r="C2607" t="str">
        <f>IFERROR(__xludf.DUMMYFUNCTION("GOOGLETRANSLATE(B2607, ""es"", ""en"")"),"Horrible my fault, for novice and buy one of plastic with resistance inside to buy what little you saw in my little white things ... it was cal !!!!, I repeat my fault")</f>
        <v>Horrible my fault, for novice and buy one of plastic with resistance inside to buy what little you saw in my little white things ... it was cal !!!!, I repeat my fault</v>
      </c>
    </row>
    <row r="2608">
      <c r="A2608" s="1">
        <v>1.0</v>
      </c>
      <c r="B2608" s="1" t="s">
        <v>2595</v>
      </c>
      <c r="C2608" t="str">
        <f>IFERROR(__xludf.DUMMYFUNCTION("GOOGLETRANSLATE(B2608, ""es"", ""en"")"),"Lidia is very nice but although it puts sterling silver, my I'm allergic to jewelry, they hurt me.")</f>
        <v>Lidia is very nice but although it puts sterling silver, my I'm allergic to jewelry, they hurt me.</v>
      </c>
    </row>
    <row r="2609">
      <c r="A2609" s="1">
        <v>4.0</v>
      </c>
      <c r="B2609" s="1" t="s">
        <v>2596</v>
      </c>
      <c r="C2609" t="str">
        <f>IFERROR(__xludf.DUMMYFUNCTION("GOOGLETRANSLATE(B2609, ""es"", ""en"")"),"I arrive arrived in perfect condition agreed time and now it works great.")</f>
        <v>I arrive arrived in perfect condition agreed time and now it works great.</v>
      </c>
    </row>
    <row r="2610">
      <c r="A2610" s="1">
        <v>4.0</v>
      </c>
      <c r="B2610" s="1" t="s">
        <v>2597</v>
      </c>
      <c r="C2610" t="str">
        <f>IFERROR(__xludf.DUMMYFUNCTION("GOOGLETRANSLATE(B2610, ""es"", ""en"")"),"All Star All Black Genuine classic in form but with a new design to the present with sole and toe totally black. In the purest style All Black. very cool")</f>
        <v>All Star All Black Genuine classic in form but with a new design to the present with sole and toe totally black. In the purest style All Black. very cool</v>
      </c>
    </row>
    <row r="2611">
      <c r="A2611" s="1">
        <v>4.0</v>
      </c>
      <c r="B2611" s="1" t="s">
        <v>2598</v>
      </c>
      <c r="C2611" t="str">
        <f>IFERROR(__xludf.DUMMYFUNCTION("GOOGLETRANSLATE(B2611, ""es"", ""en"")"),"ACHIEVER This beautifully finished and very hot and very fast. The paste only the plastic cover when the open falls a little water. But let by get a snag. Is very beautiful is very well priced.")</f>
        <v>ACHIEVER This beautifully finished and very hot and very fast. The paste only the plastic cover when the open falls a little water. But let by get a snag. Is very beautiful is very well priced.</v>
      </c>
    </row>
    <row r="2612">
      <c r="A2612" s="1">
        <v>4.0</v>
      </c>
      <c r="B2612" s="1" t="s">
        <v>2599</v>
      </c>
      <c r="C2612" t="str">
        <f>IFERROR(__xludf.DUMMYFUNCTION("GOOGLETRANSLATE(B2612, ""es"", ""en"")"),"Crisriano Ronaldo precious Adidas. I have 42 and this model could order a half size smaller, otherwise perfect everything.")</f>
        <v>Crisriano Ronaldo precious Adidas. I have 42 and this model could order a half size smaller, otherwise perfect everything.</v>
      </c>
    </row>
    <row r="2613">
      <c r="A2613" s="1">
        <v>4.0</v>
      </c>
      <c r="B2613" s="1" t="s">
        <v>2600</v>
      </c>
      <c r="C2613" t="str">
        <f>IFERROR(__xludf.DUMMYFUNCTION("GOOGLETRANSLATE(B2613, ""es"", ""en"")"),"A little big The perfect sport, the only thing left me a little big, we made the return and hope to send me my number, usually in other slippers use this number but these are my great, otherwise everything perfect, now wait They send to me ..")</f>
        <v>A little big The perfect sport, the only thing left me a little big, we made the return and hope to send me my number, usually in other slippers use this number but these are my great, otherwise everything perfect, now wait They send to me ..</v>
      </c>
    </row>
    <row r="2614">
      <c r="A2614" s="1">
        <v>5.0</v>
      </c>
      <c r="B2614" s="1" t="s">
        <v>2601</v>
      </c>
      <c r="C2614" t="str">
        <f>IFERROR(__xludf.DUMMYFUNCTION("GOOGLETRANSLATE(B2614, ""es"", ""en"")"),"QUALITY AND COMFORT For an affordable price have these good headphones. They are comfortable, have good sound quality. The battery gives for many hours. Good material and good workmanship. They are very practical, as long as you finish using them guards i"&amp;"n their box and loaded, so you have them ready for the next time you're going to use. They are not recommended for sports, but perfect for everything else.")</f>
        <v>QUALITY AND COMFORT For an affordable price have these good headphones. They are comfortable, have good sound quality. The battery gives for many hours. Good material and good workmanship. They are very practical, as long as you finish using them guards in their box and loaded, so you have them ready for the next time you're going to use. They are not recommended for sports, but perfect for everything else.</v>
      </c>
    </row>
    <row r="2615">
      <c r="A2615" s="1">
        <v>5.0</v>
      </c>
      <c r="B2615" s="1" t="s">
        <v>2602</v>
      </c>
      <c r="C2615" t="str">
        <f>IFERROR(__xludf.DUMMYFUNCTION("GOOGLETRANSLATE(B2615, ""es"", ""en"")"),"Finish quality and comfort of wear fantastic. It really is as expected. Very satisfied with the purchase and took him with me always. I would buy it. Excellent finishes and good quality material. 100% advisable if you are looking for this style of bag. Id"&amp;"eal for riding a bike or walking. correct capacity, keys, wallet, bank passbooks, scarves, glasses and there is room for more.")</f>
        <v>Finish quality and comfort of wear fantastic. It really is as expected. Very satisfied with the purchase and took him with me always. I would buy it. Excellent finishes and good quality material. 100% advisable if you are looking for this style of bag. Ideal for riding a bike or walking. correct capacity, keys, wallet, bank passbooks, scarves, glasses and there is room for more.</v>
      </c>
    </row>
    <row r="2616">
      <c r="A2616" s="1">
        <v>5.0</v>
      </c>
      <c r="B2616" s="1" t="s">
        <v>2603</v>
      </c>
      <c r="C2616" t="str">
        <f>IFERROR(__xludf.DUMMYFUNCTION("GOOGLETRANSLATE(B2616, ""es"", ""en"")"),"High quality slate surprised by the quality of this slate robust. It is fixed to the wall with four holes in the wall, placed at the four corners of the board, I become totally attached to the wall without gaps. Labelers slide perfectly on the surface and"&amp;" no marks after erasing.")</f>
        <v>High quality slate surprised by the quality of this slate robust. It is fixed to the wall with four holes in the wall, placed at the four corners of the board, I become totally attached to the wall without gaps. Labelers slide perfectly on the surface and no marks after erasing.</v>
      </c>
    </row>
    <row r="2617">
      <c r="A2617" s="1">
        <v>5.0</v>
      </c>
      <c r="B2617" s="1" t="s">
        <v>2604</v>
      </c>
      <c r="C2617" t="str">
        <f>IFERROR(__xludf.DUMMYFUNCTION("GOOGLETRANSLATE(B2617, ""es"", ""en"")"),"Comfortable and beautiful. A comfortable sneaker, to my taste, nice. Normal Calza. By a comment I read, I took half size too, but I do not seem to be narrow.")</f>
        <v>Comfortable and beautiful. A comfortable sneaker, to my taste, nice. Normal Calza. By a comment I read, I took half size too, but I do not seem to be narrow.</v>
      </c>
    </row>
    <row r="2618">
      <c r="A2618" s="1">
        <v>5.0</v>
      </c>
      <c r="B2618" s="1" t="s">
        <v>2605</v>
      </c>
      <c r="C2618" t="str">
        <f>IFERROR(__xludf.DUMMYFUNCTION("GOOGLETRANSLATE(B2618, ""es"", ""en"")"),"Well-designed tastefully designed, finished first, very good.")</f>
        <v>Well-designed tastefully designed, finished first, very good.</v>
      </c>
    </row>
    <row r="2619">
      <c r="A2619" s="1">
        <v>5.0</v>
      </c>
      <c r="B2619" s="1" t="s">
        <v>2606</v>
      </c>
      <c r="C2619" t="str">
        <f>IFERROR(__xludf.DUMMYFUNCTION("GOOGLETRANSLATE(B2619, ""es"", ""en"")"),"I like the color I've used yet. The day came sooner than expected. It looks good. We will see that the result")</f>
        <v>I like the color I've used yet. The day came sooner than expected. It looks good. We will see that the result</v>
      </c>
    </row>
    <row r="2620">
      <c r="A2620" s="1">
        <v>5.0</v>
      </c>
      <c r="B2620" s="1" t="s">
        <v>2607</v>
      </c>
      <c r="C2620" t="str">
        <f>IFERROR(__xludf.DUMMYFUNCTION("GOOGLETRANSLATE(B2620, ""es"", ""en"")"),"Dj'm perfect, works perfectly with the CDJ and drivers (all in one), LOCOS capacity and speed! I recommend it 100% ...")</f>
        <v>Dj'm perfect, works perfectly with the CDJ and drivers (all in one), LOCOS capacity and speed! I recommend it 100% ...</v>
      </c>
    </row>
    <row r="2621">
      <c r="A2621" s="1">
        <v>5.0</v>
      </c>
      <c r="B2621" s="1" t="s">
        <v>2608</v>
      </c>
      <c r="C2621" t="str">
        <f>IFERROR(__xludf.DUMMYFUNCTION("GOOGLETRANSLATE(B2621, ""es"", ""en"")"),"Super lightweight comfortable. The dance use.")</f>
        <v>Super lightweight comfortable. The dance use.</v>
      </c>
    </row>
    <row r="2622">
      <c r="A2622" s="1">
        <v>5.0</v>
      </c>
      <c r="B2622" s="1" t="s">
        <v>2609</v>
      </c>
      <c r="C2622" t="str">
        <f>IFERROR(__xludf.DUMMYFUNCTION("GOOGLETRANSLATE(B2622, ""es"", ""en"")"),"guauuuu that effectively Watch effectiveness Amazon to meet deadlines has been fabulous, thank you. Subscribe to amazon prime no fault! Fantastical THERMO FOR MY BABY, I LOVE THE COLOR CELESTE")</f>
        <v>guauuuu that effectively Watch effectiveness Amazon to meet deadlines has been fabulous, thank you. Subscribe to amazon prime no fault! Fantastical THERMO FOR MY BABY, I LOVE THE COLOR CELESTE</v>
      </c>
    </row>
    <row r="2623">
      <c r="A2623" s="1">
        <v>5.0</v>
      </c>
      <c r="B2623" s="1" t="s">
        <v>2610</v>
      </c>
      <c r="C2623" t="str">
        <f>IFERROR(__xludf.DUMMYFUNCTION("GOOGLETRANSLATE(B2623, ""es"", ""en"")"),"The super comfortable bought for gifts and have been delighted, use a lot, are super lightweight and the sole is great.")</f>
        <v>The super comfortable bought for gifts and have been delighted, use a lot, are super lightweight and the sole is great.</v>
      </c>
    </row>
    <row r="2624">
      <c r="A2624" s="1">
        <v>5.0</v>
      </c>
      <c r="B2624" s="1" t="s">
        <v>2611</v>
      </c>
      <c r="C2624" t="str">
        <f>IFERROR(__xludf.DUMMYFUNCTION("GOOGLETRANSLATE(B2624, ""es"", ""en"")"),"The perfect product is very good and clearly fulfills its mission. The strips are of the right size for all cables from facilities TV, home cinema, cable, router sets up the laptop, mouse, printer, hard disk. It is also excellent for maintaining order cab"&amp;"les while traveling. I'm very happy")</f>
        <v>The perfect product is very good and clearly fulfills its mission. The strips are of the right size for all cables from facilities TV, home cinema, cable, router sets up the laptop, mouse, printer, hard disk. It is also excellent for maintaining order cables while traveling. I'm very happy</v>
      </c>
    </row>
    <row r="2625">
      <c r="A2625" s="1">
        <v>5.0</v>
      </c>
      <c r="B2625" s="1" t="s">
        <v>2612</v>
      </c>
      <c r="C2625" t="str">
        <f>IFERROR(__xludf.DUMMYFUNCTION("GOOGLETRANSLATE(B2625, ""es"", ""en"")"),"Very good quality great compared to the price it has. Obviously it was a gift for a follower of the RM and guessed right. Great")</f>
        <v>Very good quality great compared to the price it has. Obviously it was a gift for a follower of the RM and guessed right. Great</v>
      </c>
    </row>
    <row r="2626">
      <c r="A2626" s="1">
        <v>5.0</v>
      </c>
      <c r="B2626" s="1" t="s">
        <v>2613</v>
      </c>
      <c r="C2626" t="str">
        <f>IFERROR(__xludf.DUMMYFUNCTION("GOOGLETRANSLATE(B2626, ""es"", ""en"")"),"Cool Very good headphones. I bought them because I had a wireless quite uncomfortable, did not fit very well and I fell all the time. I must admit that these exceed my expectations. The presentation of the product is achieved, first point in their favor i"&amp;"mmediately upon receipt. In the box comes charging cable, charging cradle and headphones; the support is a charger to turn, so you can recharge several times headphones without having to plug support, something really useful if you're traveling and genera"&amp;"lly in any situation where you're not going to have on hand a plug for a while. Even so, the battery of the headset is quite good, put up about 4 hours at an average volume. The connection to the phone is surprisingly quick, the turn on a few seconds by p"&amp;"ressing the button which incorporate and then you appear ""T1"" on the screen of your mobile; without keys or rodeos, you press it, connect to the instant and you can work with them. You take them off can not turn them off, go alone in standby mode, and w"&amp;"hen you put those back, you just have to turn on Bluetooth and reconnected. At the beginning they are a bit rare to put in the ear, but quickly you got the knack. So far I have tried climbing on climbing wall and running, and even after some jerk you all "&amp;"have to reposition, not surprisingly, generally do not move from your site. The sound quality is good. You can perform various actions through the headphones themselves without having to take the phone or other electronic device to which they are linked: "&amp;"turn them off, turn up the volume, change tracks, take a call, hang; all through the side buttons that are incorporated, are easily accessible while doing other activities. Very convenient for example when you're playing sports and you can not be taking t"&amp;"he phone to change the playback track. Very satisfied with the purchase. I recommend it 100%. If you liked my review please give useful in my opinion.")</f>
        <v>Cool Very good headphones. I bought them because I had a wireless quite uncomfortable, did not fit very well and I fell all the time. I must admit that these exceed my expectations. The presentation of the product is achieved, first point in their favor immediately upon receipt. In the box comes charging cable, charging cradle and headphones; the support is a charger to turn, so you can recharge several times headphones without having to plug support, something really useful if you're traveling and generally in any situation where you're not going to have on hand a plug for a while. Even so, the battery of the headset is quite good, put up about 4 hours at an average volume. The connection to the phone is surprisingly quick, the turn on a few seconds by pressing the button which incorporate and then you appear "T1" on the screen of your mobile; without keys or rodeos, you press it, connect to the instant and you can work with them. You take them off can not turn them off, go alone in standby mode, and when you put those back, you just have to turn on Bluetooth and reconnected. At the beginning they are a bit rare to put in the ear, but quickly you got the knack. So far I have tried climbing on climbing wall and running, and even after some jerk you all have to reposition, not surprisingly, generally do not move from your site. The sound quality is good. You can perform various actions through the headphones themselves without having to take the phone or other electronic device to which they are linked: turn them off, turn up the volume, change tracks, take a call, hang; all through the side buttons that are incorporated, are easily accessible while doing other activities. Very convenient for example when you're playing sports and you can not be taking the phone to change the playback track. Very satisfied with the purchase. I recommend it 100%. If you liked my review please give useful in my opinion.</v>
      </c>
    </row>
    <row r="2627">
      <c r="A2627" s="1">
        <v>5.0</v>
      </c>
      <c r="B2627" s="1" t="s">
        <v>2614</v>
      </c>
      <c r="C2627" t="str">
        <f>IFERROR(__xludf.DUMMYFUNCTION("GOOGLETRANSLATE(B2627, ""es"", ""en"")"),"Highly recommended The delivery was very fast. All perfect.")</f>
        <v>Highly recommended The delivery was very fast. All perfect.</v>
      </c>
    </row>
    <row r="2628">
      <c r="A2628" s="1">
        <v>5.0</v>
      </c>
      <c r="B2628" s="1" t="s">
        <v>2615</v>
      </c>
      <c r="C2628" t="str">
        <f>IFERROR(__xludf.DUMMYFUNCTION("GOOGLETRANSLATE(B2628, ""es"", ""en"")"),"perfectly fulfill their function are very robust bananas that perfectly fulfill their function of connection between a speaker and amplifier.")</f>
        <v>perfectly fulfill their function are very robust bananas that perfectly fulfill their function of connection between a speaker and amplifier.</v>
      </c>
    </row>
    <row r="2629">
      <c r="A2629" s="1">
        <v>5.0</v>
      </c>
      <c r="B2629" s="1" t="s">
        <v>2616</v>
      </c>
      <c r="C2629" t="str">
        <f>IFERROR(__xludf.DUMMYFUNCTION("GOOGLETRANSLATE(B2629, ""es"", ""en"")"),"Perfect size and quality fabric. Perfect. In addition to the size that is easy in levi's alantener fairly definite pattern, the shirt is quite nice and the fabric quality as expected.")</f>
        <v>Perfect size and quality fabric. Perfect. In addition to the size that is easy in levi's alantener fairly definite pattern, the shirt is quite nice and the fabric quality as expected.</v>
      </c>
    </row>
    <row r="2630">
      <c r="A2630" s="1">
        <v>5.0</v>
      </c>
      <c r="B2630" s="1" t="s">
        <v>2617</v>
      </c>
      <c r="C2630" t="str">
        <f>IFERROR(__xludf.DUMMYFUNCTION("GOOGLETRANSLATE(B2630, ""es"", ""en"")"),"Very handy I like its design and practicality. Many pockets as well. ideal capacity. Color slightly darker than the picture. But I like it")</f>
        <v>Very handy I like its design and practicality. Many pockets as well. ideal capacity. Color slightly darker than the picture. But I like it</v>
      </c>
    </row>
    <row r="2631">
      <c r="A2631" s="1">
        <v>5.0</v>
      </c>
      <c r="B2631" s="1" t="s">
        <v>2618</v>
      </c>
      <c r="C2631" t="str">
        <f>IFERROR(__xludf.DUMMYFUNCTION("GOOGLETRANSLATE(B2631, ""es"", ""en"")"),"Cool few weeks I've been using it and are great, they are light. I love the colors. I ordered a size over which commonly use")</f>
        <v>Cool few weeks I've been using it and are great, they are light. I love the colors. I ordered a size over which commonly use</v>
      </c>
    </row>
    <row r="2632">
      <c r="A2632" s="1">
        <v>2.0</v>
      </c>
      <c r="B2632" s="1" t="s">
        <v>2619</v>
      </c>
      <c r="C2632" t="str">
        <f>IFERROR(__xludf.DUMMYFUNCTION("GOOGLETRANSLATE(B2632, ""es"", ""en"")"),"Colorfast is very practical, it has some good finishes and looks good material. However, in its first use I used it with a white shirt and the area in contact with the bag was completely marrón.Al wash the shirt the stain disappeared, but it is something "&amp;"that had never happened to me with a bag of skin.")</f>
        <v>Colorfast is very practical, it has some good finishes and looks good material. However, in its first use I used it with a white shirt and the area in contact with the bag was completely marrón.Al wash the shirt the stain disappeared, but it is something that had never happened to me with a bag of skin.</v>
      </c>
    </row>
    <row r="2633">
      <c r="A2633" s="1">
        <v>3.0</v>
      </c>
      <c r="B2633" s="1" t="s">
        <v>2620</v>
      </c>
      <c r="C2633" t="str">
        <f>IFERROR(__xludf.DUMMYFUNCTION("GOOGLETRANSLATE(B2633, ""es"", ""en"")"),"Works but uncomfortable to use. This good but not great. It is awkward to use, because you got to stay sitting without back support. As indicated by the name is cervical, nothing more. But ... I've used pretty much calmed me and headache. I still use regu"&amp;"larly and I am much better. (I bought it at 29.99 euros and the following week was already 39.99 🤔)")</f>
        <v>Works but uncomfortable to use. This good but not great. It is awkward to use, because you got to stay sitting without back support. As indicated by the name is cervical, nothing more. But ... I've used pretty much calmed me and headache. I still use regularly and I am much better. (I bought it at 29.99 euros and the following week was already 39.99 🤔)</v>
      </c>
    </row>
    <row r="2634">
      <c r="A2634" s="1">
        <v>3.0</v>
      </c>
      <c r="B2634" s="1" t="s">
        <v>2621</v>
      </c>
      <c r="C2634" t="str">
        <f>IFERROR(__xludf.DUMMYFUNCTION("GOOGLETRANSLATE(B2634, ""es"", ""en"")"),"Shame is the second q pair bought for my daughter, but I q porq return turned out to be very large, there is much difference between the previous size d number and est. Shame porq my daughter was thrilled with the above.")</f>
        <v>Shame is the second q pair bought for my daughter, but I q porq return turned out to be very large, there is much difference between the previous size d number and est. Shame porq my daughter was thrilled with the above.</v>
      </c>
    </row>
    <row r="2635">
      <c r="A2635" s="1">
        <v>3.0</v>
      </c>
      <c r="B2635" s="1" t="s">
        <v>2622</v>
      </c>
      <c r="C2635" t="str">
        <f>IFERROR(__xludf.DUMMYFUNCTION("GOOGLETRANSLATE(B2635, ""es"", ""en"")"),"M very large size I ordered a size M and is immense. The product looks good quality. I can not judge anything")</f>
        <v>M very large size I ordered a size M and is immense. The product looks good quality. I can not judge anything</v>
      </c>
    </row>
    <row r="2636">
      <c r="A2636" s="1">
        <v>1.0</v>
      </c>
      <c r="B2636" s="1" t="s">
        <v>2623</v>
      </c>
      <c r="C2636" t="str">
        <f>IFERROR(__xludf.DUMMYFUNCTION("GOOGLETRANSLATE(B2636, ""es"", ""en"")"),"They do not correspond to the actual number that asked not correspond to the real. Places that are skin and are not, they are plastic. Very bad quality.")</f>
        <v>They do not correspond to the actual number that asked not correspond to the real. Places that are skin and are not, they are plastic. Very bad quality.</v>
      </c>
    </row>
    <row r="2637">
      <c r="A2637" s="1">
        <v>1.0</v>
      </c>
      <c r="B2637" s="1" t="s">
        <v>2624</v>
      </c>
      <c r="C2637" t="str">
        <f>IFERROR(__xludf.DUMMYFUNCTION("GOOGLETRANSLATE(B2637, ""es"", ""en"")"),"TWIN PACK IS NOT The product is advertised as TWIN PACK and I have only received one card. The Twin Pack package are two cards, not one, if not, to be advertised correctly.")</f>
        <v>TWIN PACK IS NOT The product is advertised as TWIN PACK and I have only received one card. The Twin Pack package are two cards, not one, if not, to be advertised correctly.</v>
      </c>
    </row>
    <row r="2638">
      <c r="A2638" s="1">
        <v>4.0</v>
      </c>
      <c r="B2638" s="1" t="s">
        <v>2625</v>
      </c>
      <c r="C2638" t="str">
        <f>IFERROR(__xludf.DUMMYFUNCTION("GOOGLETRANSLATE(B2638, ""es"", ""en"")"),"Good quality and price is what I expected")</f>
        <v>Good quality and price is what I expected</v>
      </c>
    </row>
    <row r="2639">
      <c r="A2639" s="1">
        <v>4.0</v>
      </c>
      <c r="B2639" s="1" t="s">
        <v>2626</v>
      </c>
      <c r="C2639" t="str">
        <f>IFERROR(__xludf.DUMMYFUNCTION("GOOGLETRANSLATE(B2639, ""es"", ""en"")"),"I bought good buy below 100 €, and I think for 4TB is a good buy. No one expected the hard drive faster than the market, but to make a data backup is a fantastic option. Discs feature last about 5 years of use, which in the case of WD usually met, if not "&amp;"exceeded, and that is what I expect from this album. Also, I was reading discs 4TB had fewer failures than 3, 5 or 6 and between that and the price of this model made me decide. I recommend buying.")</f>
        <v>I bought good buy below 100 €, and I think for 4TB is a good buy. No one expected the hard drive faster than the market, but to make a data backup is a fantastic option. Discs feature last about 5 years of use, which in the case of WD usually met, if not exceeded, and that is what I expect from this album. Also, I was reading discs 4TB had fewer failures than 3, 5 or 6 and between that and the price of this model made me decide. I recommend buying.</v>
      </c>
    </row>
    <row r="2640">
      <c r="A2640" s="1">
        <v>4.0</v>
      </c>
      <c r="B2640" s="1" t="s">
        <v>2627</v>
      </c>
      <c r="C2640" t="str">
        <f>IFERROR(__xludf.DUMMYFUNCTION("GOOGLETRANSLATE(B2640, ""es"", ""en"")"),"Cable sturdy and good quality Cable sturdy and good quality. I've bought for my stereo and install it with a banana connectors. Despite being thick, it works easily. As a snag, it would put the roll of 10m is very large, could make one of 5m. and they cou"&amp;"ld better distinguish between the two cables, because the gray line does not look very well in low light. Otherwise, everything is correct.")</f>
        <v>Cable sturdy and good quality Cable sturdy and good quality. I've bought for my stereo and install it with a banana connectors. Despite being thick, it works easily. As a snag, it would put the roll of 10m is very large, could make one of 5m. and they could better distinguish between the two cables, because the gray line does not look very well in low light. Otherwise, everything is correct.</v>
      </c>
    </row>
    <row r="2641">
      <c r="A2641" s="1">
        <v>4.0</v>
      </c>
      <c r="B2641" s="1" t="s">
        <v>2628</v>
      </c>
      <c r="C2641" t="str">
        <f>IFERROR(__xludf.DUMMYFUNCTION("GOOGLETRANSLATE(B2641, ""es"", ""en"")"),"Very nice very nice, exceeded my expectations")</f>
        <v>Very nice very nice, exceeded my expectations</v>
      </c>
    </row>
    <row r="2642">
      <c r="A2642" s="1">
        <v>5.0</v>
      </c>
      <c r="B2642" s="1" t="s">
        <v>2629</v>
      </c>
      <c r="C2642" t="str">
        <f>IFERROR(__xludf.DUMMYFUNCTION("GOOGLETRANSLATE(B2642, ""es"", ""en"")"),"Recommended The product meets function. It is added for 8 hours and then makes the babycook 3 wash cycles and ready. Recommendable.")</f>
        <v>Recommended The product meets function. It is added for 8 hours and then makes the babycook 3 wash cycles and ready. Recommendable.</v>
      </c>
    </row>
    <row r="2643">
      <c r="A2643" s="1">
        <v>5.0</v>
      </c>
      <c r="B2643" s="1" t="s">
        <v>2630</v>
      </c>
      <c r="C2643" t="str">
        <f>IFERROR(__xludf.DUMMYFUNCTION("GOOGLETRANSLATE(B2643, ""es"", ""en"")"),"Simply perfect They adapt perfectly to the ear and hold up well without falling, as they weigh little. Earrings of this style, I tried several, these are the ones that I stay; definitely.")</f>
        <v>Simply perfect They adapt perfectly to the ear and hold up well without falling, as they weigh little. Earrings of this style, I tried several, these are the ones that I stay; definitely.</v>
      </c>
    </row>
    <row r="2644">
      <c r="A2644" s="1">
        <v>5.0</v>
      </c>
      <c r="B2644" s="1" t="s">
        <v>2631</v>
      </c>
      <c r="C2644" t="str">
        <f>IFERROR(__xludf.DUMMYFUNCTION("GOOGLETRANSLATE(B2644, ""es"", ""en"")"),"Good quality. Intuitive software copy I think one of the best SSD was've had. Good transfer rate, very balanced in terms of writing speed reading. It has good cache. Easy to install. Best of all is that you Crucial includes software to make a replica of t"&amp;"he disk you want to replace easily and intuitively signature.")</f>
        <v>Good quality. Intuitive software copy I think one of the best SSD was've had. Good transfer rate, very balanced in terms of writing speed reading. It has good cache. Easy to install. Best of all is that you Crucial includes software to make a replica of the disk you want to replace easily and intuitively signature.</v>
      </c>
    </row>
    <row r="2645">
      <c r="A2645" s="1">
        <v>5.0</v>
      </c>
      <c r="B2645" s="1" t="s">
        <v>2632</v>
      </c>
      <c r="C2645" t="str">
        <f>IFERROR(__xludf.DUMMYFUNCTION("GOOGLETRANSLATE(B2645, ""es"", ""en"")"),"A happy Casio watch, so do not comment resistance, color is not as vivid as in the picture but is very nice, and fast delivery been a successful purchase and very satisfechi")</f>
        <v>A happy Casio watch, so do not comment resistance, color is not as vivid as in the picture but is very nice, and fast delivery been a successful purchase and very satisfechi</v>
      </c>
    </row>
    <row r="2646">
      <c r="A2646" s="1">
        <v>5.0</v>
      </c>
      <c r="B2646" s="1" t="s">
        <v>2633</v>
      </c>
      <c r="C2646" t="str">
        <f>IFERROR(__xludf.DUMMYFUNCTION("GOOGLETRANSLATE(B2646, ""es"", ""en"")"),"Recommended for the price, this great sounds very good and whether or not my perfect van")</f>
        <v>Recommended for the price, this great sounds very good and whether or not my perfect van</v>
      </c>
    </row>
    <row r="2647">
      <c r="A2647" s="1">
        <v>5.0</v>
      </c>
      <c r="B2647" s="1" t="s">
        <v>2634</v>
      </c>
      <c r="C2647" t="str">
        <f>IFERROR(__xludf.DUMMYFUNCTION("GOOGLETRANSLATE(B2647, ""es"", ""en"")"),"Does the job for now no hits")</f>
        <v>Does the job for now no hits</v>
      </c>
    </row>
    <row r="2648">
      <c r="A2648" s="1">
        <v>5.0</v>
      </c>
      <c r="B2648" s="1" t="s">
        <v>2635</v>
      </c>
      <c r="C2648" t="str">
        <f>IFERROR(__xludf.DUMMYFUNCTION("GOOGLETRANSLATE(B2648, ""es"", ""en"")"),"Ease cut are great for kids to do crafts with them. They are paper and can cut fingers easily without scissors")</f>
        <v>Ease cut are great for kids to do crafts with them. They are paper and can cut fingers easily without scissors</v>
      </c>
    </row>
    <row r="2649">
      <c r="A2649" s="1">
        <v>5.0</v>
      </c>
      <c r="B2649" s="1" t="s">
        <v>2636</v>
      </c>
      <c r="C2649" t="str">
        <f>IFERROR(__xludf.DUMMYFUNCTION("GOOGLETRANSLATE(B2649, ""es"", ""en"")"),"Exquisite pendant earrings and pendant bought the for my mother loved it. Now pending. My opinion, perfect size, good quality. delicate presentation, good packaging and fast shipping.")</f>
        <v>Exquisite pendant earrings and pendant bought the for my mother loved it. Now pending. My opinion, perfect size, good quality. delicate presentation, good packaging and fast shipping.</v>
      </c>
    </row>
    <row r="2650">
      <c r="A2650" s="1">
        <v>5.0</v>
      </c>
      <c r="B2650" s="1" t="s">
        <v>2637</v>
      </c>
      <c r="C2650" t="str">
        <f>IFERROR(__xludf.DUMMYFUNCTION("GOOGLETRANSLATE(B2650, ""es"", ""en"")"),"Highly recommended is perfect")</f>
        <v>Highly recommended is perfect</v>
      </c>
    </row>
    <row r="2651">
      <c r="A2651" s="1">
        <v>5.0</v>
      </c>
      <c r="B2651" s="1" t="s">
        <v>2638</v>
      </c>
      <c r="C2651" t="str">
        <f>IFERROR(__xludf.DUMMYFUNCTION("GOOGLETRANSLATE(B2651, ""es"", ""en"")"),"By the time I received the card well, perfectly well packed in a carton of the brand. It comes in a blister together with SD adapter so that can connect directly to the card reader of your computer. The image I show is the result of the speed test card pl"&amp;"aced in the card reader with the adapter.")</f>
        <v>By the time I received the card well, perfectly well packed in a carton of the brand. It comes in a blister together with SD adapter so that can connect directly to the card reader of your computer. The image I show is the result of the speed test card placed in the card reader with the adapter.</v>
      </c>
    </row>
    <row r="2652">
      <c r="A2652" s="1">
        <v>5.0</v>
      </c>
      <c r="B2652" s="1" t="s">
        <v>2639</v>
      </c>
      <c r="C2652" t="str">
        <f>IFERROR(__xludf.DUMMYFUNCTION("GOOGLETRANSLATE(B2652, ""es"", ""en"")"),"PERFECT Just what I wanted to talk about my two phones and forget about them. It works great, the sound is spectacular. I recommend it 100%. Also you can change ears.")</f>
        <v>PERFECT Just what I wanted to talk about my two phones and forget about them. It works great, the sound is spectacular. I recommend it 100%. Also you can change ears.</v>
      </c>
    </row>
    <row r="2653">
      <c r="A2653" s="1">
        <v>5.0</v>
      </c>
      <c r="B2653" s="1" t="s">
        <v>2640</v>
      </c>
      <c r="C2653" t="str">
        <f>IFERROR(__xludf.DUMMYFUNCTION("GOOGLETRANSLATE(B2653, ""es"", ""en"")"),"Perfect work perfectly, hairs traps dust and even when it seems that this house clean, I clean with the vacuum cleaner to try to remove more party")</f>
        <v>Perfect work perfectly, hairs traps dust and even when it seems that this house clean, I clean with the vacuum cleaner to try to remove more party</v>
      </c>
    </row>
    <row r="2654">
      <c r="A2654" s="1">
        <v>5.0</v>
      </c>
      <c r="B2654" s="1" t="s">
        <v>2641</v>
      </c>
      <c r="C2654" t="str">
        <f>IFERROR(__xludf.DUMMYFUNCTION("GOOGLETRANSLATE(B2654, ""es"", ""en"")"),"All right! They are original headphones, there is no problem. At the beginning I thought they were fake because of its low price, but I was wrong, I can assure that they are original.")</f>
        <v>All right! They are original headphones, there is no problem. At the beginning I thought they were fake because of its low price, but I was wrong, I can assure that they are original.</v>
      </c>
    </row>
    <row r="2655">
      <c r="A2655" s="1">
        <v>5.0</v>
      </c>
      <c r="B2655" s="1" t="s">
        <v>2642</v>
      </c>
      <c r="C2655" t="str">
        <f>IFERROR(__xludf.DUMMYFUNCTION("GOOGLETRANSLATE(B2655, ""es"", ""en"")"),"Incredible as I have loved adapt to the ear and sound quality, I use them to run and do not move me as others I've used before, and to say about the price. amazing headphones.")</f>
        <v>Incredible as I have loved adapt to the ear and sound quality, I use them to run and do not move me as others I've used before, and to say about the price. amazing headphones.</v>
      </c>
    </row>
    <row r="2656">
      <c r="A2656" s="1">
        <v>5.0</v>
      </c>
      <c r="B2656" s="1" t="s">
        <v>2643</v>
      </c>
      <c r="C2656" t="str">
        <f>IFERROR(__xludf.DUMMYFUNCTION("GOOGLETRANSLATE(B2656, ""es"", ""en"")"),"Meets promised Simple and straightforward. I needed a card for my camera could record 4k action at 60 fps and this micro SD serves. A little advice for purchases of storage devices, when you get the order CrystalDisk download the application to verify tha"&amp;"t you are not selling for a ride in terms of speed.")</f>
        <v>Meets promised Simple and straightforward. I needed a card for my camera could record 4k action at 60 fps and this micro SD serves. A little advice for purchases of storage devices, when you get the order CrystalDisk download the application to verify that you are not selling for a ride in terms of speed.</v>
      </c>
    </row>
    <row r="2657">
      <c r="A2657" s="1">
        <v>5.0</v>
      </c>
      <c r="B2657" s="1" t="s">
        <v>2644</v>
      </c>
      <c r="C2657" t="str">
        <f>IFERROR(__xludf.DUMMYFUNCTION("GOOGLETRANSLATE(B2657, ""es"", ""en"")"),"Very good product very rigid and comfortable at the same time. That is perfect.")</f>
        <v>Very good product very rigid and comfortable at the same time. That is perfect.</v>
      </c>
    </row>
    <row r="2658">
      <c r="A2658" s="1">
        <v>5.0</v>
      </c>
      <c r="B2658" s="1" t="s">
        <v>2645</v>
      </c>
      <c r="C2658" t="str">
        <f>IFERROR(__xludf.DUMMYFUNCTION("GOOGLETRANSLATE(B2658, ""es"", ""en"")"),"Very good quality buy for my girlfriend and really giving very good quality. Aesthetically they are simple, but its greatest virtue is that. It serves both for sport and look to go dress. Amazon price cheaper than physical store. I recommend it without qu"&amp;"estion.")</f>
        <v>Very good quality buy for my girlfriend and really giving very good quality. Aesthetically they are simple, but its greatest virtue is that. It serves both for sport and look to go dress. Amazon price cheaper than physical store. I recommend it without question.</v>
      </c>
    </row>
    <row r="2659">
      <c r="A2659" s="1">
        <v>5.0</v>
      </c>
      <c r="B2659" s="1" t="s">
        <v>2646</v>
      </c>
      <c r="C2659" t="str">
        <f>IFERROR(__xludf.DUMMYFUNCTION("GOOGLETRANSLATE(B2659, ""es"", ""en"")"),"Aroma and relaxation &lt;div id = ""video-block-R18VKUY7T9CM9N"" class = ""section a-a-a-spacing-small spacing-top-video mini-block""&gt; &lt;div tabindex = ""0"" class = ""airy airy- svg vmin-supported airy-skin-beacon ""style ="" background-color: rgb (0, 0, 0) "&amp;"position: relative; width: 100%; height: 100%; font-size: 0px; overflow: hidden; outline: none; ""&gt; &lt;div class ="" airy-renderer-container ""style ="" position: relative; height: 100%; width: 100%; ""&gt; &lt;video id ="" 7 ""preload ="" auto ""src = ""https://"&amp;"images-eu.ssl-images-amazon.com/images/I/71QNxVXxkVS.mp4"" style = ""position: absolute; left: 0px; top: 0px; overflow: hidden; height: 1px; width: 1px; ""&gt; &lt;/ video&gt; &lt;/ div&gt; &lt;div id ="" airy-slate-preload ""style ="" background-color: rgb (0, 0, 0); back"&amp;"ground-image: url (&amp; quot; https: / /images-eu.ssl-images-amazon.com/images/I/81BaIk5dxSS.png&amp;quot;); background-size: Contain; background-position: center center; background-repeat: no-repeat; position: absolute; top: 0px; left: 0px; visibility: visible;"&amp;" width: 100%; height: 100%; ""&gt; &lt;/ div&gt; &lt;iframe scrolli ng = ""no"" frameborder = ""0"" src = ""about: blank"" style = ""display: none;""&gt; &lt;/ iframe&gt; &lt;div tabindex = ""- 1"" class = ""airy-controls-container"" style = "" opacity: 0; visibility: hidden; """&amp;"&gt; &lt;div tabindex ="" - 1 ""class ="" airy-screen-size-toggle airy-fullscreen ""&gt; &lt;/ div&gt; &lt;div tabindex ="" - 1 ""class ="" airy-container-bottom "" &gt; &lt;div tabindex = ""- 1"" class = ""airy-track-bar-spacer-left"" style = ""width: 11px;""&gt; &lt;/ div&gt; &lt;div tabi"&amp;"ndex = ""- 1"" class = ""airy-play- airy toggle-play ""style ="" width: 12px; margin-right: 12px; ""&gt; &lt;/ div&gt; &lt;div tabindex ="" - 1 ""class ="" airy-audio-elements ""style ="" float: right; width: 34px; ""&gt; &lt;div tabindex ="" - 1 ""class ="" airy-audio-tog"&amp;"gle airy-on ""&gt; &lt;/ div&gt; &lt;div tabindex ="" - 1 ""class ="" airy-audio-container ""style = ""opacity: 0; visibility: hidden; ""&gt; &lt;div tabindex ="" - 1 ""class ="" airy-audio-track-bar ""style ="" height: 80%; ""&gt; &lt;div tabindex ="" - 1 ""class ="" airy-audio"&amp;"- Scrubber-bar ""style ="" height: 85%; ""&gt; &lt;/ div&gt; &lt;div tabindex ="" - 1 ""class ="" airy-audio-scrubber ""style ="" height: 12px; bottom 85% ""&gt; &lt;/ div&gt; &lt;/ div&gt; &lt;/ div&gt; &lt;/ div&gt; &lt;div tabindex ="" - 1 ""class ="" airy-duration-label ""style ="" float: rig"&amp;"ht; width: 26px; margin-right: 4px; text-align: center; ""&gt; 0:00 &lt;/ div&gt; &lt;div tabindex ="" - 1 ""class ="" airy-track-bar-spacer-right ""style ="" float: right; width: 11px; ""&gt; &lt;/ div&gt; &lt;div tabindex ="" - 1 ""class ="" airy-track-bar-container ""style ="&amp;""" margin-left: 35px; margin-right: 75px; ""&gt; &lt;div tabindex ="" - 1 ""class ="" airy-airy-track-bar vertically-centering-table ""&gt; &lt;div tabindex ="" - 1 ""class ="" airy-Vertical-centering- table-cell ""&gt; &lt;div tabindex ="" - 1 ""class ="" airy-track-bar-e"&amp;"lements ""&gt; &lt;div tabindex ="" - 1 ""class ="" airy-progress-bar ""&gt; &lt;/ div&gt; &lt;div tabindex = ""- 1"" class = ""airy-scrubber-bar""&gt; &lt;/ div&gt; &lt;div tabindex = ""- 1"" class = ""airy-scrubber""&gt; &lt;div tabindex = ""- 1"" class = ""airy-scrubber- icon ""&gt; &lt;/ div&gt;"&amp;" &lt;div tabindex ="" - 1 ""class ="" airy-adjusted-AUI-tooltip ""style ="" opacity: 0; visibility: hidden; ""&gt; &lt;div tabindex ="" - 1 ""class ="" airy-adjusted-aui-tooltip-inner ""&gt; &lt;div tabindex ="" - 1 ""class ="" airy-current-time-label ""&gt; 0: 00 &lt;/ div&gt; "&amp;"&lt;/ div&gt; &lt;div tabindex = ""- 1"" class = ""airy-adjusted-AUI-arrow-border""&gt; &lt;div tabindex = ""- 1"" class = ""airy-adjusted-AUI-arrow"" &gt; &lt;/ div&gt; &lt;/ div&gt; &lt;/ div&gt; &lt;/ div&gt; &lt;/ div&gt; &lt;/ div&gt; &lt;/ div&gt; &lt;/ div&gt; &lt;/ div&gt; &lt;/ div&gt; &lt;div tabindex = ""- 1"" class = ""air"&amp;"y-age-gate airy-stage airy-Vertical-centering-table airy-dialog"" style = ""opacity: 0; visibility: hidden; ""&gt; &lt;div tabindex ="" - 1 ""class ="" airy-age-gate-Vertical-centering-table-cell airy-Vertical-centering-table-cell ""&gt; &lt;div tabindex ="" - 1 ""cl"&amp;"ass = ""airy-Vertical-centering-wrapper airy-age-gate-elements-wrapper""&gt; &lt;div tabindex = ""- 1"" class = ""airy-age-gate-elements airy-dialog-elements""&gt; &lt;div tabindex = "" -1 ""class ="" airy-age-gate-prompt ""&gt; This video is not Intended for all audien"&amp;"ces What date were you born &lt;/ div&gt; &lt;div tabindex =.?"" - 1 ""class ="" airy-age-gate -inputs airy-dialog-inner-elements ""&gt; &lt;select tabindex ="" - 1 ""class ="" airy-age-gate-month ""&gt; &lt;option value ="" 1 ""&gt; January &lt;/ option&gt; &lt;option value ="" 2 ""&gt; Fe"&amp;"bruary &lt;/ option&gt; &lt;option value ="" 3 ""&gt; March &lt;/ option&gt; &lt;option value ="" 4 ""&gt; April &lt;/ option&gt; &lt;option value ="" 5 ""&gt; May &lt;/ option&gt; &lt;option value = ""6""&gt; June &lt;/ option&gt; &lt;option value = ""7""&gt; July &lt;/ option&gt; &lt;option value = ""8""&gt; August &lt;/ optio"&amp;"n&gt; &lt;option value = ""9""&gt; September &lt;/ option&gt; &lt;option value = ""10""&gt; October &lt;/ option&gt; &lt;option value = ""11""&gt; November &lt;/ option&gt; &lt;option value = ""12""&gt; December &lt;/ option&gt; &lt;/ select&gt; &lt;select tabindex = ""- 1"" class = ""airy-age-gate-day""&gt; &lt;opti on"&amp;" value = ""1""&gt; 1 &lt;/ option&gt; &lt;option value = ""2""&gt; 2 &lt;/ option&gt; &lt;option value = ""3""&gt; 3 &lt;/ option&gt; &lt;option value = ""4""&gt; 4 &lt;/ option &gt; &lt;option value = ""5""&gt; 5 &lt;/ option&gt; &lt;option value = ""6""&gt; 6 &lt;/ option&gt; &lt;option value = ""7""&gt; 7 &lt;/ option&gt; &lt;option v"&amp;"alue = ""8""&gt; 8 &lt; / option&gt; &lt;option value = ""9""&gt; 9 &lt;/ option&gt; &lt;option value = ""10""&gt; 10 &lt;/ option&gt; &lt;option value = ""11""&gt; 11 &lt;/ option&gt; &lt;option value = ""12""&gt; 12 &lt;/ option&gt; &lt;option value = ""13""&gt; 13 &lt;/ option&gt; &lt;option value = ""14""&gt; 14 &lt;/ option&gt; &lt;"&amp;"option value = ""15""&gt; 15 &lt;/ option&gt; &lt;option value = ""16 ""&gt; 16 &lt;/ option&gt; &lt;option value ="" 17 ""&gt; 17 &lt;/ option&gt; &lt;option value ="" 18 ""&gt; 18 &lt;/ option&gt; &lt;option value ="" 19 ""&gt; 19 &lt;/ option&gt; &lt;option value = ""20""&gt; 20 &lt;/ option&gt; &lt;option value = ""21""&gt; "&amp;"21 &lt;/ option&gt; &lt;option value = ""22""&gt; 22 &lt;/ option&gt; &lt;option value = ""23""&gt; 23 &lt;/ option&gt; &lt;option value = ""24""&gt; 24 &lt;/ option&gt; &lt;option value = ""25""&gt; 25 &lt;/ option&gt; &lt;option value = ""26""&gt; 26 &lt;/ option&gt; &lt;option value = ""27""&gt; 27 &lt;/ option&gt; &lt;option value"&amp;" = ""28""&gt; 28 &lt;/ option&gt; &lt;option value = ""29""&gt; 29 &lt;/ option&gt; &lt;option value = ""30""&gt; 30 &lt;/ option&gt; &lt;option value = ""31""&gt; 31 &lt;/ option&gt; &lt;/ select&gt; &lt;select tabindex = ""- 1"" class = ""airy-age-gate-year""&gt; &lt;option value = ""2019""&gt; 2019 &lt;/ option&gt; &lt; op"&amp;"tion value = ""2018""&gt; 2018 &lt;/ option&gt; &lt;option value = ""2017""&gt; 2017 &lt;/ option&gt; &lt;option value = ""2016""&gt; ​​2016 &lt;/ option&gt; &lt;option value = ""2015""&gt; 2015 &lt;/ option &gt; &lt;option value = ""2014""&gt; 2014 &lt;/ option&gt; &lt;option value = ""2013""&gt; 2013 &lt;/ option&gt; &lt;op"&amp;"tion value = ""2012""&gt; 2012 &lt;/ option&gt; &lt;option value = ""2011""&gt; 2011 &lt; / option&gt; &lt;option value = ""2010""&gt; 2010 &lt;/ option&gt; &lt;option value = ""2009""&gt; 2009 &lt;/ option&gt; &lt;option value = ""2008""&gt; 2008 &lt;/ option&gt; &lt;option value = ""2007""&gt; 2007 &lt;/ option&gt; &lt;opti"&amp;"on value = ""2006""&gt; 2006 &lt;/ option&gt; &lt;option value = ""2005""&gt; 2005 &lt;/ option&gt; &lt;option value = ""2004""&gt; 2004 &lt;/ option&gt; &lt;option value = ""2003 ""&gt; 2003 &lt;/ option&gt; &lt;option value ="" 2002 ""&gt; 2002 &lt;/ option&gt; &lt;option value ="" 2001 ""&gt; 2001 &lt;/ option&gt; &lt;opti"&amp;"on value ="" 2000 ""&gt; 2000 &lt;/ option&gt; &lt;option value = ""1999""&gt; 1999 &lt;/ option&gt; &lt;option value = ""1998""&gt; 1998 &lt;/ option&gt; &lt;option value = ""1997""&gt; 1997 &lt;/ option&gt; &lt;option value = ""1996""&gt; 1996 &lt;/ option&gt; &lt;option value = ""1995""&gt; 1995 &lt;/ option&gt; &lt;option"&amp;" value = ""1994""&gt; 1994 &lt;/ option&gt; &lt;option value = ""1993""&gt; 1993 &lt;/ option&gt; &lt;option value = ""1992""&gt; 1992 &lt;/ option&gt; &lt;option value = ""1991""&gt; 1991 &lt;/ option&gt; &lt;option value = ""1990""&gt; 1990 &lt;/ option&gt; &lt;option value = "" 1989 ""&gt; 1989 &lt;/ option&gt; &lt;option "&amp;"value ="" 1988 ""&gt; 1988 &lt;/ option&gt; &lt;option value ="" 1987 ""&gt; 1987 &lt;/ option&gt; &lt;option value ="" 1986 ""&gt; 1986 &lt;/ option&gt; &lt;value option = ""1985""&gt; 1985 &lt;/ option&gt; &lt;option value = ""1984""&gt; 1984 &lt;/ option&gt; &lt;option value = ""1983""&gt; 1983 &lt;/ option&gt; &lt;option "&amp;"value = ""1982""&gt; 1982 &lt;/ option&gt; &lt; option value = ""1981""&gt; 1981 &lt;/ option&gt; &lt;option value = ""1980""&gt; 1980 &lt;/ option&gt; &lt;option value = ""1979""&gt; 1979 &lt;/ option&gt; &lt;option value = ""1978""&gt; 1978 &lt;/ option &gt; &lt;option value = ""1977""&gt; 1977 &lt;/ option&gt; &lt;option v"&amp;"alue = ""1976""&gt; 1976 &lt;/ option&gt; &lt;option value = ""1975""&gt; 1975 &lt;/ option&gt; &lt;option value = ""1974""&gt; 1974 &lt; / option&gt; &lt;option value = ""1973""&gt; 1973 &lt;/ option&gt; &lt;option value = ""1972""&gt; 1972 &lt;/ option&gt; &lt;option value = ""1971""&gt; 1971 &lt;/ option&gt; &lt;option val"&amp;"ue = ""1970""&gt; 1970 &lt;/ option&gt; &lt;option value = ""1969""&gt; 1969 &lt;/ option&gt; &lt;option value = ""1968""&gt; 1968 &lt;/ option&gt; &lt;option value = ""1967""&gt; 1967 &lt;/ option&gt; &lt;option value = ""1966 ""&gt; 1966 &lt;/ option&gt; &lt;option value ="" 1965 ""&gt; 1965 &lt;/ option&gt; &lt;option valu"&amp;"e ="" 1964 ""&gt; 1964 &lt;/ option&gt; &lt;option value ="" 1963 ""&gt; 1963 &lt;/ option&gt; &lt;option value = ""1962""&gt; 1962 &lt;/ option&gt; &lt;option value = ""1961""&gt; 1961 &lt;/ option&gt; &lt;option value = ""1960""&gt; 1960 &lt;/ op tion&gt; &lt;option value = ""1959""&gt; 1959 &lt;/ option&gt; &lt;option valu"&amp;"e = ""1958""&gt; 1958 &lt;/ option&gt; &lt;option value = ""1957""&gt; 1957 &lt;/ option&gt; &lt;option value = ""1956""&gt; 1956 &lt;/ option&gt; &lt;option value = ""1955""&gt; 1955 &lt;/ option&gt; &lt;option value = ""1954""&gt; 1954 &lt;/ option&gt; &lt;option value = ""1953""&gt; 1953 &lt;/ option&gt; &lt;option value ="&amp;" ""1952"" &gt; 1952 &lt;/ option&gt; &lt;option value = ""1951""&gt; 1951 &lt;/ option&gt; &lt;option value = ""1950""&gt; 1950 &lt;/ option&gt; &lt;option value = ""1949""&gt; 1949 &lt;/ option&gt; &lt;option value = "" 1948 ""&gt; 1948 &lt;/ option&gt; &lt;option value ="" 1947 ""&gt; 1947 &lt;/ option&gt; &lt;option value "&amp;"="" 1946 ""&gt; 1946 &lt;/ option&gt; &lt;option value ="" 1945 ""&gt; 1945 &lt;/ option&gt; &lt;value option = ""1944""&gt; 1944 &lt;/ option&gt; &lt;option value = ""1943""&gt; 1943 &lt;/ option&gt; &lt;option value = ""1942""&gt; 1942 &lt;/ option&gt; &lt;option value = ""1941""&gt; 1941 &lt;/ option&gt; &lt; option value "&amp;"= ""1940""&gt; 1940 &lt;/ option&gt; &lt;option value = ""1939""&gt; 1939 &lt;/ option&gt; &lt;option value = ""1938""&gt; 1938 &lt;/ option&gt; &lt;option value = ""1937""&gt; 1937 &lt;/ option &gt; &lt;option value = ""1936""&gt; 1936 &lt;/ option&gt; &lt;option value = ""1935""&gt; 1935 &lt;/ option&gt; &lt;option value = "&amp;"""1934""&gt; 1934 &lt;/ option&gt; &lt;option value = ""1933""&gt; 1933 &lt; / option&gt; &lt;option value = ""1932""&gt; 1932 &lt;/ option&gt; &lt;option value = ""1931""&gt; 1931 &lt;/ option&gt; &lt;option v alue = ""1930""&gt; 1930 &lt;/ option&gt; &lt;option value = ""1929""&gt; 1929 &lt;/ option&gt; &lt;option value = "&amp;"""1928""&gt; 1928 &lt;/ option&gt; &lt;option value = ""1927""&gt; 1927 &lt;/ option&gt; &lt;option value = ""1926""&gt; 1926 &lt;/ option&gt; &lt;option value = ""1925""&gt; 1925 &lt;/ option&gt; &lt;option value = ""1924""&gt; 1924 &lt;/ option&gt; &lt;option value = ""1923""&gt; 1923 &lt;/ option&gt; &lt;option value = ""1"&amp;"922""&gt; 1922 &lt;/ option&gt; &lt;option value = ""1921""&gt; 1921 &lt;/ option&gt; &lt;option value = ""1920""&gt; 1920 &lt;/ option&gt; &lt;option value = ""1919""&gt; 1919 &lt;/ option&gt; &lt;option value = ""1918""&gt; 1918 &lt;/ option&gt; &lt;option value = ""1917""&gt; 1917 &lt;/ option&gt; &lt;option value = ""1916"&amp;"""&gt; 1916 &lt;/ option&gt; &lt;option value = ""1915"" &gt; 1915 &lt;/ option&gt; &lt;option value = ""1914""&gt; 1914 &lt;/ option&gt; &lt;option value = ""1913""&gt; 1913 &lt;/ option&gt; &lt;option value = ""1912""&gt; 1912 &lt;/ option&gt; &lt;option value = "" 1911 ""&gt; 1911 &lt;/ option&gt; &lt;option value ="" 1910"&amp;" ""&gt; 1910 &lt;/ option&gt; &lt;option value ="" 1909 ""&gt; 1909 &lt;/ option&gt; &lt;option value ="" 1908 ""&gt; 1908 &lt;/ option&gt; &lt;value option = ""1907""&gt; 1907 &lt;/ option&gt; &lt;option value = ""1906""&gt; 1906 &lt;/ option&gt; &lt;option value = ""1905""&gt; 1905 &lt;/ option&gt; &lt;option value = ""1904"&amp;"""&gt; 1904 &lt;/ option&gt; &lt; option value = ""1903""&gt; 1903 &lt;/ option&gt; &lt;option value = ""1902""&gt; 1902 &lt;/ option&gt; &lt;option value = ""1901""&gt; 19 01 &lt;/ option&gt; &lt;option value = ""1900""&gt; 1900 &lt;/ option&gt; &lt;/ select&gt; &lt;div tabindex = ""- 1"" class = ""airy-age-gate-submit"&amp;" airy-submit-button airy airy-submit- disabled ""&gt; Submit &lt;/ div&gt; &lt;/ div&gt; &lt;/ div&gt; &lt;/ div&gt; &lt;/ div&gt; &lt;/ div&gt; &lt;div tabindex ="" - 1 ""class ="" airy-install-flash-dialog airy-stage airy -vertical-centering-table-dialog airy airy-denied ""style ="" opacity: 0;"&amp;" visibility: hidden; ""&gt; &lt;div tabindex ="" - 1 ""class ="" airy-install-flash-Vertical-centering-table-cell airy-Vertical-centering-table-cell ""&gt; &lt;div tabindex ="" - 1 ""class = ""airy-Vertical-centering-wrapper airy-install-flash-elements-wrapper""&gt; &lt;di"&amp;"v tabindex = ""- 1"" class = ""airy-install-flash-elements airy-dialog-elements""&gt; &lt;div tabindex = "" -1 ""class ="" airy-install-flash-prompt ""&gt; Adobe Flash Player is required to watch this video &lt;/ div&gt; &lt;div tabindex =."" - 1 ""class ="" airy-install-f"&amp;"lash-button-wrapper airy -dialog-inner-elements ""&gt; &lt;div tabindex ="" - 1 ""class ="" airy-install-flash-button airy-button ""&gt; install Flash Player &lt;/ div&gt; &lt;/ div&gt; &lt;/ div&gt; &lt;/ div&gt; &lt;/ div&gt; &lt;/ div&gt; &lt;div tabindex = ""- 1"" class = ""airy-video-unsupported-d"&amp;"ialog airy-stage airy-Vertical-centering-table airy-dialog airy-denied"" style = ""opacity: 0; visibility: hidden; ""&gt; &lt;div tabindex ="" - 1 ""class ="" airy-video-unsupported-Vertical-centering-table-cell airy-Vertical-centering-table-cell ""&gt; &lt;div tabin"&amp;"dex ="" - 1 ""class = ""airy-Vertical-centering-wrapper airy-video-unsupported-elements-wrapper""&gt; &lt;div tabindex = ""- 1"" class = ""airy-video-unsupported-elements airy-dialog-elements""&gt; &lt;div tabindex = "" -1 ""class ="" airy-video-unsupported-prompt """&amp;"&gt; &lt;/ div&gt; &lt;/ div&gt; &lt;/ div&gt; &lt;/ div&gt; &lt;/ div&gt; &lt;div tabindex ="" - 1 ""class ="" airy-loading- spinner-stage airy-stage ""&gt; &lt;div tabindex ="" - 1 ""class ="" airy-loading-spinner-Vertical-centering-table-cell airy-Vertical-centering-table-cell ""&gt; &lt;div tabinde"&amp;"x ="" - 1 ""class ="" airy-loading-spinner-container airy-scalable-hint-container ""&gt; &lt;div tabindex ="" - 1 ""class ="" airy-loading-spinner-dummy airy-scalable-dummy ""&gt; &lt;/ div&gt; &lt; div tabindex = ""- 1"" class = ""airy-loading-spinner airy-hint"" style = "&amp;"""visibility: hidden;""&gt; &lt;/ div&gt; &lt;/ div&gt; &lt;/ div&gt; &lt;/ div&gt; &lt;div tabindex = ""- 1 ""class ="" airy-ads-screen-size-toggle airy-screen-size-toggle-fullscreen airy ""style ="" visibility: hidden; ""&gt; &lt;/ div&gt; &lt;div tabindex = ""-1"" class = ""airy-ad-prompt-cont"&amp;"ainer"" style = ""visibility: hidden;""&gt; &lt;div tabindex = ""- 1"" class = ""airy-ad-prompt-Vertical-centering-table-vertically airy centering-table ""&gt; &lt;div tabindex ="" - 1 ""class ="" airy-ad-prompt-Vertical-centering-table-cell airy-Vertical-centering-t"&amp;"able-cell ""&gt; &lt;div tabindex ="" - 1 ""class = ""airy-ad-prompt-label""&gt; &lt;/ div&gt; &lt;/ div&gt; &lt;/ div&gt; &lt;/ div&gt; &lt;div tabindex = ""- 1"" class = ""airy-ads-controls-container"" style = ""visibility: hidden; ""&gt; &lt;div tabindex ="" - 1 ""class ="" airy-ads-audio-togg"&amp;"le airy-audio-toggle airy-on ""style ="" visibility: hidden; ""&gt; &lt;/ div&gt; &lt;div tabindex ="" - 1 ""class ="" airy-time-remaining-label-container ""&gt; &lt;div tabindex ="" - 1 ""class ="" airy-time-remaining-Vertical-centering-table airy-Vertical-centering-table"&amp;" ""&gt; &lt;div tabindex = ""- 1"" class = ""airy-time-remaining-Vertical-centering-table-cell airy-Vertical-centering-table-cell""&gt; &lt;div tabindex = ""- 1"" class = ""airy-Vertical-centering-wrapper airy-time-remaining-label-wrapper ""&gt; &lt;div tabindex ="" - 1 """&amp;"class ="" airy-time-remaining-label ""style ="" visibility: hidden; ""&gt; &lt;/ div&gt; &lt;div tabi ndex = ""- 1"" class = ""airy-ad-skip"" style = ""visibility: hidden;""&gt; &lt;/ div&gt; &lt;div tabindex = ""- 1"" class = ""airy-ad-end"" style = ""visibility: hidden ""&gt; &lt;/ "&amp;"div&gt; &lt;/ div&gt; &lt;/ div&gt; &lt;/ div&gt; &lt;/ div&gt; &lt;div tabindex ="" - 1 ""class ="" airy-learn-more ""style ="" visibility: hidden; ""&gt; &lt;/ div&gt; &lt;/ div&gt; &lt;div tabindex = ""- 1"" class = ""airy-play-toggle-hint-stage airy-stage airy-cursor""&gt; &lt;div tabindex = ""- 1"" clas"&amp;"s = ""airy-play -toggle-hint-Vertical-centering-table-cell airy-Vertical-centering-table-cell airy-cursor ""&gt; &lt;div tabindex ="" - 1 ""class ="" airy-play-toggle-hint-container airy-scalable- Hint-container ""&gt; &lt;div tabindex ="" - 1 ""class ="" airy-play-t"&amp;"oggle-hint-dummy airy-scalable-dummy ""&gt; &lt;/ div&gt; &lt;div tabindex ="" - 1 ""class ="" airy-play -toggle-hint hint airy-airy-play-hint ""style ="" opacity: 1; visibility: visible; ""&gt; &lt;/ div&gt; &lt;/ div&gt; &lt;/ div&gt; &lt;/ div&gt; &lt;div tabindex ="" - 1 ""class ="" airy-repl"&amp;"ay-hint-stage airy-stage ""style ="" visibility: hidden ; ""&gt; &lt;div tabindex ="" - 1 ""class ="" airy-replay-hint-Vertical-centering-table-cell airy-Vertical-centering-table-cell airy-cursor ""&gt; &lt;div tabindex ="" - 1 ""class = ""airy-replay-hint-container "&amp;"airy-scalable-hint-container""&gt; &lt;div tabindex = ""- 1"" class = ""airy-replay-hint-dummy airy-scalable-dummy""&gt; &lt;/ div&gt; &lt;div tabindex = ""- 1"" class = ""airy-replay-hint airy-hint""&gt; &lt;/ div&gt; &lt;/ div&gt; &lt;/ div&gt; &lt;/ div&gt; &lt;div tabindex = ""- 1"" class = ""airy-"&amp;"autoplay-hint -stage airy-stage ""style ="" visibility: hidden; ""&gt; &lt;div tabindex ="" - 1 ""class ="" airy-autoplay-hint-Vertical-centering-table-cell airy-Vertical-centering-table-cell airy- cursor ""&gt; &lt;div tabindex ="" - 1 ""class ="" autoplay airy-airy"&amp;"-hint-container-scalable-hint-container ""&gt; &lt;div tabindex ="" - 1 ""class ="" airy-autoplay-hint-dummy airy- scalable-dummy ""&gt; &lt;/ div&gt; &lt;/ div&gt; &lt;/ div&gt; &lt;/ div&gt; &lt;/ div&gt; &lt;/ div&gt; &lt;input type ="" hidden ""name ="" ""value ="" https: // images-eu .ssl-images-a"&amp;"mazon.com / images / I / 71QNxVXxkVS.mp4 ""Class ="" video-url ""&gt; &lt;input type ="" hidden ""name ="" ""value ="" https://images-eu.ssl-images-amazon.com/images/I/81BaIk5dxSS.png ""class ="" video-slate-img-url ""&gt; &amp; nbsp; is a good product. The touch of t"&amp;"he material is soft and elegant. The aroma that makes the stay is very cool. The sense of calm and relaxation with its colors is very nice. Even as decoration is perfect. It can be programmed for use. Just it makes noise when on.")</f>
        <v>Aroma and relaxation &lt;div id = "video-block-R18VKUY7T9CM9N" class = "section a-a-a-spacing-small spacing-top-video mini-block"&gt; &lt;div tabindex = "0" class = "airy airy- svg vmin-supported airy-skin-beacon "style =" background-color: rgb (0, 0, 0) position: relative; width: 100%; height: 100%; font-size: 0px; overflow: hidden; outline: none; "&gt; &lt;div class =" airy-renderer-container "style =" position: relative; height: 100%; width: 100%; "&gt; &lt;video id =" 7 "preload =" auto "src = "https://images-eu.ssl-images-amazon.com/images/I/71QNxVXxkVS.mp4" style = "position: absolute; left: 0px; top: 0px; overflow: hidden; height: 1px; width: 1px; "&gt; &lt;/ video&gt; &lt;/ div&gt; &lt;div id =" airy-slate-preload "style =" background-color: rgb (0, 0, 0); background-image: url (&amp; quot; https: / /images-eu.ssl-images-amazon.com/images/I/81BaIk5dxSS.png&amp;quot;); background-size: Contain; background-position: center center; background-repeat: no-repeat; position: absolute; top: 0px; left: 0px; visibility: visible; width: 100%; height: 100%; "&gt; &lt;/ div&gt; &lt;iframe scrolli ng = "no" frameborder = "0" src = "about: blank" style = "display: none;"&gt; &lt;/ iframe&gt; &lt;div tabindex = "- 1" class = "airy-controls-container" style = " opacity: 0; visibility: hidden; "&gt; &lt;div tabindex =" - 1 "class =" airy-screen-size-toggle airy-fullscreen "&gt; &lt;/ div&gt; &lt;div tabindex =" - 1 "class =" airy-container-bottom " &gt; &lt;div tabindex = "- 1" class = "airy-track-bar-spacer-left" style = "width: 11px;"&gt; &lt;/ div&gt; &lt;div tabindex = "- 1" class = "airy-play- airy toggle-play "style =" width: 12px; margin-right: 12px; "&gt; &lt;/ div&gt; &lt;div tabindex =" - 1 "class =" airy-audio-elements "style =" float: right; width: 34px; "&gt; &lt;div tabindex =" - 1 "class =" airy-audio-toggle airy-on "&gt; &lt;/ div&gt; &lt;div tabindex =" - 1 "class =" airy-audio-container "style = "opacity: 0; visibility: hidden; "&gt; &lt;div tabindex =" - 1 "class =" airy-audio-track-bar "style =" height: 80%; "&gt; &lt;div tabindex =" - 1 "class =" airy-audio- Scrubber-bar "style =" height: 85%; "&gt; &lt;/ div&gt; &lt;div tabindex =" - 1 "class =" airy-audio-scrubber "style =" height: 12px; bottom 85% "&gt; &lt;/ div&gt; &lt;/ div&gt; &lt;/ div&gt; &lt;/ div&gt; &lt;div tabindex =" - 1 "class =" airy-duration-label "style =" float: right; width: 26px; margin-right: 4px; text-align: center; "&gt; 0:00 &lt;/ div&gt; &lt;div tabindex =" - 1 "class =" airy-track-bar-spacer-right "style =" float: right; width: 11px; "&gt; &lt;/ div&gt; &lt;div tabindex =" - 1 "class =" airy-track-bar-container "style =" margin-left: 35px; margin-right: 75px; "&gt; &lt;div tabindex =" - 1 "class =" airy-airy-track-bar vertically-centering-table "&gt; &lt;div tabindex =" - 1 "class =" airy-Vertical-centering- table-cell "&gt; &lt;div tabindex =" - 1 "class =" airy-track-bar-elements "&gt; &lt;div tabindex =" - 1 "class =" airy-progress-bar "&gt; &lt;/ div&gt; &lt;div tabindex = "- 1" class = "airy-scrubber-bar"&gt; &lt;/ div&gt; &lt;div tabindex = "- 1" class = "airy-scrubber"&gt; &lt;div tabindex = "- 1" class = "airy-scrubber- icon "&gt; &lt;/ div&gt; &lt;div tabindex =" - 1 "class =" airy-adjusted-AUI-tooltip "style =" opacity: 0; visibility: hidden; "&gt; &lt;div tabindex =" - 1 "class =" airy-adjusted-aui-tooltip-inner "&gt; &lt;div tabindex =" - 1 "class =" airy-current-time-label "&gt; 0: 00 &lt;/ div&gt; &lt;/ div&gt; &lt;div tabindex = "- 1" class = "airy-adjusted-AUI-arrow-border"&gt; &lt;div tabindex = "- 1" class = "airy-adjusted-AUI-arrow" &gt; &lt;/ div&gt; &lt;/ div&gt; &lt;/ div&gt; &lt;/ div&gt; &lt;/ div&gt; &lt;/ div&gt; &lt;/ div&gt; &lt;/ div&gt; &lt;/ div&gt; &lt;/ div&gt; &lt;div tabindex = "- 1" class = "airy-age-gate airy-stage airy-Vertical-centering-table airy-dialog" style = "opacity: 0; visibility: hidden; "&gt; &lt;div tabindex =" - 1 "class =" airy-age-gate-Vertical-centering-table-cell airy-Vertical-centering-table-cell "&gt; &lt;div tabindex =" - 1 "class = "airy-Vertical-centering-wrapper airy-age-gate-elements-wrapper"&gt; &lt;div tabindex = "- 1" class = "airy-age-gate-elements airy-dialog-elements"&gt; &lt;div tabindex = " -1 "class =" airy-age-gate-prompt "&gt; This video is not Intended for all audiences What date were you born &lt;/ div&gt; &lt;div tabindex =.?" - 1 "class =" airy-age-gate -inputs airy-dialog-inner-elements "&gt; &lt;select tabindex =" - 1 "class =" airy-age-gate-month "&gt; &lt;option value =" 1 "&gt; January &lt;/ option&gt; &lt;option value =" 2 "&gt; February &lt;/ option&gt; &lt;option value =" 3 "&gt; March &lt;/ option&gt; &lt;option value =" 4 "&gt; April &lt;/ option&gt; &lt;option value =" 5 "&gt; May &lt;/ option&gt; &lt;option value = "6"&gt; June &lt;/ option&gt; &lt;option value = "7"&gt; July &lt;/ option&gt; &lt;option value = "8"&gt; August &lt;/ option&gt; &lt;option value = "9"&gt; September &lt;/ option&gt; &lt;option value = "10"&gt; October &lt;/ option&gt; &lt;option value = "11"&gt; November &lt;/ option&gt; &lt;option value = "12"&gt; December &lt;/ option&gt; &lt;/ select&gt; &lt;select tabindex = "- 1" class = "airy-age-gate-day"&gt; &lt;opti on value = "1"&gt; 1 &lt;/ option&gt; &lt;option value = "2"&gt; 2 &lt;/ option&gt; &lt;option value = "3"&gt; 3 &lt;/ option&gt; &lt;option value = "4"&gt; 4 &lt;/ option &gt; &lt;option value = "5"&gt; 5 &lt;/ option&gt; &lt;option value = "6"&gt; 6 &lt;/ option&gt; &lt;option value = "7"&gt; 7 &lt;/ option&gt; &lt;option value = "8"&gt; 8 &lt; / option&gt; &lt;option value = "9"&gt; 9 &lt;/ option&gt; &lt;option value = "10"&gt; 10 &lt;/ option&gt; &lt;option value = "11"&gt; 11 &lt;/ option&gt; &lt;option value = "12"&gt; 12 &lt;/ option&gt; &lt;option value = "13"&gt; 13 &lt;/ option&gt; &lt;option value = "14"&gt; 14 &lt;/ option&gt; &lt;option value = "15"&gt; 15 &lt;/ option&gt; &lt;option value = "16 "&gt; 16 &lt;/ option&gt; &lt;option value =" 17 "&gt; 17 &lt;/ option&gt; &lt;option value =" 18 "&gt; 18 &lt;/ option&gt; &lt;option value =" 19 "&gt; 19 &lt;/ option&gt; &lt;option value = "20"&gt; 20 &lt;/ option&gt; &lt;option value = "21"&gt; 21 &lt;/ option&gt; &lt;option value = "22"&gt; 22 &lt;/ option&gt; &lt;option value = "23"&gt; 23 &lt;/ option&gt; &lt;option value = "24"&gt; 24 &lt;/ option&gt; &lt;option value = "25"&gt; 25 &lt;/ option&gt; &lt;option value = "26"&gt; 26 &lt;/ option&gt; &lt;option value = "27"&gt; 27 &lt;/ option&gt; &lt;option value = "28"&gt; 28 &lt;/ option&gt; &lt;option value = "29"&gt; 29 &lt;/ option&gt; &lt;option value = "30"&gt; 30 &lt;/ option&gt; &lt;option value = "31"&gt; 31 &lt;/ option&gt; &lt;/ select&gt; &lt;select tabindex = "- 1" class = "airy-age-gate-year"&gt; &lt;option value = "2019"&gt; 2019 &lt;/ option&gt; &lt; option value = "2018"&gt; 2018 &lt;/ option&gt; &lt;option value = "2017"&gt; 2017 &lt;/ option&gt; &lt;option value = "2016"&gt; ​​2016 &lt;/ option&gt; &lt;option value = "2015"&gt; 2015 &lt;/ option &gt; &lt;option value = "2014"&gt; 2014 &lt;/ option&gt; &lt;option value = "2013"&gt; 2013 &lt;/ option&gt; &lt;option value = "2012"&gt; 2012 &lt;/ option&gt; &lt;option value = "2011"&gt; 2011 &lt; / option&gt; &lt;option value = "2010"&gt; 2010 &lt;/ option&gt; &lt;option value = "2009"&gt; 2009 &lt;/ option&gt; &lt;option value = "2008"&gt; 2008 &lt;/ option&gt; &lt;option value = "2007"&gt; 2007 &lt;/ option&gt; &lt;option value = "2006"&gt; 2006 &lt;/ option&gt; &lt;option value = "2005"&gt; 2005 &lt;/ option&gt; &lt;option value = "2004"&gt; 2004 &lt;/ option&gt; &lt;option value = "2003 "&gt; 2003 &lt;/ option&gt; &lt;option value =" 2002 "&gt; 2002 &lt;/ option&gt; &lt;option value =" 2001 "&gt; 2001 &lt;/ option&gt; &lt;option value =" 2000 "&gt; 2000 &lt;/ option&gt; &lt;option value = "1999"&gt; 1999 &lt;/ option&gt; &lt;option value = "1998"&gt; 1998 &lt;/ option&gt; &lt;option value = "1997"&gt; 1997 &lt;/ option&gt; &lt;option value = "1996"&gt; 1996 &lt;/ option&gt; &lt;option value = "1995"&gt; 1995 &lt;/ option&gt; &lt;option value = "1994"&gt; 1994 &lt;/ option&gt; &lt;option value = "1993"&gt; 1993 &lt;/ option&gt; &lt;option value = "1992"&gt; 1992 &lt;/ option&gt; &lt;option value = "1991"&gt; 1991 &lt;/ option&gt; &lt;option value = "1990"&gt; 1990 &lt;/ option&gt; &lt;option value = " 1989 "&gt; 1989 &lt;/ option&gt; &lt;option value =" 1988 "&gt; 1988 &lt;/ option&gt; &lt;option value =" 1987 "&gt; 1987 &lt;/ option&gt; &lt;option value =" 1986 "&gt; 1986 &lt;/ option&gt; &lt;value option = "1985"&gt; 1985 &lt;/ option&gt; &lt;option value = "1984"&gt; 1984 &lt;/ option&gt; &lt;option value = "1983"&gt; 1983 &lt;/ option&gt; &lt;option value = "1982"&gt; 1982 &lt;/ option&gt; &lt; option value = "1981"&gt; 1981 &lt;/ option&gt; &lt;option value = "1980"&gt; 1980 &lt;/ option&gt; &lt;option value = "1979"&gt; 1979 &lt;/ option&gt; &lt;option value = "1978"&gt; 1978 &lt;/ option &gt; &lt;option value = "1977"&gt; 1977 &lt;/ option&gt; &lt;option value = "1976"&gt; 1976 &lt;/ option&gt; &lt;option value = "1975"&gt; 1975 &lt;/ option&gt; &lt;option value = "1974"&gt; 1974 &lt; / option&gt; &lt;option value = "1973"&gt; 1973 &lt;/ option&gt; &lt;option value = "1972"&gt; 1972 &lt;/ option&gt; &lt;option value = "1971"&gt; 1971 &lt;/ option&gt; &lt;option value = "1970"&gt; 1970 &lt;/ option&gt; &lt;option value = "1969"&gt; 1969 &lt;/ option&gt; &lt;option value = "1968"&gt; 1968 &lt;/ option&gt; &lt;option value = "1967"&gt; 1967 &lt;/ option&gt; &lt;option value = "1966 "&gt; 1966 &lt;/ option&gt; &lt;option value =" 1965 "&gt; 1965 &lt;/ option&gt; &lt;option value =" 1964 "&gt; 1964 &lt;/ option&gt; &lt;option value =" 1963 "&gt; 1963 &lt;/ option&gt; &lt;option value = "1962"&gt; 1962 &lt;/ option&gt; &lt;option value = "1961"&gt; 1961 &lt;/ option&gt; &lt;option value = "1960"&gt; 1960 &lt;/ op tion&gt; &lt;option value = "1959"&gt; 1959 &lt;/ option&gt; &lt;option value = "1958"&gt; 1958 &lt;/ option&gt; &lt;option value = "1957"&gt; 1957 &lt;/ option&gt; &lt;option value = "1956"&gt; 1956 &lt;/ option&gt; &lt;option value = "1955"&gt; 1955 &lt;/ option&gt; &lt;option value = "1954"&gt; 1954 &lt;/ option&gt; &lt;option value = "1953"&gt; 1953 &lt;/ option&gt; &lt;option value = "1952" &gt; 1952 &lt;/ option&gt; &lt;option value = "1951"&gt; 1951 &lt;/ option&gt; &lt;option value = "1950"&gt; 1950 &lt;/ option&gt; &lt;option value = "1949"&gt; 1949 &lt;/ option&gt; &lt;option value = " 1948 "&gt; 1948 &lt;/ option&gt; &lt;option value =" 1947 "&gt; 1947 &lt;/ option&gt; &lt;option value =" 1946 "&gt; 1946 &lt;/ option&gt; &lt;option value =" 1945 "&gt; 1945 &lt;/ option&gt; &lt;value option = "1944"&gt; 1944 &lt;/ option&gt; &lt;option value = "1943"&gt; 1943 &lt;/ option&gt; &lt;option value = "1942"&gt; 1942 &lt;/ option&gt; &lt;option value = "1941"&gt; 1941 &lt;/ option&gt; &lt; option value = "1940"&gt; 1940 &lt;/ option&gt; &lt;option value = "1939"&gt; 1939 &lt;/ option&gt; &lt;option value = "1938"&gt; 1938 &lt;/ option&gt; &lt;option value = "1937"&gt; 1937 &lt;/ option &gt; &lt;option value = "1936"&gt; 1936 &lt;/ option&gt; &lt;option value = "1935"&gt; 1935 &lt;/ option&gt; &lt;option value = "1934"&gt; 1934 &lt;/ option&gt; &lt;option value = "1933"&gt; 1933 &lt; / option&gt; &lt;option value = "1932"&gt; 1932 &lt;/ option&gt; &lt;option value = "1931"&gt; 1931 &lt;/ option&gt; &lt;option v alue = "1930"&gt; 1930 &lt;/ option&gt; &lt;option value = "1929"&gt; 1929 &lt;/ option&gt; &lt;option value = "1928"&gt; 1928 &lt;/ option&gt; &lt;option value = "1927"&gt; 1927 &lt;/ option&gt; &lt;option value = "1926"&gt; 1926 &lt;/ option&gt; &lt;option value = "1925"&gt; 1925 &lt;/ option&gt; &lt;option value = "1924"&gt; 1924 &lt;/ option&gt; &lt;option value = "1923"&gt; 1923 &lt;/ option&gt; &lt;option value = "1922"&gt; 1922 &lt;/ option&gt; &lt;option value = "1921"&gt; 1921 &lt;/ option&gt; &lt;option value = "1920"&gt; 1920 &lt;/ option&gt; &lt;option value = "1919"&gt; 1919 &lt;/ option&gt; &lt;option value = "1918"&gt; 1918 &lt;/ option&gt; &lt;option value = "1917"&gt; 1917 &lt;/ option&gt; &lt;option value = "1916"&gt; 1916 &lt;/ option&gt; &lt;option value = "1915" &gt; 1915 &lt;/ option&gt; &lt;option value = "1914"&gt; 1914 &lt;/ option&gt; &lt;option value = "1913"&gt; 1913 &lt;/ option&gt; &lt;option value = "1912"&gt; 1912 &lt;/ option&gt; &lt;option value = " 1911 "&gt; 1911 &lt;/ option&gt; &lt;option value =" 1910 "&gt; 1910 &lt;/ option&gt; &lt;option value =" 1909 "&gt; 1909 &lt;/ option&gt; &lt;option value =" 1908 "&gt; 1908 &lt;/ option&gt; &lt;value option = "1907"&gt; 1907 &lt;/ option&gt; &lt;option value = "1906"&gt; 1906 &lt;/ option&gt; &lt;option value = "1905"&gt; 1905 &lt;/ option&gt; &lt;option value = "1904"&gt; 1904 &lt;/ option&gt; &lt; option value = "1903"&gt; 1903 &lt;/ option&gt; &lt;option value = "1902"&gt; 1902 &lt;/ option&gt; &lt;option value = "1901"&gt; 19 01 &lt;/ option&gt; &lt;option value = "1900"&gt; 1900 &lt;/ option&gt; &lt;/ select&gt; &lt;div tabindex = "- 1" class = "airy-age-gate-submit airy-submit-button airy airy-submit- disabled "&gt; Submit &lt;/ div&gt; &lt;/ div&gt; &lt;/ div&gt; &lt;/ div&gt; &lt;/ div&gt; &lt;/ div&gt; &lt;div tabindex =" - 1 "class =" airy-install-flash-dialog airy-stage airy -vertical-centering-table-dialog airy airy-denied "style =" opacity: 0; visibility: hidden; "&gt; &lt;div tabindex =" - 1 "class =" airy-install-flash-Vertical-centering-table-cell airy-Vertical-centering-table-cell "&gt; &lt;div tabindex =" - 1 "class = "airy-Vertical-centering-wrapper airy-install-flash-elements-wrapper"&gt; &lt;div tabindex = "- 1" class = "airy-install-flash-elements airy-dialog-elements"&gt; &lt;div tabindex = " -1 "class =" airy-install-flash-prompt "&gt; Adobe Flash Player is required to watch this video &lt;/ div&gt; &lt;div tabindex =." - 1 "class =" airy-install-flash-button-wrapper airy -dialog-inner-elements "&gt; &lt;div tabindex =" - 1 "class =" airy-install-flash-button airy-button "&gt; install Flash Player &lt;/ div&gt; &lt;/ div&gt; &lt;/ div&gt; &lt;/ div&gt; &lt;/ div&gt; &lt;/ div&gt; &lt;div tabindex = "- 1" class = "airy-video-unsupported-dialog airy-stage airy-Vertical-centering-table airy-dialog airy-denied" style = "opacity: 0; visibility: hidden; "&gt; &lt;div tabindex =" - 1 "class =" airy-video-unsupported-Vertical-centering-table-cell airy-Vertical-centering-table-cell "&gt; &lt;div tabindex =" - 1 "class = "airy-Vertical-centering-wrapper airy-video-unsupported-elements-wrapper"&gt; &lt;div tabindex = "- 1" class = "airy-video-unsupported-elements airy-dialog-elements"&gt; &lt;div tabindex = " -1 "class =" airy-video-unsupported-prompt "&gt; &lt;/ div&gt; &lt;/ div&gt; &lt;/ div&gt; &lt;/ div&gt; &lt;/ div&gt; &lt;div tabindex =" - 1 "class =" airy-loading- spinner-stage airy-stage "&gt; &lt;div tabindex =" - 1 "class =" airy-loading-spinner-Vertical-centering-table-cell airy-Vertical-centering-table-cell "&gt; &lt;div tabindex =" - 1 "class =" airy-loading-spinner-container airy-scalable-hint-container "&gt; &lt;div tabindex =" - 1 "class =" airy-loading-spinner-dummy airy-scalable-dummy "&gt; &lt;/ div&gt; &lt; div tabindex = "- 1" class = "airy-loading-spinner airy-hint" style = "visibility: hidden;"&gt; &lt;/ div&gt; &lt;/ div&gt; &lt;/ div&gt; &lt;/ div&gt; &lt;div tabindex = "- 1 "class =" airy-ads-screen-size-toggle airy-screen-size-toggle-fullscreen airy "style =" visibility: hidden; "&gt; &lt;/ div&gt; &lt;div tabindex = "-1" class = "airy-ad-prompt-container" style = "visibility: hidden;"&gt; &lt;div tabindex = "- 1" class = "airy-ad-prompt-Vertical-centering-table-vertically airy centering-table "&gt; &lt;div tabindex =" - 1 "class =" airy-ad-prompt-Vertical-centering-table-cell airy-Vertical-centering-table-cell "&gt; &lt;div tabindex =" - 1 "class = "airy-ad-prompt-label"&gt; &lt;/ div&gt; &lt;/ div&gt; &lt;/ div&gt; &lt;/ div&gt; &lt;div tabindex = "- 1" class = "airy-ads-controls-container" style = "visibility: hidden; "&gt; &lt;div tabindex =" - 1 "class =" airy-ads-audio-toggle airy-audio-toggle airy-on "style =" visibility: hidden; "&gt; &lt;/ div&gt; &lt;div tabindex =" - 1 "class =" airy-time-remaining-label-container "&gt; &lt;div tabindex =" - 1 "class =" airy-time-remaining-Vertical-centering-table airy-Vertical-centering-table "&gt; &lt;div tabindex = "- 1" class = "airy-time-remaining-Vertical-centering-table-cell airy-Vertical-centering-table-cell"&gt; &lt;div tabindex = "- 1" class = "airy-Vertical-centering-wrapper airy-time-remaining-label-wrapper "&gt; &lt;div tabindex =" - 1 "class =" airy-time-remaining-label "style =" visibility: hidden; "&gt; &lt;/ div&gt; &lt;div tabi ndex = "- 1" class = "airy-ad-skip" style = "visibility: hidden;"&gt; &lt;/ div&gt; &lt;div tabindex = "- 1" class = "airy-ad-end" style = "visibility: hidden "&gt; &lt;/ div&gt; &lt;/ div&gt; &lt;/ div&gt; &lt;/ div&gt; &lt;/ div&gt; &lt;div tabindex =" - 1 "class =" airy-learn-more "style =" visibility: hidden; "&gt; &lt;/ div&gt; &lt;/ div&gt; &lt;div tabindex = "- 1" class = "airy-play-toggle-hint-stage airy-stage airy-cursor"&gt; &lt;div tabindex = "- 1" class = "airy-play -toggle-hint-Vertical-centering-table-cell airy-Vertical-centering-table-cell airy-cursor "&gt; &lt;div tabindex =" - 1 "class =" airy-play-toggle-hint-container airy-scalable- Hint-container "&gt; &lt;div tabindex =" - 1 "class =" airy-play-toggle-hint-dummy airy-scalable-dummy "&gt; &lt;/ div&gt; &lt;div tabindex =" - 1 "class =" airy-play -toggle-hint hint airy-airy-play-hint "style =" opacity: 1; visibility: visible; "&gt; &lt;/ div&gt; &lt;/ div&gt; &lt;/ div&gt; &lt;/ div&gt; &lt;div tabindex =" - 1 "class =" airy-replay-hint-stage airy-stage "style =" visibility: hidden ; "&gt; &lt;div tabindex =" - 1 "class =" airy-replay-hint-Vertical-centering-table-cell airy-Vertical-centering-table-cell airy-cursor "&gt; &lt;div tabindex =" - 1 "class = "airy-replay-hint-container airy-scalable-hint-container"&gt; &lt;div tabindex = "- 1" class = "airy-replay-hint-dummy airy-scalable-dummy"&gt; &lt;/ div&gt; &lt;div tabindex = "- 1" class = "airy-replay-hint airy-hint"&gt; &lt;/ div&gt; &lt;/ div&gt; &lt;/ div&gt; &lt;/ div&gt; &lt;div tabindex = "- 1" class = "airy-autoplay-hint -stage airy-stage "style =" visibility: hidden; "&gt; &lt;div tabindex =" - 1 "class =" airy-autoplay-hint-Vertical-centering-table-cell airy-Vertical-centering-table-cell airy- cursor "&gt; &lt;div tabindex =" - 1 "class =" autoplay airy-airy-hint-container-scalable-hint-container "&gt; &lt;div tabindex =" - 1 "class =" airy-autoplay-hint-dummy airy- scalable-dummy "&gt; &lt;/ div&gt; &lt;/ div&gt; &lt;/ div&gt; &lt;/ div&gt; &lt;/ div&gt; &lt;/ div&gt; &lt;input type =" hidden "name =" "value =" https: // images-eu .ssl-images-amazon.com / images / I / 71QNxVXxkVS.mp4 "Class =" video-url "&gt; &lt;input type =" hidden "name =" "value =" https://images-eu.ssl-images-amazon.com/images/I/81BaIk5dxSS.png "class =" video-slate-img-url "&gt; &amp; nbsp; is a good product. The touch of the material is soft and elegant. The aroma that makes the stay is very cool. The sense of calm and relaxation with its colors is very nice. Even as decoration is perfect. It can be programmed for use. Just it makes noise when on.</v>
      </c>
    </row>
    <row r="2660">
      <c r="A2660" s="1">
        <v>5.0</v>
      </c>
      <c r="B2660" s="1" t="s">
        <v>2647</v>
      </c>
      <c r="C2660" t="str">
        <f>IFERROR(__xludf.DUMMYFUNCTION("GOOGLETRANSLATE(B2660, ""es"", ""en"")"),"Good shoe. Are excellent addition to beautiful, the only problem is that it is a type of shoe that the sole wears out very soon, with 10/12 and super long runs are worn. Still are the third I have and of course there will be a fourth ...")</f>
        <v>Good shoe. Are excellent addition to beautiful, the only problem is that it is a type of shoe that the sole wears out very soon, with 10/12 and super long runs are worn. Still are the third I have and of course there will be a fourth ...</v>
      </c>
    </row>
    <row r="2661">
      <c r="A2661" s="1">
        <v>2.0</v>
      </c>
      <c r="B2661" s="1" t="s">
        <v>2648</v>
      </c>
      <c r="C2661" t="str">
        <f>IFERROR(__xludf.DUMMYFUNCTION("GOOGLETRANSLATE(B2661, ""es"", ""en"")"),"They crack and end up breaking. It is the second pair to me is exactly the same. Over time in the area where the holes are the inlet and outlet for air just breaking. It's a shame because I love the model.")</f>
        <v>They crack and end up breaking. It is the second pair to me is exactly the same. Over time in the area where the holes are the inlet and outlet for air just breaking. It's a shame because I love the model.</v>
      </c>
    </row>
    <row r="2662">
      <c r="A2662" s="1">
        <v>3.0</v>
      </c>
      <c r="B2662" s="1" t="s">
        <v>2649</v>
      </c>
      <c r="C2662" t="str">
        <f>IFERROR(__xludf.DUMMYFUNCTION("GOOGLETRANSLATE(B2662, ""es"", ""en"")"),"Very good cleaning")</f>
        <v>Very good cleaning</v>
      </c>
    </row>
    <row r="2663">
      <c r="A2663" s="1">
        <v>1.0</v>
      </c>
      <c r="B2663" s="1" t="s">
        <v>2650</v>
      </c>
      <c r="C2663" t="str">
        <f>IFERROR(__xludf.DUMMYFUNCTION("GOOGLETRANSLATE(B2663, ""es"", ""en"")"),"Últil anything is not very useful, buy it because I had to give the supplement drink and did not want to use a bottle but did not taste anything, not very easy to use, at the end gave the complement with syringe and finger technique")</f>
        <v>Últil anything is not very useful, buy it because I had to give the supplement drink and did not want to use a bottle but did not taste anything, not very easy to use, at the end gave the complement with syringe and finger technique</v>
      </c>
    </row>
    <row r="2664">
      <c r="A2664" s="1">
        <v>1.0</v>
      </c>
      <c r="B2664" s="1" t="s">
        <v>2651</v>
      </c>
      <c r="C2664" t="str">
        <f>IFERROR(__xludf.DUMMYFUNCTION("GOOGLETRANSLATE(B2664, ""es"", ""en"")"),"No hard or 1 week without giving rulings Very unhappy")</f>
        <v>No hard or 1 week without giving rulings Very unhappy</v>
      </c>
    </row>
    <row r="2665">
      <c r="A2665" s="1">
        <v>4.0</v>
      </c>
      <c r="B2665" s="1" t="s">
        <v>2652</v>
      </c>
      <c r="C2665" t="str">
        <f>IFERROR(__xludf.DUMMYFUNCTION("GOOGLETRANSLATE(B2665, ""es"", ""en"")"),"Normal. A memory card as any other. We have always relied on the Kingston brand and this time there would be less. Delivers what it offers, it is practical and versatile, because the brand offers opportunity to buy many ""capabilities"" different.")</f>
        <v>Normal. A memory card as any other. We have always relied on the Kingston brand and this time there would be less. Delivers what it offers, it is practical and versatile, because the brand offers opportunity to buy many "capabilities" different.</v>
      </c>
    </row>
    <row r="2666">
      <c r="A2666" s="1">
        <v>4.0</v>
      </c>
      <c r="B2666" s="1" t="s">
        <v>2653</v>
      </c>
      <c r="C2666" t="str">
        <f>IFERROR(__xludf.DUMMYFUNCTION("GOOGLETRANSLATE(B2666, ""es"", ""en"")"),"Practice great and easy to keep 100% recommended and comes with a measuring cup that is useful in a kitchen recommended 100%")</f>
        <v>Practice great and easy to keep 100% recommended and comes with a measuring cup that is useful in a kitchen recommended 100%</v>
      </c>
    </row>
    <row r="2667">
      <c r="A2667" s="1">
        <v>4.0</v>
      </c>
      <c r="B2667" s="1" t="s">
        <v>2654</v>
      </c>
      <c r="C2667" t="str">
        <f>IFERROR(__xludf.DUMMYFUNCTION("GOOGLETRANSLATE(B2667, ""es"", ""en"")"),"Perfect for what I need right is what a blender can bring to the kitchen, all as expected, perfect.")</f>
        <v>Perfect for what I need right is what a blender can bring to the kitchen, all as expected, perfect.</v>
      </c>
    </row>
    <row r="2668">
      <c r="A2668" s="1">
        <v>4.0</v>
      </c>
      <c r="B2668" s="1" t="s">
        <v>2655</v>
      </c>
      <c r="C2668" t="str">
        <f>IFERROR(__xludf.DUMMYFUNCTION("GOOGLETRANSLATE(B2668, ""es"", ""en"")"),"Good product at a good price reached ahead of schedule. Now we just have to try to see if it really does function.")</f>
        <v>Good product at a good price reached ahead of schedule. Now we just have to try to see if it really does function.</v>
      </c>
    </row>
    <row r="2669">
      <c r="A2669" s="1">
        <v>4.0</v>
      </c>
      <c r="B2669" s="1" t="s">
        <v>2656</v>
      </c>
      <c r="C2669" t="str">
        <f>IFERROR(__xludf.DUMMYFUNCTION("GOOGLETRANSLATE(B2669, ""es"", ""en"")"),"Amp for 2 micros really is an amplifier for 2 microSD is not a Karaoke itself.")</f>
        <v>Amp for 2 micros really is an amplifier for 2 microSD is not a Karaoke itself.</v>
      </c>
    </row>
    <row r="2670">
      <c r="A2670" s="1">
        <v>5.0</v>
      </c>
      <c r="B2670" s="1" t="s">
        <v>2657</v>
      </c>
      <c r="C2670" t="str">
        <f>IFERROR(__xludf.DUMMYFUNCTION("GOOGLETRANSLATE(B2670, ""es"", ""en"")"),"A luxury of comfortable slippers and thick, perfect for the cold snap. The size corresponds with 43 of my other shoes, come perfect. In addition came the day they told me without delay.")</f>
        <v>A luxury of comfortable slippers and thick, perfect for the cold snap. The size corresponds with 43 of my other shoes, come perfect. In addition came the day they told me without delay.</v>
      </c>
    </row>
    <row r="2671">
      <c r="A2671" s="1">
        <v>5.0</v>
      </c>
      <c r="B2671" s="1" t="s">
        <v>2658</v>
      </c>
      <c r="C2671" t="str">
        <f>IFERROR(__xludf.DUMMYFUNCTION("GOOGLETRANSLATE(B2671, ""es"", ""en"")"),"Excellent backpack to carry daily essentials. I'm very happy with that backpack, it seems resistant materials and finishes, aesthetics allowed to wear the casual or a little more settled. Multiple pockets inside and one outside with zippers good, neither "&amp;"too big nor too small, comfortable to wear both front and back. I love the detail of the small zipper pocket bearing on the tie rod. Definitely recommend purchase. Shipping as always great Amazon.")</f>
        <v>Excellent backpack to carry daily essentials. I'm very happy with that backpack, it seems resistant materials and finishes, aesthetics allowed to wear the casual or a little more settled. Multiple pockets inside and one outside with zippers good, neither too big nor too small, comfortable to wear both front and back. I love the detail of the small zipper pocket bearing on the tie rod. Definitely recommend purchase. Shipping as always great Amazon.</v>
      </c>
    </row>
    <row r="2672">
      <c r="A2672" s="1">
        <v>5.0</v>
      </c>
      <c r="B2672" s="1" t="s">
        <v>2659</v>
      </c>
      <c r="C2672" t="str">
        <f>IFERROR(__xludf.DUMMYFUNCTION("GOOGLETRANSLATE(B2672, ""es"", ""en"")"),"Satisfied hard drive comes packed well, looks good and look good finishes. Works correctly on a JVC TV to record is not very loud. Happy with purchase.")</f>
        <v>Satisfied hard drive comes packed well, looks good and look good finishes. Works correctly on a JVC TV to record is not very loud. Happy with purchase.</v>
      </c>
    </row>
    <row r="2673">
      <c r="A2673" s="1">
        <v>5.0</v>
      </c>
      <c r="B2673" s="1" t="s">
        <v>2660</v>
      </c>
      <c r="C2673" t="str">
        <f>IFERROR(__xludf.DUMMYFUNCTION("GOOGLETRANSLATE(B2673, ""es"", ""en"")"),"Fantastic product without using iron fantastic product without using iron! Recommended for marking all types of clothing, especially schools, kindergartens, etc.Volveria to buy it without a doubt.")</f>
        <v>Fantastic product without using iron fantastic product without using iron! Recommended for marking all types of clothing, especially schools, kindergartens, etc.Volveria to buy it without a doubt.</v>
      </c>
    </row>
    <row r="2674">
      <c r="A2674" s="1">
        <v>5.0</v>
      </c>
      <c r="B2674" s="1" t="s">
        <v>2661</v>
      </c>
      <c r="C2674" t="str">
        <f>IFERROR(__xludf.DUMMYFUNCTION("GOOGLETRANSLATE(B2674, ""es"", ""en"")"),"perfect speed")</f>
        <v>perfect speed</v>
      </c>
    </row>
    <row r="2675">
      <c r="A2675" s="1">
        <v>5.0</v>
      </c>
      <c r="B2675" s="1" t="s">
        <v>2662</v>
      </c>
      <c r="C2675" t="str">
        <f>IFERROR(__xludf.DUMMYFUNCTION("GOOGLETRANSLATE(B2675, ""es"", ""en"")"),"Great midrange. He is looking for a good SSD, with good internal memory and this is what a mid range but more than enough (there's a lot of nonsense and with speeds ...). Let us be sensible, unless you want a gamer or computer to hang, you do not need a t"&amp;"op speed SSD, already very fast. This is a mid-range in terms of speed, competing with some Toshiba, the Crucial MX, etc. For advanced office or to a game from time to time it is more than enough. Memories quality is good and not too hot. I would buy it f"&amp;"or 61 € I bought it. 100% recommendable. 👍")</f>
        <v>Great midrange. He is looking for a good SSD, with good internal memory and this is what a mid range but more than enough (there's a lot of nonsense and with speeds ...). Let us be sensible, unless you want a gamer or computer to hang, you do not need a top speed SSD, already very fast. This is a mid-range in terms of speed, competing with some Toshiba, the Crucial MX, etc. For advanced office or to a game from time to time it is more than enough. Memories quality is good and not too hot. I would buy it for 61 € I bought it. 100% recommendable. 👍</v>
      </c>
    </row>
    <row r="2676">
      <c r="A2676" s="1">
        <v>5.0</v>
      </c>
      <c r="B2676" s="1" t="s">
        <v>2663</v>
      </c>
      <c r="C2676" t="str">
        <f>IFERROR(__xludf.DUMMYFUNCTION("GOOGLETRANSLATE(B2676, ""es"", ""en"")"),"Excellent is the original backpack and has a very good quality")</f>
        <v>Excellent is the original backpack and has a very good quality</v>
      </c>
    </row>
    <row r="2677">
      <c r="A2677" s="1">
        <v>5.0</v>
      </c>
      <c r="B2677" s="1" t="s">
        <v>2664</v>
      </c>
      <c r="C2677" t="str">
        <f>IFERROR(__xludf.DUMMYFUNCTION("GOOGLETRANSLATE(B2677, ""es"", ""en"")"),"I bought this product works perfect second hand assuring the seller that was like new and so, coinciding perfectly with the description. I do not usually leave reviews, but I am a person who has them in mind when compar anything. I have the microphone in "&amp;"front of the keyboard slightly to the side, its base is small and does not slide, which was the reason for my purchase as I had little space. I often speak with a moderate tone of voice to two feet of the micro, which is to be no need to approach him when"&amp;" speaking, but not have to go too the tone, if not the people I call He asks me to speak louder, which means that at night have to get a little more (no uncomfortable positions) to speak. Installation is as simple as plugging in and start talking. 5 *****"&amp;" Recommended.")</f>
        <v>I bought this product works perfect second hand assuring the seller that was like new and so, coinciding perfectly with the description. I do not usually leave reviews, but I am a person who has them in mind when compar anything. I have the microphone in front of the keyboard slightly to the side, its base is small and does not slide, which was the reason for my purchase as I had little space. I often speak with a moderate tone of voice to two feet of the micro, which is to be no need to approach him when speaking, but not have to go too the tone, if not the people I call He asks me to speak louder, which means that at night have to get a little more (no uncomfortable positions) to speak. Installation is as simple as plugging in and start talking. 5 ***** Recommended.</v>
      </c>
    </row>
    <row r="2678">
      <c r="A2678" s="1">
        <v>5.0</v>
      </c>
      <c r="B2678" s="1" t="s">
        <v>2665</v>
      </c>
      <c r="C2678" t="str">
        <f>IFERROR(__xludf.DUMMYFUNCTION("GOOGLETRANSLATE(B2678, ""es"", ""en"")"),"Perfect fit for comfort having magnetic closure. very light")</f>
        <v>Perfect fit for comfort having magnetic closure. very light</v>
      </c>
    </row>
    <row r="2679">
      <c r="A2679" s="1">
        <v>5.0</v>
      </c>
      <c r="B2679" s="1" t="s">
        <v>2666</v>
      </c>
      <c r="C2679" t="str">
        <f>IFERROR(__xludf.DUMMYFUNCTION("GOOGLETRANSLATE(B2679, ""es"", ""en"")"),"Wonderful Excellent quality very happy.")</f>
        <v>Wonderful Excellent quality very happy.</v>
      </c>
    </row>
    <row r="2680">
      <c r="A2680" s="1">
        <v>5.0</v>
      </c>
      <c r="B2680" s="1" t="s">
        <v>2667</v>
      </c>
      <c r="C2680" t="str">
        <f>IFERROR(__xludf.DUMMYFUNCTION("GOOGLETRANSLATE(B2680, ""es"", ""en"")"),"How the clock opens in ca The stack brings it?")</f>
        <v>How the clock opens in ca The stack brings it?</v>
      </c>
    </row>
    <row r="2681">
      <c r="A2681" s="1">
        <v>5.0</v>
      </c>
      <c r="B2681" s="1" t="s">
        <v>2668</v>
      </c>
      <c r="C2681" t="str">
        <f>IFERROR(__xludf.DUMMYFUNCTION("GOOGLETRANSLATE(B2681, ""es"", ""en"")"),"Chandal quality and very nice'll deliver it wrapped in a bag plástico.Vienen two, one for the sweatshirt and one for the pants. Unlike other reviewers, I think it is original, by the labels and presentation. It comes with pants pockets, two with zipper. T"&amp;"he pants are skinny guy. I like that it looks like, it's what he wanted. The jacket fits like a glove, good quality zipper. 40 € I see very good quality / price ratio. I carve think big, Mido 1.80 and weight 92 kg and L me is perfect.")</f>
        <v>Chandal quality and very nice'll deliver it wrapped in a bag plástico.Vienen two, one for the sweatshirt and one for the pants. Unlike other reviewers, I think it is original, by the labels and presentation. It comes with pants pockets, two with zipper. The pants are skinny guy. I like that it looks like, it's what he wanted. The jacket fits like a glove, good quality zipper. 40 € I see very good quality / price ratio. I carve think big, Mido 1.80 and weight 92 kg and L me is perfect.</v>
      </c>
    </row>
    <row r="2682">
      <c r="A2682" s="1">
        <v>5.0</v>
      </c>
      <c r="B2682" s="1" t="s">
        <v>2669</v>
      </c>
      <c r="C2682" t="str">
        <f>IFERROR(__xludf.DUMMYFUNCTION("GOOGLETRANSLATE(B2682, ""es"", ""en"")"),"Desirable long Although Amazon's announcement to put the boots womens principle, say they are unisex. They are phenomenal. I recommend pick a number or two more than you normally wear. I have a 41 or 41.5, including some shoes I picked 42 and 43.")</f>
        <v>Desirable long Although Amazon's announcement to put the boots womens principle, say they are unisex. They are phenomenal. I recommend pick a number or two more than you normally wear. I have a 41 or 41.5, including some shoes I picked 42 and 43.</v>
      </c>
    </row>
    <row r="2683">
      <c r="A2683" s="1">
        <v>5.0</v>
      </c>
      <c r="B2683" s="1" t="s">
        <v>2670</v>
      </c>
      <c r="C2683" t="str">
        <f>IFERROR(__xludf.DUMMYFUNCTION("GOOGLETRANSLATE(B2683, ""es"", ""en"")"),"toto perfect all right")</f>
        <v>toto perfect all right</v>
      </c>
    </row>
    <row r="2684">
      <c r="A2684" s="1">
        <v>5.0</v>
      </c>
      <c r="B2684" s="1" t="s">
        <v>2671</v>
      </c>
      <c r="C2684" t="str">
        <f>IFERROR(__xludf.DUMMYFUNCTION("GOOGLETRANSLATE(B2684, ""es"", ""en"")"),"Good quality I used to make some letters and stick them to an artistic work. The fund is virtually invisible once stuck, the toner in my case was fixed perfectly and adhere perfectly, and that I did it on styrofoam.")</f>
        <v>Good quality I used to make some letters and stick them to an artistic work. The fund is virtually invisible once stuck, the toner in my case was fixed perfectly and adhere perfectly, and that I did it on styrofoam.</v>
      </c>
    </row>
    <row r="2685">
      <c r="A2685" s="1">
        <v>5.0</v>
      </c>
      <c r="B2685" s="1" t="s">
        <v>2672</v>
      </c>
      <c r="C2685" t="str">
        <f>IFERROR(__xludf.DUMMYFUNCTION("GOOGLETRANSLATE(B2685, ""es"", ""en"")"),"100% natural I bought these bags antihumedad because I'm fed up with both freshener and so much expense for camouflaging odors moisture, total these bags of 6 different sizes have placed them in different places in my room (cabinets and drawers) and I'm r"&amp;"eally happy, first because no odor and second because they fulfill their purpose !!! no longer smells bad my armario.El activated carbon comes in a bag bamboo therefore 100% natural, durability is 2 years for maintenance only have to expose them to the su"&amp;"n every 2 or 3 months 1 horita to eliminate the absorbed again, I am delighted savings often are super nice !!!! also decorate any space. I'll buy others for car and office.")</f>
        <v>100% natural I bought these bags antihumedad because I'm fed up with both freshener and so much expense for camouflaging odors moisture, total these bags of 6 different sizes have placed them in different places in my room (cabinets and drawers) and I'm really happy, first because no odor and second because they fulfill their purpose !!! no longer smells bad my armario.El activated carbon comes in a bag bamboo therefore 100% natural, durability is 2 years for maintenance only have to expose them to the sun every 2 or 3 months 1 horita to eliminate the absorbed again, I am delighted savings often are super nice !!!! also decorate any space. I'll buy others for car and office.</v>
      </c>
    </row>
    <row r="2686">
      <c r="A2686" s="1">
        <v>5.0</v>
      </c>
      <c r="B2686" s="1" t="s">
        <v>2673</v>
      </c>
      <c r="C2686" t="str">
        <f>IFERROR(__xludf.DUMMYFUNCTION("GOOGLETRANSLATE(B2686, ""es"", ""en"")"),"Very good to excellent it is super big and very professional one last product I recommend purchasing it again strong strong buy")</f>
        <v>Very good to excellent it is super big and very professional one last product I recommend purchasing it again strong strong buy</v>
      </c>
    </row>
    <row r="2687">
      <c r="A2687" s="1">
        <v>5.0</v>
      </c>
      <c r="B2687" s="1" t="s">
        <v>2674</v>
      </c>
      <c r="C2687" t="str">
        <f>IFERROR(__xludf.DUMMYFUNCTION("GOOGLETRANSLATE(B2687, ""es"", ""en"")"),"Sound very crisp, undistorted and great autonomy I bought these headphones for use in the gym and when I run. They weigh very little and are not at all annoying when using them. They adapt perfectly to the shape of the ear, and if we find esponjilla silic"&amp;"one big or too small, we can replace it with a different size coming parts. We can use either individually, one on each phone or stereo form, which is like enjoying better sound. Best of all is the very compact carrying case we can charge the battery in e"&amp;"ach handset about 4 times without connecting to the charger.")</f>
        <v>Sound very crisp, undistorted and great autonomy I bought these headphones for use in the gym and when I run. They weigh very little and are not at all annoying when using them. They adapt perfectly to the shape of the ear, and if we find esponjilla silicone big or too small, we can replace it with a different size coming parts. We can use either individually, one on each phone or stereo form, which is like enjoying better sound. Best of all is the very compact carrying case we can charge the battery in each handset about 4 times without connecting to the charger.</v>
      </c>
    </row>
    <row r="2688">
      <c r="A2688" s="1">
        <v>5.0</v>
      </c>
      <c r="B2688" s="1" t="s">
        <v>2675</v>
      </c>
      <c r="C2688" t="str">
        <f>IFERROR(__xludf.DUMMYFUNCTION("GOOGLETRANSLATE(B2688, ""es"", ""en"")"),"Much better live stunning, rugged, beautiful, functional and sporty-elegant, and I showered with and perfect, highly recommended. A big clock, the truth, I'm very happy with purchase")</f>
        <v>Much better live stunning, rugged, beautiful, functional and sporty-elegant, and I showered with and perfect, highly recommended. A big clock, the truth, I'm very happy with purchase</v>
      </c>
    </row>
    <row r="2689">
      <c r="A2689" s="1">
        <v>2.0</v>
      </c>
      <c r="B2689" s="1" t="s">
        <v>2676</v>
      </c>
      <c r="C2689" t="str">
        <f>IFERROR(__xludf.DUMMYFUNCTION("GOOGLETRANSLATE(B2689, ""es"", ""en"")"),"Photo deceives It has nothing to do with the photo image, it is not the typical roll compact zeal if not the longest diameter.")</f>
        <v>Photo deceives It has nothing to do with the photo image, it is not the typical roll compact zeal if not the longest diameter.</v>
      </c>
    </row>
    <row r="2690">
      <c r="A2690" s="1">
        <v>3.0</v>
      </c>
      <c r="B2690" s="1" t="s">
        <v>2677</v>
      </c>
      <c r="C2690" t="str">
        <f>IFERROR(__xludf.DUMMYFUNCTION("GOOGLETRANSLATE(B2690, ""es"", ""en"")"),"Good product'm happy moment")</f>
        <v>Good product'm happy moment</v>
      </c>
    </row>
    <row r="2691">
      <c r="A2691" s="1">
        <v>3.0</v>
      </c>
      <c r="B2691" s="1" t="s">
        <v>2678</v>
      </c>
      <c r="C2691" t="str">
        <f>IFERROR(__xludf.DUMMYFUNCTION("GOOGLETRANSLATE(B2691, ""es"", ""en"")"),"Mesh width remains but its price is fine.")</f>
        <v>Mesh width remains but its price is fine.</v>
      </c>
    </row>
    <row r="2692">
      <c r="A2692" s="1">
        <v>1.0</v>
      </c>
      <c r="B2692" s="1" t="s">
        <v>2679</v>
      </c>
      <c r="C2692" t="str">
        <f>IFERROR(__xludf.DUMMYFUNCTION("GOOGLETRANSLATE(B2692, ""es"", ""en"")"),"Malo Malísimo one slow potato")</f>
        <v>Malo Malísimo one slow potato</v>
      </c>
    </row>
    <row r="2693">
      <c r="A2693" s="1">
        <v>1.0</v>
      </c>
      <c r="B2693" s="1" t="s">
        <v>2680</v>
      </c>
      <c r="C2693" t="str">
        <f>IFERROR(__xludf.DUMMYFUNCTION("GOOGLETRANSLATE(B2693, ""es"", ""en"")"),"The good bad product shipping, and protection key with 1Gb files, does not exceed 13.2 megs second, I was disappointed a lot of truth, not worth buying it and spend that money")</f>
        <v>The good bad product shipping, and protection key with 1Gb files, does not exceed 13.2 megs second, I was disappointed a lot of truth, not worth buying it and spend that money</v>
      </c>
    </row>
    <row r="2694">
      <c r="A2694" s="1">
        <v>4.0</v>
      </c>
      <c r="B2694" s="1" t="s">
        <v>2681</v>
      </c>
      <c r="C2694" t="str">
        <f>IFERROR(__xludf.DUMMYFUNCTION("GOOGLETRANSLATE(B2694, ""es"", ""en"")"),"Well designed and practical. light product, durable and very practical, great for documents, records and other classified. Fit enough folders and is comfortable to carry.")</f>
        <v>Well designed and practical. light product, durable and very practical, great for documents, records and other classified. Fit enough folders and is comfortable to carry.</v>
      </c>
    </row>
    <row r="2695">
      <c r="A2695" s="1">
        <v>4.0</v>
      </c>
      <c r="B2695" s="1" t="s">
        <v>2682</v>
      </c>
      <c r="C2695" t="str">
        <f>IFERROR(__xludf.DUMMYFUNCTION("GOOGLETRANSLATE(B2695, ""es"", ""en"")"),"Lourdes Gras Gras Very cimodos and abrigaditos, I do go very well because I recently operated hip and femur (4 times) and now mirare to buy other")</f>
        <v>Lourdes Gras Gras Very cimodos and abrigaditos, I do go very well because I recently operated hip and femur (4 times) and now mirare to buy other</v>
      </c>
    </row>
    <row r="2696">
      <c r="A2696" s="1">
        <v>4.0</v>
      </c>
      <c r="B2696" s="1" t="s">
        <v>2683</v>
      </c>
      <c r="C2696" t="str">
        <f>IFERROR(__xludf.DUMMYFUNCTION("GOOGLETRANSLATE(B2696, ""es"", ""en"")"),"Well removes much dirt from the hands but not of the whole.")</f>
        <v>Well removes much dirt from the hands but not of the whole.</v>
      </c>
    </row>
    <row r="2697">
      <c r="A2697" s="1">
        <v>4.0</v>
      </c>
      <c r="B2697" s="1" t="s">
        <v>2684</v>
      </c>
      <c r="C2697" t="str">
        <f>IFERROR(__xludf.DUMMYFUNCTION("GOOGLETRANSLATE(B2697, ""es"", ""en"")"),"It's like expecting a bit large size. For the rest fenimenal. The've gotten even in the washer and well")</f>
        <v>It's like expecting a bit large size. For the rest fenimenal. The've gotten even in the washer and well</v>
      </c>
    </row>
    <row r="2698">
      <c r="A2698" s="1">
        <v>4.0</v>
      </c>
      <c r="B2698" s="1" t="s">
        <v>2685</v>
      </c>
      <c r="C2698" t="str">
        <f>IFERROR(__xludf.DUMMYFUNCTION("GOOGLETRANSLATE(B2698, ""es"", ""en"")"),"NO COLOR PHOTO Corresponds The shoe fits like 39.5. The color does not match the photo as it is a not a blue-gray and navy blue as shown in the photo the shipment arrived in perfect condition and very punctual")</f>
        <v>NO COLOR PHOTO Corresponds The shoe fits like 39.5. The color does not match the photo as it is a not a blue-gray and navy blue as shown in the photo the shipment arrived in perfect condition and very punctual</v>
      </c>
    </row>
    <row r="2699">
      <c r="A2699" s="1">
        <v>5.0</v>
      </c>
      <c r="B2699" s="1" t="s">
        <v>2686</v>
      </c>
      <c r="C2699" t="str">
        <f>IFERROR(__xludf.DUMMYFUNCTION("GOOGLETRANSLATE(B2699, ""es"", ""en"")"),"Do not expect miracles. It is easy to put on and remove, smells pretty good, but I have not noticed special changes after use is good to be a bit relaxed")</f>
        <v>Do not expect miracles. It is easy to put on and remove, smells pretty good, but I have not noticed special changes after use is good to be a bit relaxed</v>
      </c>
    </row>
    <row r="2700">
      <c r="A2700" s="1">
        <v>5.0</v>
      </c>
      <c r="B2700" s="1" t="s">
        <v>2687</v>
      </c>
      <c r="C2700" t="str">
        <f>IFERROR(__xludf.DUMMYFUNCTION("GOOGLETRANSLATE(B2700, ""es"", ""en"")"),"Very practical beautiful design with good capacity, easy cleaning and quick hot. Fast shipping. Very good quality.")</f>
        <v>Very practical beautiful design with good capacity, easy cleaning and quick hot. Fast shipping. Very good quality.</v>
      </c>
    </row>
    <row r="2701">
      <c r="A2701" s="1">
        <v>5.0</v>
      </c>
      <c r="B2701" s="1" t="s">
        <v>2688</v>
      </c>
      <c r="C2701" t="str">
        <f>IFERROR(__xludf.DUMMYFUNCTION("GOOGLETRANSLATE(B2701, ""es"", ""en"")"),"Robust Robust and elegant, stylish, good quality, is more beautiful live than on picture, the belt is quality leather, perfect Comore.")</f>
        <v>Robust Robust and elegant, stylish, good quality, is more beautiful live than on picture, the belt is quality leather, perfect Comore.</v>
      </c>
    </row>
    <row r="2702">
      <c r="A2702" s="1">
        <v>5.0</v>
      </c>
      <c r="B2702" s="1" t="s">
        <v>2689</v>
      </c>
      <c r="C2702" t="str">
        <f>IFERROR(__xludf.DUMMYFUNCTION("GOOGLETRANSLATE(B2702, ""es"", ""en"")"),"Design and quality Yes, the product was for my daughter and was delighted. Perfect size, and very comfortable. Quality as expected")</f>
        <v>Design and quality Yes, the product was for my daughter and was delighted. Perfect size, and very comfortable. Quality as expected</v>
      </c>
    </row>
    <row r="2703">
      <c r="A2703" s="1">
        <v>5.0</v>
      </c>
      <c r="B2703" s="1" t="s">
        <v>2690</v>
      </c>
      <c r="C2703" t="str">
        <f>IFERROR(__xludf.DUMMYFUNCTION("GOOGLETRANSLATE(B2703, ""es"", ""en"")"),"Pendant 3 Beautiful colors, good price and very elegant. My daughter has loved is small but with a q line makes it different from others. I'm happy with the purchase.")</f>
        <v>Pendant 3 Beautiful colors, good price and very elegant. My daughter has loved is small but with a q line makes it different from others. I'm happy with the purchase.</v>
      </c>
    </row>
    <row r="2704">
      <c r="A2704" s="1">
        <v>5.0</v>
      </c>
      <c r="B2704" s="1" t="s">
        <v>2691</v>
      </c>
      <c r="C2704" t="str">
        <f>IFERROR(__xludf.DUMMYFUNCTION("GOOGLETRANSLATE(B2704, ""es"", ""en"")"),"Pool are very comfortable to walk barefoot and not slip")</f>
        <v>Pool are very comfortable to walk barefoot and not slip</v>
      </c>
    </row>
    <row r="2705">
      <c r="A2705" s="1">
        <v>5.0</v>
      </c>
      <c r="B2705" s="1" t="s">
        <v>2692</v>
      </c>
      <c r="C2705" t="str">
        <f>IFERROR(__xludf.DUMMYFUNCTION("GOOGLETRANSLATE(B2705, ""es"", ""en"")"),"Perfect work perfectly, although its use is basically comfort fit perfectly and everything is more tucked behind the AVR, Amazon well at all.")</f>
        <v>Perfect work perfectly, although its use is basically comfort fit perfectly and everything is more tucked behind the AVR, Amazon well at all.</v>
      </c>
    </row>
    <row r="2706">
      <c r="A2706" s="1">
        <v>5.0</v>
      </c>
      <c r="B2706" s="1" t="s">
        <v>2693</v>
      </c>
      <c r="C2706" t="str">
        <f>IFERROR(__xludf.DUMMYFUNCTION("GOOGLETRANSLATE(B2706, ""es"", ""en"")"),"Notable a little uncomfortable when you take a few hours with them. I normally use playing sports and do their job. The matter seems endless, undoubtedly one of its strengths,")</f>
        <v>Notable a little uncomfortable when you take a few hours with them. I normally use playing sports and do their job. The matter seems endless, undoubtedly one of its strengths,</v>
      </c>
    </row>
    <row r="2707">
      <c r="A2707" s="1">
        <v>5.0</v>
      </c>
      <c r="B2707" s="1" t="s">
        <v>2694</v>
      </c>
      <c r="C2707" t="str">
        <f>IFERROR(__xludf.DUMMYFUNCTION("GOOGLETRANSLATE(B2707, ""es"", ""en"")"),"Great shoes running shoes The best I've tasted")</f>
        <v>Great shoes running shoes The best I've tasted</v>
      </c>
    </row>
    <row r="2708">
      <c r="A2708" s="1">
        <v>5.0</v>
      </c>
      <c r="B2708" s="1" t="s">
        <v>238</v>
      </c>
      <c r="C2708" t="str">
        <f>IFERROR(__xludf.DUMMYFUNCTION("GOOGLETRANSLATE(B2708, ""es"", ""en"")"),"perfect perfect")</f>
        <v>perfect perfect</v>
      </c>
    </row>
    <row r="2709">
      <c r="A2709" s="1">
        <v>5.0</v>
      </c>
      <c r="B2709" s="1" t="s">
        <v>2695</v>
      </c>
      <c r="C2709" t="str">
        <f>IFERROR(__xludf.DUMMYFUNCTION("GOOGLETRANSLATE(B2709, ""es"", ""en"")"),"Very cool ,,,, It was a precious gift for an elderly person, I love")</f>
        <v>Very cool ,,,, It was a precious gift for an elderly person, I love</v>
      </c>
    </row>
    <row r="2710">
      <c r="A2710" s="1">
        <v>5.0</v>
      </c>
      <c r="B2710" s="1" t="s">
        <v>2696</v>
      </c>
      <c r="C2710" t="str">
        <f>IFERROR(__xludf.DUMMYFUNCTION("GOOGLETRANSLATE(B2710, ""es"", ""en"")"),"He loves good quality Medela to the baby")</f>
        <v>He loves good quality Medela to the baby</v>
      </c>
    </row>
    <row r="2711">
      <c r="A2711" s="1">
        <v>5.0</v>
      </c>
      <c r="B2711" s="1" t="s">
        <v>2697</v>
      </c>
      <c r="C2711" t="str">
        <f>IFERROR(__xludf.DUMMYFUNCTION("GOOGLETRANSLATE(B2711, ""es"", ""en"")"),"A fantastic machine never had a blender of this style, which would no expectations; However the operation of this is great, I have no complaints. I use it to make juice in the morning and a chance dough pancakes with banana and egg, and so far everything "&amp;"is perfect.")</f>
        <v>A fantastic machine never had a blender of this style, which would no expectations; However the operation of this is great, I have no complaints. I use it to make juice in the morning and a chance dough pancakes with banana and egg, and so far everything is perfect.</v>
      </c>
    </row>
    <row r="2712">
      <c r="A2712" s="1">
        <v>5.0</v>
      </c>
      <c r="B2712" s="1" t="s">
        <v>2698</v>
      </c>
      <c r="C2712" t="str">
        <f>IFERROR(__xludf.DUMMYFUNCTION("GOOGLETRANSLATE(B2712, ""es"", ""en"")"),"All well meets expectations")</f>
        <v>All well meets expectations</v>
      </c>
    </row>
    <row r="2713">
      <c r="A2713" s="1">
        <v>5.0</v>
      </c>
      <c r="B2713" s="1" t="s">
        <v>2699</v>
      </c>
      <c r="C2713" t="str">
        <f>IFERROR(__xludf.DUMMYFUNCTION("GOOGLETRANSLATE(B2713, ""es"", ""en"")"),"Grandecito and recommended in size is much bigger than I expected, so more is exactly as described and shown in the photos, the material is plastic and looks tough, inside includes a measuring jug to lend essential oils or you go to market. It's simple to"&amp;" use, filled to the measure, caps and plug in and go. Is pretty good for the price you have, perhaps all of the size but otherwise fine.")</f>
        <v>Grandecito and recommended in size is much bigger than I expected, so more is exactly as described and shown in the photos, the material is plastic and looks tough, inside includes a measuring jug to lend essential oils or you go to market. It's simple to use, filled to the measure, caps and plug in and go. Is pretty good for the price you have, perhaps all of the size but otherwise fine.</v>
      </c>
    </row>
    <row r="2714">
      <c r="A2714" s="1">
        <v>5.0</v>
      </c>
      <c r="B2714" s="1" t="s">
        <v>2700</v>
      </c>
      <c r="C2714" t="str">
        <f>IFERROR(__xludf.DUMMYFUNCTION("GOOGLETRANSLATE(B2714, ""es"", ""en"")"),"Precious Silver earrings 925 heart-shaped and Bright Circonita My partner is excited and pleased with the purchase I made and I have no doubt buy, when you need it. They're Sterling silver earrings with a heart-shaped Zirconia. They are very bright and be"&amp;"autiful. Crown shaped crimped heart. They have some weight so they are not all of the light as others, thanks to its Zirconia. They are very elegant and refined, for any situation or gift. For a friend, girlfriend, wife ... and for any situation like a pa"&amp;"rty, wedding, New Year, etc. Basic information or dimension is 10mm * 8mm / Weight: 1.4g. They come perfectly into their box, even bring a tie for gift messaging service and manufacturer, have occupied the product coasting to my house. I put some pictures"&amp;" to valoréis as far as possible my views. Good luck to everyone.")</f>
        <v>Precious Silver earrings 925 heart-shaped and Bright Circonita My partner is excited and pleased with the purchase I made and I have no doubt buy, when you need it. They're Sterling silver earrings with a heart-shaped Zirconia. They are very bright and beautiful. Crown shaped crimped heart. They have some weight so they are not all of the light as others, thanks to its Zirconia. They are very elegant and refined, for any situation or gift. For a friend, girlfriend, wife ... and for any situation like a party, wedding, New Year, etc. Basic information or dimension is 10mm * 8mm / Weight: 1.4g. They come perfectly into their box, even bring a tie for gift messaging service and manufacturer, have occupied the product coasting to my house. I put some pictures to valoréis as far as possible my views. Good luck to everyone.</v>
      </c>
    </row>
    <row r="2715">
      <c r="A2715" s="1">
        <v>5.0</v>
      </c>
      <c r="B2715" s="1" t="s">
        <v>2701</v>
      </c>
      <c r="C2715" t="str">
        <f>IFERROR(__xludf.DUMMYFUNCTION("GOOGLETRANSLATE(B2715, ""es"", ""en"")"),"good product rapidity with which heats the water, how little it occupies and easy cleaning")</f>
        <v>good product rapidity with which heats the water, how little it occupies and easy cleaning</v>
      </c>
    </row>
    <row r="2716">
      <c r="A2716" s="1">
        <v>5.0</v>
      </c>
      <c r="B2716" s="1" t="s">
        <v>2702</v>
      </c>
      <c r="C2716" t="str">
        <f>IFERROR(__xludf.DUMMYFUNCTION("GOOGLETRANSLATE(B2716, ""es"", ""en"")"),"Nice and original. I love. It draws attention and is very colorful.")</f>
        <v>Nice and original. I love. It draws attention and is very colorful.</v>
      </c>
    </row>
    <row r="2717">
      <c r="A2717" s="1">
        <v>2.0</v>
      </c>
      <c r="B2717" s="1" t="s">
        <v>2703</v>
      </c>
      <c r="C2717" t="str">
        <f>IFERROR(__xludf.DUMMYFUNCTION("GOOGLETRANSLATE(B2717, ""es"", ""en"")"),"The manufacturing defect case law sabot is flawed and does not fit the foot. They should provide another under optimal conditions.")</f>
        <v>The manufacturing defect case law sabot is flawed and does not fit the foot. They should provide another under optimal conditions.</v>
      </c>
    </row>
    <row r="2718">
      <c r="A2718" s="1">
        <v>3.0</v>
      </c>
      <c r="B2718" s="1" t="s">
        <v>2704</v>
      </c>
      <c r="C2718" t="str">
        <f>IFERROR(__xludf.DUMMYFUNCTION("GOOGLETRANSLATE(B2718, ""es"", ""en"")"),"Good product but little quantity. The cream is good. The only drawback I can put it is that the boat seems to come with half the content.")</f>
        <v>Good product but little quantity. The cream is good. The only drawback I can put it is that the boat seems to come with half the content.</v>
      </c>
    </row>
    <row r="2719">
      <c r="A2719" s="1">
        <v>1.0</v>
      </c>
      <c r="B2719" s="1" t="s">
        <v>2705</v>
      </c>
      <c r="C2719" t="str">
        <f>IFERROR(__xludf.DUMMYFUNCTION("GOOGLETRANSLATE(B2719, ""es"", ""en"")"),"Nothing breathable The top selling it as ""most"" to run and does not sweat at all. Nor it is usable as a sports bra without further because compression does not have enough apart that is too short to ""pick up"" correctly. Fatal value")</f>
        <v>Nothing breathable The top selling it as "most" to run and does not sweat at all. Nor it is usable as a sports bra without further because compression does not have enough apart that is too short to "pick up" correctly. Fatal value</v>
      </c>
    </row>
    <row r="2720">
      <c r="A2720" s="1">
        <v>1.0</v>
      </c>
      <c r="B2720" s="1" t="s">
        <v>2706</v>
      </c>
      <c r="C2720" t="str">
        <f>IFERROR(__xludf.DUMMYFUNCTION("GOOGLETRANSLATE(B2720, ""es"", ""en"")"),"MISSING PARTS OF THE PRODUCT I have received everything except the USB card, and without it can not use this microphone with my macbook. I will return. Not recommended. :(")</f>
        <v>MISSING PARTS OF THE PRODUCT I have received everything except the USB card, and without it can not use this microphone with my macbook. I will return. Not recommended. :(</v>
      </c>
    </row>
    <row r="2721">
      <c r="A2721" s="1">
        <v>1.0</v>
      </c>
      <c r="B2721" s="1" t="s">
        <v>2707</v>
      </c>
      <c r="C2721" t="str">
        <f>IFERROR(__xludf.DUMMYFUNCTION("GOOGLETRANSLATE(B2721, ""es"", ""en"")"),"it is not easy to find size, always ever mistake one shoe left me something small, so someday di prodre not use it, greetings")</f>
        <v>it is not easy to find size, always ever mistake one shoe left me something small, so someday di prodre not use it, greetings</v>
      </c>
    </row>
    <row r="2722">
      <c r="A2722" s="1">
        <v>4.0</v>
      </c>
      <c r="B2722" s="1" t="s">
        <v>2708</v>
      </c>
      <c r="C2722" t="str">
        <f>IFERROR(__xludf.DUMMYFUNCTION("GOOGLETRANSLATE(B2722, ""es"", ""en"")"),"Very useful. 90% satisfaction. I like and works well, does not weigh much ... I think today could be improved for the same price.")</f>
        <v>Very useful. 90% satisfaction. I like and works well, does not weigh much ... I think today could be improved for the same price.</v>
      </c>
    </row>
    <row r="2723">
      <c r="A2723" s="1">
        <v>4.0</v>
      </c>
      <c r="B2723" s="1" t="s">
        <v>2709</v>
      </c>
      <c r="C2723" t="str">
        <f>IFERROR(__xludf.DUMMYFUNCTION("GOOGLETRANSLATE(B2723, ""es"", ""en"")"),"Recomendables quite comfortable and light")</f>
        <v>Recomendables quite comfortable and light</v>
      </c>
    </row>
    <row r="2724">
      <c r="A2724" s="1">
        <v>4.0</v>
      </c>
      <c r="B2724" s="1" t="s">
        <v>2710</v>
      </c>
      <c r="C2724" t="str">
        <f>IFERROR(__xludf.DUMMYFUNCTION("GOOGLETRANSLATE(B2724, ""es"", ""en"")"),"Thought it back no longer return because it was carrying. But my son brought me a magazine with which so if you load it back no longer. Sound: great. By putting a low but could be improved. The battery lasts up getting bored and are comfortable to enterin"&amp;"g full ear within the handset. Price / outstanding quality. I recommend it without reservation.")</f>
        <v>Thought it back no longer return because it was carrying. But my son brought me a magazine with which so if you load it back no longer. Sound: great. By putting a low but could be improved. The battery lasts up getting bored and are comfortable to entering full ear within the handset. Price / outstanding quality. I recommend it without reservation.</v>
      </c>
    </row>
    <row r="2725">
      <c r="A2725" s="1">
        <v>4.0</v>
      </c>
      <c r="B2725" s="1" t="s">
        <v>2711</v>
      </c>
      <c r="C2725" t="str">
        <f>IFERROR(__xludf.DUMMYFUNCTION("GOOGLETRANSLATE(B2725, ""es"", ""en"")"),"very good at this price is very good and you have the option of printing")</f>
        <v>very good at this price is very good and you have the option of printing</v>
      </c>
    </row>
    <row r="2726">
      <c r="A2726" s="1">
        <v>5.0</v>
      </c>
      <c r="B2726" s="1" t="s">
        <v>2712</v>
      </c>
      <c r="C2726" t="str">
        <f>IFERROR(__xludf.DUMMYFUNCTION("GOOGLETRANSLATE(B2726, ""es"", ""en"")"),"You are perfect! Boots very good quality !! excellent product. Fast shipping .")</f>
        <v>You are perfect! Boots very good quality !! excellent product. Fast shipping .</v>
      </c>
    </row>
    <row r="2727">
      <c r="A2727" s="1">
        <v>5.0</v>
      </c>
      <c r="B2727" s="1" t="s">
        <v>2713</v>
      </c>
      <c r="C2727" t="str">
        <f>IFERROR(__xludf.DUMMYFUNCTION("GOOGLETRANSLATE(B2727, ""es"", ""en"")"),"Nice with several compartments and nice quality zipper bag man with several compartments to carry subtle from a small notebook, mobile or keys. A friend recommended me and enchanted moment, the zippers are of good quality, which is important in this kind "&amp;"of accessories")</f>
        <v>Nice with several compartments and nice quality zipper bag man with several compartments to carry subtle from a small notebook, mobile or keys. A friend recommended me and enchanted moment, the zippers are of good quality, which is important in this kind of accessories</v>
      </c>
    </row>
    <row r="2728">
      <c r="A2728" s="1">
        <v>5.0</v>
      </c>
      <c r="B2728" s="1" t="s">
        <v>2714</v>
      </c>
      <c r="C2728" t="str">
        <f>IFERROR(__xludf.DUMMYFUNCTION("GOOGLETRANSLATE(B2728, ""es"", ""en"")"),"I save files have been great, the truth that came in a box well and when you put files colocaditos light.")</f>
        <v>I save files have been great, the truth that came in a box well and when you put files colocaditos light.</v>
      </c>
    </row>
    <row r="2729">
      <c r="A2729" s="1">
        <v>5.0</v>
      </c>
      <c r="B2729" s="1" t="s">
        <v>2715</v>
      </c>
      <c r="C2729" t="str">
        <f>IFERROR(__xludf.DUMMYFUNCTION("GOOGLETRANSLATE(B2729, ""es"", ""en"")"),"As I expected there to ask for a full size and carving small but very comfortable")</f>
        <v>As I expected there to ask for a full size and carving small but very comfortable</v>
      </c>
    </row>
    <row r="2730">
      <c r="A2730" s="1">
        <v>5.0</v>
      </c>
      <c r="B2730" s="1" t="s">
        <v>2716</v>
      </c>
      <c r="C2730" t="str">
        <f>IFERROR(__xludf.DUMMYFUNCTION("GOOGLETRANSLATE(B2730, ""es"", ""en"")"),"pendrive fulfill its functions, it is nice and well connected pequeño.esta quality / price are satisfied with the purchase")</f>
        <v>pendrive fulfill its functions, it is nice and well connected pequeño.esta quality / price are satisfied with the purchase</v>
      </c>
    </row>
    <row r="2731">
      <c r="A2731" s="1">
        <v>5.0</v>
      </c>
      <c r="B2731" s="1" t="s">
        <v>2717</v>
      </c>
      <c r="C2731" t="str">
        <f>IFERROR(__xludf.DUMMYFUNCTION("GOOGLETRANSLATE(B2731, ""es"", ""en"")"),"Very nice and good value Excellent humidifier with good quality material and a prefect size, besides being attractive, it certainly has been a good buy. It has a capacity of 300 ml maximum, but also is marked measures 100, 200 and 300ml. In the box is the"&amp;" instruction book which is well explained and Spanish, the charger is quite long and also a very handy remote control. The truth is that this humidor hard enough. One of the things I liked most is the regulation of light with various colors can choose the"&amp;"ir intensity. You can also adjust the intensity of spraying and filling by adding a few drops of aroma make it the truth that a humidifier very top. Highly recommended this product to a good quality.")</f>
        <v>Very nice and good value Excellent humidifier with good quality material and a prefect size, besides being attractive, it certainly has been a good buy. It has a capacity of 300 ml maximum, but also is marked measures 100, 200 and 300ml. In the box is the instruction book which is well explained and Spanish, the charger is quite long and also a very handy remote control. The truth is that this humidor hard enough. One of the things I liked most is the regulation of light with various colors can choose their intensity. You can also adjust the intensity of spraying and filling by adding a few drops of aroma make it the truth that a humidifier very top. Highly recommended this product to a good quality.</v>
      </c>
    </row>
    <row r="2732">
      <c r="A2732" s="1">
        <v>5.0</v>
      </c>
      <c r="B2732" s="1" t="s">
        <v>2718</v>
      </c>
      <c r="C2732" t="str">
        <f>IFERROR(__xludf.DUMMYFUNCTION("GOOGLETRANSLATE(B2732, ""es"", ""en"")"),"A quality casio watch very comfortable, ideal for walking daily. When looks perfect and complement alarm and clock are very useful. I would buy without any doubt.")</f>
        <v>A quality casio watch very comfortable, ideal for walking daily. When looks perfect and complement alarm and clock are very useful. I would buy without any doubt.</v>
      </c>
    </row>
    <row r="2733">
      <c r="A2733" s="1">
        <v>5.0</v>
      </c>
      <c r="B2733" s="1" t="s">
        <v>2719</v>
      </c>
      <c r="C2733" t="str">
        <f>IFERROR(__xludf.DUMMYFUNCTION("GOOGLETRANSLATE(B2733, ""es"", ""en"")"),"Very comfortable great comfortable")</f>
        <v>Very comfortable great comfortable</v>
      </c>
    </row>
    <row r="2734">
      <c r="A2734" s="1">
        <v>5.0</v>
      </c>
      <c r="B2734" s="1" t="s">
        <v>2720</v>
      </c>
      <c r="C2734" t="str">
        <f>IFERROR(__xludf.DUMMYFUNCTION("GOOGLETRANSLATE(B2734, ""es"", ""en"")"),"Well &lt;div id = ""video-block-R38HKBU2ZK2GXI"" class = ""a-section a-spacing-small a-spacing-top mini video-block""&gt; &lt;div tabindex = ""0"" class = ""airy airy-svg vmin -unsupported airy-skin-beacon ""style ="" background-color: rgb (0, 0, 0) position: rela"&amp;"tive; width: 100%; height: 100%; font-size: 0px; overflow: hidden; outline: none; ""&gt; &lt;div class ="" airy-renderer-container ""style ="" position: relative; height: 100%; width: 100%; ""&gt; &lt;video id ="" 23 ""preload ="" auto ""src ="" https : //images-eu.s"&amp;"sl-images-amazon.com/images/I/91Ov7+Y0MeS.mp4 ""style ="" position: absolute; left: 0px; top: 0px; overflow: hidden; height: 1px; width: 1px; ""&gt; &lt;/ video&gt; &lt;/ div&gt; &lt;div id ="" airy-slate-preload ""style ="" background-color: rgb (0, 0, 0); background-imag"&amp;"e: url (&amp; quot; https: / /images-eu.ssl-images-amazon.com/images/I/A1nksubSDBS.png&amp;quot;); background-size: Contain; background-position: center center; background-repeat: no-repeat; position: absolute; top: 0px; left: 0px; visibility: visible; width: 100"&amp;"%; height: 100%; ""&gt; &lt;/ div&gt; &lt;iframe scrolling ="" no ""fra meborder = ""0"" src = ""about: blank"" style = ""display: none;""&gt; &lt;/ iframe&gt; &lt;div tabindex = ""- 1"" class = ""airy-controls-container"" style = ""opacity: 0; visibility: hidden; ""&gt; &lt;div tabin"&amp;"dex ="" - 1 ""class ="" airy-screen-size-toggle airy-fullscreen ""&gt; &lt;/ div&gt; &lt;div tabindex ="" - 1 ""class ="" airy-container-bottom "" &gt; &lt;div tabindex = ""- 1"" class = ""airy-track-bar-spacer-left"" style = ""width: 11px;""&gt; &lt;/ div&gt; &lt;div tabindex = ""- 1"&amp;""" class = ""airy-play- airy toggle-play ""style ="" width: 12px; margin-right: 12px; ""&gt; &lt;/ div&gt; &lt;div tabindex ="" - 1 ""class ="" airy-audio-elements ""style ="" float: right; width: 34px; ""&gt; &lt;div tabindex ="" - 1 ""class ="" airy-audio-toggle airy-on "&amp;"""&gt; &lt;/ div&gt; &lt;div tabindex ="" - 1 ""class ="" airy-audio-container ""style = ""opacity: 0; visibility: hidden; ""&gt; &lt;div tabindex ="" - 1 ""class ="" airy-audio-track-bar ""style ="" height: 80%; ""&gt; &lt;div tabindex ="" - 1 ""class ="" airy-audio- Scrubber-b"&amp;"ar ""style ="" height: 85%; ""&gt; &lt;/ div&gt; &lt;div tabindex ="" - 1 ""class ="" airy-audio-scrubber ""style ="" height: 12px; bottom 85% ""&gt; &lt;/ div&gt; &lt;/ div&gt; &lt;/ div&gt; &lt;/ div&gt; &lt;div tabindex ="" - 1 ""class ="" airy-duration-label ""style ="" float: right; width: 2"&amp;"6px; margin-right: 4px; text-align: center; ""&gt; 0:11 &lt;/ div&gt; &lt;div tabindex ="" - 1 ""class ="" airy-track-bar-spacer-right ""style ="" float: right; width: 11px; ""&gt; &lt;/ div&gt; &lt;div tabindex ="" - 1 ""class ="" airy-track-bar-container ""style ="" margin-lef"&amp;"t: 35px; margin-right: 75px; ""&gt; &lt;div tabindex ="" - 1 ""class ="" airy-airy-track-bar vertically-centering-table ""&gt; &lt;div tabindex ="" - 1 ""class ="" airy-Vertical-centering- table-cell ""&gt; &lt;div tabindex ="" - 1 ""class ="" airy-track bar-elements ""&gt; &lt;"&amp;"div tabindex ="" - 1 ""class ="" airy-progress bar ""style ="" width: 100%; ""&gt; &lt;/ div&gt; &lt;div tabindex ="" - 1 ""class ="" airy-scrubber-bar ""&gt; &lt;/ div&gt; &lt;div tabindex ="" - 1 ""class ="" airy-scrubber ""&gt; &lt;div tabindex ="" - 1 ""class ="" airy-scrubber-ico"&amp;"n ""&gt; &lt;/ div&gt; &lt;div tabindex ="" - 1 ""class ="" airy-adjusted-AUI-tooltip ""style ="" opacity: 0; visibility: hidden; ""&gt; &lt;div tabindex ="" - 1 ""class ="" airy-adjusted-aui-tooltip-inner ""&gt; &lt;div tabindex ="" - 1 ""class ="" airy-current-time-label ""&gt; 0"&amp;": 00 &lt;/ div&gt; &lt;/ div&gt; &lt;div tabindex = ""- 1"" class = ""airy-adjusted-AUI-arrow-border""&gt; &lt;div tabindex = ""- 1"" class = ""airy-adjusted-AUI-arrow"" &gt; &lt;/ div&gt; &lt;/ div&gt; &lt;/ div&gt; &lt;/ div&gt; &lt;/ div&gt; &lt;/ div&gt; &lt;/ div&gt; &lt;/ div&gt; &lt;/ div&gt; &lt;/ div&gt; &lt;div tabindex = ""- 1"" "&amp;"class = ""airy-age-gate airy-stage airy-Vertical-centering-table airy-dialog"" style = ""opacity: 0; visibility: hidden; ""&gt; &lt;div tabindex ="" - 1 ""class ="" airy-age-gate-Vertical-centering-table-cell airy-Vertical-centering-table-cell ""&gt; &lt;div tabindex"&amp;" ="" - 1 ""class = ""airy-Vertical-centering-wrapper airy-age-gate-elements-wrapper""&gt; &lt;div tabindex = ""- 1"" class = ""airy-age-gate-elements airy-dialog-elements""&gt; &lt;div tabindex = "" -1 ""class ="" airy-age-gate-prompt ""&gt; This video is not Intended f"&amp;"or all audiences What date were you born &lt;/ div&gt; &lt;div tabindex =.?"" - 1 ""class ="" airy-age-gate -inputs airy-dialog-inner-elements ""&gt; &lt;select tabindex ="" - 1 ""class ="" airy-age-gate-month ""&gt; &lt;option value ="" 1 ""&gt; January &lt;/ option&gt; &lt;option value"&amp;" ="" 2 ""&gt; February &lt;/ option&gt; &lt;option value ="" 3 ""&gt; March &lt;/ option&gt; &lt;option value ="" 4 ""&gt; April &lt;/ option&gt; &lt;option value ="" 5 ""&gt; May &lt;/ option&gt; &lt;option value = ""6""&gt; June &lt;/ option&gt; &lt;option value = ""7""&gt; July &lt;/ option&gt; &lt;option value = ""8""&gt; Au"&amp;"gust &lt;/ option&gt; &lt;option value = ""9""&gt; September &lt;/ option&gt; &lt;option value = ""10""&gt; October &lt;/ option&gt; &lt;option value = ""11""&gt; November &lt;/ option&gt; &lt;option value = ""12""&gt; December &lt;/ option&gt; &lt;/ select&gt; &lt;select tabindex = ""- 1"" class = ""airy-age-gate-da"&amp;"y""&gt; &lt;opti on value = ""1""&gt; 1 &lt;/ option&gt; &lt;option value = ""2""&gt; 2 &lt;/ option&gt; &lt;option value = ""3""&gt; 3 &lt;/ option&gt; &lt;option value = ""4""&gt; 4 &lt;/ option &gt; &lt;option value = ""5""&gt; 5 &lt;/ option&gt; &lt;option value = ""6""&gt; 6 &lt;/ option&gt; &lt;option value = ""7""&gt; 7 &lt;/ opti"&amp;"on&gt; &lt;option value = ""8""&gt; 8 &lt; / option&gt; &lt;option value = ""9""&gt; 9 &lt;/ option&gt; &lt;option value = ""10""&gt; 10 &lt;/ option&gt; &lt;option value = ""11""&gt; 11 &lt;/ option&gt; &lt;option value = ""12""&gt; 12 &lt;/ option&gt; &lt;option value = ""13""&gt; 13 &lt;/ option&gt; &lt;option value = ""14""&gt; 14"&amp;" &lt;/ option&gt; &lt;option value = ""15""&gt; 15 &lt;/ option&gt; &lt;option value = ""16 ""&gt; 16 &lt;/ option&gt; &lt;option value ="" 17 ""&gt; 17 &lt;/ option&gt; &lt;option value ="" 18 ""&gt; 18 &lt;/ option&gt; &lt;option value ="" 19 ""&gt; 19 &lt;/ option&gt; &lt;option value = ""20""&gt; 20 &lt;/ option&gt; &lt;option val"&amp;"ue = ""21""&gt; 21 &lt;/ option&gt; &lt;option value = ""22""&gt; 22 &lt;/ option&gt; &lt;option value = ""23""&gt; 23 &lt;/ option&gt; &lt;option value = ""24""&gt; 24 &lt;/ option&gt; &lt;option value = ""25""&gt; 25 &lt;/ option&gt; &lt;option value = ""26""&gt; 26 &lt;/ option&gt; &lt;option value = ""27""&gt; 27 &lt;/ option&gt; "&amp;"&lt;option value = ""28""&gt; 28 &lt;/ option&gt; &lt;option value = ""29""&gt; 29 &lt;/ option&gt; &lt;option value = ""30""&gt; 30 &lt;/ option&gt; &lt;option value = ""31""&gt; 31 &lt;/ option&gt; &lt;/ select&gt; &lt;select tabindex = ""- 1"" class = ""airy-age-gate-year""&gt; &lt;option value = ""2019""&gt; 2019 &lt;/"&amp;" option&gt; &lt; option value = ""2018""&gt; 2018 &lt;/ option&gt; &lt;option value = ""2017""&gt; 2017 &lt;/ option&gt; &lt;option value = ""2016""&gt; ​​2016 &lt;/ option&gt; &lt;option value = ""2015""&gt; 2015 &lt;/ option &gt; &lt;option value = ""2014""&gt; 2014 &lt;/ option&gt; &lt;option value = ""2013""&gt; 2013 &lt;"&amp;"/ option&gt; &lt;option value = ""2012""&gt; 2012 &lt;/ option&gt; &lt;option value = ""2011""&gt; 2011 &lt; / option&gt; &lt;option value = ""2010""&gt; 2010 &lt;/ option&gt; &lt;option value = ""2009""&gt; 2009 &lt;/ option&gt; &lt;option value = ""2008""&gt; 2008 &lt;/ option&gt; &lt;option value = ""2007""&gt; 2007 &lt;/ "&amp;"option&gt; &lt;option value = ""2006""&gt; 2006 &lt;/ option&gt; &lt;option value = ""2005""&gt; 2005 &lt;/ option&gt; &lt;option value = ""2004""&gt; 2004 &lt;/ option&gt; &lt;option value = ""2003 ""&gt; 2003 &lt;/ option&gt; &lt;option value ="" 2002 ""&gt; 2002 &lt;/ option&gt; &lt;option value ="" 2001 ""&gt; 2001 &lt;/ "&amp;"option&gt; &lt;option value ="" 2000 ""&gt; 2000 &lt;/ option&gt; &lt;option value = ""1999""&gt; 1999 &lt;/ option&gt; &lt;option value = ""1998""&gt; 1998 &lt;/ option&gt; &lt;option value = ""1997""&gt; 1997 &lt;/ option&gt; &lt;option value = ""1996""&gt; 1996 &lt;/ option&gt; &lt;option value = ""1995""&gt; 1995 &lt;/ op"&amp;"tion&gt; &lt;option value = ""1994""&gt; 1994 &lt;/ option&gt; &lt;option value = ""1993""&gt; 1993 &lt;/ option&gt; &lt;option value = ""1992""&gt; 1992 &lt;/ option&gt; &lt;option value = ""1991""&gt; 1991 &lt;/ option&gt; &lt;option value = ""1990""&gt; 1990 &lt;/ option&gt; &lt;option value = "" 1989 ""&gt; 1989 &lt;/ opt"&amp;"ion&gt; &lt;option value ="" 1988 ""&gt; 1988 &lt;/ option&gt; &lt;option value ="" 1987 ""&gt; 1987 &lt;/ option&gt; &lt;option value ="" 1986 ""&gt; 1986 &lt;/ option&gt; &lt;value option = ""1985""&gt; 1985 &lt;/ option&gt; &lt;option value = ""1984""&gt; 1984 &lt;/ option&gt; &lt;option value = ""1983""&gt; 1983 &lt;/ opt"&amp;"ion&gt; &lt;option value = ""1982""&gt; 1982 &lt;/ option&gt; &lt; option value = ""1981""&gt; 1981 &lt;/ option&gt; &lt;option value = ""1980""&gt; 1980 &lt;/ option&gt; &lt;option value = ""1979""&gt; 1979 &lt;/ option&gt; &lt;option value = ""1978""&gt; 1978 &lt;/ option &gt; &lt;option value = ""1977""&gt; 1977 &lt;/ opti"&amp;"on&gt; &lt;option value = ""1976""&gt; 1976 &lt;/ option&gt; &lt;option value = ""1975""&gt; 1975 &lt;/ option&gt; &lt;option value = ""1974""&gt; 1974 &lt; / option&gt; &lt;option value = ""1973""&gt; 1973 &lt;/ option&gt; &lt;option value = ""1972""&gt; 1972 &lt;/ option&gt; &lt;option value = ""1971""&gt; 1971 &lt;/ option"&amp;"&gt; &lt;option value = ""1970""&gt; 1970 &lt;/ option&gt; &lt;option value = ""1969""&gt; 1969 &lt;/ option&gt; &lt;option value = ""1968""&gt; 1968 &lt;/ option&gt; &lt;option value = ""1967""&gt; 1967 &lt;/ option&gt; &lt;option value = ""1966 ""&gt; 1966 &lt;/ option&gt; &lt;option value ="" 1965 ""&gt; 1965 &lt;/ option&gt;"&amp;" &lt;option value ="" 1964 ""&gt; 1964 &lt;/ option&gt; &lt;option value ="" 1963 ""&gt; 1963 &lt;/ option&gt; &lt;option value = ""1962""&gt; 1962 &lt;/ option&gt; &lt;option value = ""1961""&gt; 1961 &lt;/ option&gt; &lt;option value = ""1960""&gt; 1960 &lt;/ op tion&gt; &lt;option value = ""1959""&gt; 1959 &lt;/ option&gt;"&amp;" &lt;option value = ""1958""&gt; 1958 &lt;/ option&gt; &lt;option value = ""1957""&gt; 1957 &lt;/ option&gt; &lt;option value = ""1956""&gt; 1956 &lt;/ option&gt; &lt;option value = ""1955""&gt; 1955 &lt;/ option&gt; &lt;option value = ""1954""&gt; 1954 &lt;/ option&gt; &lt;option value = ""1953""&gt; 1953 &lt;/ option&gt; &lt;o"&amp;"ption value = ""1952"" &gt; 1952 &lt;/ option&gt; &lt;option value = ""1951""&gt; 1951 &lt;/ option&gt; &lt;option value = ""1950""&gt; 1950 &lt;/ option&gt; &lt;option value = ""1949""&gt; 1949 &lt;/ option&gt; &lt;option value = "" 1948 ""&gt; 1948 &lt;/ option&gt; &lt;option value ="" 1947 ""&gt; 1947 &lt;/ option&gt; &lt;"&amp;"option value ="" 1946 ""&gt; 1946 &lt;/ option&gt; &lt;option value ="" 1945 ""&gt; 1945 &lt;/ option&gt; &lt;value option = ""1944""&gt; 1944 &lt;/ option&gt; &lt;option value = ""1943""&gt; 1943 &lt;/ option&gt; &lt;option value = ""1942""&gt; 1942 &lt;/ option&gt; &lt;option value = ""1941""&gt; 1941 &lt;/ option&gt; &lt; "&amp;"option value = ""1940""&gt; 1940 &lt;/ option&gt; &lt;option value = ""1939""&gt; 1939 &lt;/ option&gt; &lt;option value = ""1938""&gt; 1938 &lt;/ option&gt; &lt;option value = ""1937""&gt; 1937 &lt;/ option &gt; &lt;option value = ""1936""&gt; 1936 &lt;/ option&gt; &lt;option value = ""1935""&gt; 1935 &lt;/ option&gt; &lt;op"&amp;"tion value = ""1934""&gt; 1934 &lt;/ option&gt; &lt;option value = ""1933""&gt; 1933 &lt; / option&gt; &lt;option value = ""1932""&gt; 1932 &lt;/ option&gt; &lt;option value = ""1931""&gt; 1931 &lt;/ option&gt; &lt;option v alue = ""1930""&gt; 1930 &lt;/ option&gt; &lt;option value = ""1929""&gt; 1929 &lt;/ option&gt; &lt;opt"&amp;"ion value = ""1928""&gt; 1928 &lt;/ option&gt; &lt;option value = ""1927""&gt; 1927 &lt;/ option&gt; &lt;option value = ""1926""&gt; 1926 &lt;/ option&gt; &lt;option value = ""1925""&gt; 1925 &lt;/ option&gt; &lt;option value = ""1924""&gt; 1924 &lt;/ option&gt; &lt;option value = ""1923""&gt; 1923 &lt;/ option&gt; &lt;option"&amp;" value = ""1922""&gt; 1922 &lt;/ option&gt; &lt;option value = ""1921""&gt; 1921 &lt;/ option&gt; &lt;option value = ""1920""&gt; 1920 &lt;/ option&gt; &lt;option value = ""1919""&gt; 1919 &lt;/ option&gt; &lt;option value = ""1918""&gt; 1918 &lt;/ option&gt; &lt;option value = ""1917""&gt; 1917 &lt;/ option&gt; &lt;option va"&amp;"lue = ""1916""&gt; 1916 &lt;/ option&gt; &lt;option value = ""1915"" &gt; 1915 &lt;/ option&gt; &lt;option value = ""1914""&gt; 1914 &lt;/ option&gt; &lt;option value = ""1913""&gt; 1913 &lt;/ option&gt; &lt;option value = ""1912""&gt; 1912 &lt;/ option&gt; &lt;option value = "" 1911 ""&gt; 1911 &lt;/ option&gt; &lt;option va"&amp;"lue ="" 1910 ""&gt; 1910 &lt;/ option&gt; &lt;option value ="" 1909 ""&gt; 1909 &lt;/ option&gt; &lt;option value ="" 1908 ""&gt; 1908 &lt;/ option&gt; &lt;value option = ""1907""&gt; 1907 &lt;/ option&gt; &lt;option value = ""1906""&gt; 1906 &lt;/ option&gt; &lt;option value = ""1905""&gt; 1905 &lt;/ option&gt; &lt;option va"&amp;"lue = ""1904""&gt; 1904 &lt;/ option&gt; &lt; option value = ""1903""&gt; 1903 &lt;/ option&gt; &lt;option value = ""1902""&gt; 1902 &lt;/ option&gt; &lt;option value = ""1901""&gt; 19 01 &lt;/ option&gt; &lt;option value = ""1900""&gt; 1900 &lt;/ option&gt; &lt;/ select&gt; &lt;div tabindex = ""- 1"" class = ""airy-age"&amp;"-gate-submit airy-submit-button airy airy-submit- disabled ""&gt; Submit &lt;/ div&gt; &lt;/ div&gt; &lt;/ div&gt; &lt;/ div&gt; &lt;/ div&gt; &lt;/ div&gt; &lt;div tabindex ="" - 1 ""class ="" airy-install-flash-dialog airy-stage airy -vertical-centering-table-dialog airy airy-denied ""style ="""&amp;" opacity: 0; visibility: hidden; ""&gt; &lt;div tabindex ="" - 1 ""class ="" airy-install-flash-Vertical-centering-table-cell airy-Vertical-centering-table-cell ""&gt; &lt;div tabindex ="" - 1 ""class = ""airy-Vertical-centering-wrapper airy-install-flash-elements-wr"&amp;"apper""&gt; &lt;div tabindex = ""- 1"" class = ""airy-install-flash-elements airy-dialog-elements""&gt; &lt;div tabindex = "" -1 ""class ="" airy-install-flash-prompt ""&gt; Adobe Flash Player is required to watch this video &lt;/ div&gt; &lt;div tabindex =."" - 1 ""class ="" ai"&amp;"ry-install-flash-button-wrapper airy -dialog-inner-elements ""&gt; &lt;div tabindex ="" - 1 ""class ="" airy-install-flash-button airy-button ""&gt; install Flash Player &lt;/ div&gt; &lt;/ div&gt; &lt;/ div&gt; &lt;/ div&gt; &lt;/ div&gt; &lt;/ div&gt; &lt;div tabindex = ""- 1"" class = ""airy-video-u"&amp;"nsupported-dialog airy-stage airy-Vertical-centering-table airy-dialog airy-denied"" style = ""opacity: 0; visibility: hidden; ""&gt; &lt;div tabindex ="" - 1 ""class ="" airy-video-unsupported-Vertical-centering-table-cell airy-Vertical-centering-table-cell """&amp;"&gt; &lt;div tabindex ="" - 1 ""class = ""airy-Vertical-centering-wrapper airy-video-unsupported-elements-wrapper""&gt; &lt;div tabindex = ""- 1"" class = ""airy-video-unsupported-elements airy-dialog-elements""&gt; &lt;div tabindex = "" -1 ""class ="" airy-video-unsupport"&amp;"ed-prompt ""&gt; &lt;/ div&gt; &lt;/ div&gt; &lt;/ div&gt; &lt;/ div&gt; &lt;/ div&gt; &lt;div tabindex ="" - 1 ""class ="" airy-loading- spinner-stage airy-stage ""&gt; &lt;div tabindex ="" - 1 ""class ="" airy-loading-spinner-Vertical-centering-table-cell airy-Vertical-centering-table-cell ""&gt; "&amp;"&lt;div tabindex ="" - 1 ""class ="" airy-loading-spinner-container airy-scalable-hint-container ""&gt; &lt;div tabindex ="" - 1 ""class ="" airy-loading-spinner-dummy airy-scalable-dummy ""&gt; &lt;/ div&gt; &lt; div tabindex = ""- 1"" class = ""airy-loading-spinner airy-hin"&amp;"t"" style = ""visibility: hidden;""&gt; &lt;/ div&gt; &lt;/ div&gt; &lt;/ div&gt; &lt;/ div&gt; &lt;div tabindex = ""- 1 ""class ="" airy-ads-screen-size-toggle airy-screen-size-toggle-fullscreen airy ""style ="" visibility: hidden; ""&gt; &lt;/ div&gt; &lt;div tabindex = ""-1"" class = ""airy-ad"&amp;"-prompt-container"" style = ""visibility: hidden;""&gt; &lt;div tabindex = ""- 1"" class = ""airy-ad-prompt-Vertical-centering-table-vertically airy centering-table ""&gt; &lt;div tabindex ="" - 1 ""class ="" airy-ad-prompt-Vertical-centering-table-cell airy-Vertical"&amp;"-centering-table-cell ""&gt; &lt;div tabindex ="" - 1 ""class = ""airy-ad-prompt-label""&gt; &lt;/ div&gt; &lt;/ div&gt; &lt;/ div&gt; &lt;/ div&gt; &lt;div tabindex = ""- 1"" class = ""airy-ads-controls-container"" style = ""visibility: hidden; ""&gt; &lt;div tabindex ="" - 1 ""class ="" airy-ad"&amp;"s-audio-toggle airy-audio-toggle airy-on ""style ="" visibility: hidden; ""&gt; &lt;/ div&gt; &lt;div tabindex ="" - 1 ""class ="" airy-time-remaining-label-container ""&gt; &lt;div tabindex ="" - 1 ""class ="" airy-time-remaining-Vertical-centering-table airy-Vertical-cen"&amp;"tering-table ""&gt; &lt;div tabindex = ""- 1"" class = ""airy-time-remaining-Vertical-centering-table-cell airy-Vertical-centering-table-cell""&gt; &lt;div tabindex = ""- 1"" class = ""airy-Vertical-centering-wrapper airy-time-remaining-label-wrapper ""&gt; &lt;div tabinde"&amp;"x ="" - 1 ""class ="" airy-time-remaining-label ""style ="" visibility: hidden; ""&gt; &lt;/ div&gt; &lt;div tabi ndex = ""- 1"" class = ""airy-ad-skip"" style = ""visibility: hidden;""&gt; &lt;/ div&gt; &lt;div tabindex = ""- 1"" class = ""airy-ad-end"" style = ""visibility: hi"&amp;"dden ""&gt; &lt;/ div&gt; &lt;/ div&gt; &lt;/ div&gt; &lt;/ div&gt; &lt;/ div&gt; &lt;div tabindex ="" - 1 ""class ="" airy-learn-more ""style ="" visibility: hidden; ""&gt; &lt;/ div&gt; &lt;/ div&gt; &lt;div tabindex = ""- 1"" class = ""airy-play-toggle-hint-stage airy-stage airy-cursor""&gt; &lt;div tabindex = "&amp;"""- 1"" class = ""airy-play -toggle-hint-Vertical-centering-table-cell airy-Vertical-centering-table-cell airy-cursor ""&gt; &lt;div tabindex ="" - 1 ""class ="" airy-play-toggle-hint-container airy-scalable- Hint-container ""&gt; &lt;div tabindex ="" - 1 ""class ="""&amp;" airy-play-toggle-hint-dummy airy-scalable-dummy ""&gt; &lt;/ div&gt; &lt;div tabindex ="" - 1 ""class ="" airy-play -toggle-hint hint airy-airy-play-hint ""style ="" opacity: 1; visibility: visible; ""&gt; &lt;/ div&gt; &lt;/ div&gt; &lt;/ div&gt; &lt;/ div&gt; &lt;div tabindex ="" - 1 ""class ="&amp;""" airy-replay-hint-stage airy-stage ""style ="" visibility: hidden ; ""&gt; &lt;div tabindex ="" - 1 ""class ="" airy-replay-hint-Vertical-centering-table-cell airy-Vertical-centering-table-cell airy-cursor ""&gt; &lt;div tabindex ="" - 1 ""class = ""airy-replay-hin"&amp;"t-container airy-scalable-hint-container""&gt; &lt;div tabindex = ""- 1"" class = ""airy-replay-hint-dummy airy-scalable-dummy""&gt; &lt;/ div&gt; &lt;div tabindex = ""- 1"" class = ""airy-replay-hint airy-hint""&gt; &lt;/ div&gt; &lt;/ div&gt; &lt;/ div&gt; &lt;/ div&gt; &lt;div tabindex = ""- 1"" cla"&amp;"ss = ""airy-autoplay-hint -stage airy-stage ""style ="" visibility: hidden; ""&gt; &lt;div tabindex ="" - 1 ""class ="" airy-autoplay-hint-Vertical-centering-table-cell airy-Vertical-centering-table-cell airy- cursor ""&gt; &lt;div tabindex ="" - 1 ""class ="" autopl"&amp;"ay airy-airy-hint-container-scalable-hint-container ""&gt; &lt;div tabindex ="" - 1 ""class ="" airy-autoplay-hint-dummy airy- scalable-dummy ""&gt; &lt;/ div&gt; &lt;/ div&gt; &lt;/ div&gt; &lt;/ div&gt; &lt;/ div&gt; &lt;/ div&gt; &lt;input type ="" hidden ""name ="" ""value ="" https: // images-eu ."&amp;"ssl-images-amazon.com / images / I / 91Ov7 + Y0MeS.mp4 ""Class ="" video-url ""&gt; &lt;input type ="" hidden ""name ="" ""value ="" https://images-eu.ssl-images-amazon.com/images/I/A1nksubSDBS.png ""class ="" video-slate-img-url ""&gt; &amp; nbsp; in your day has com"&amp;"e, and in perfect condition, working properly, I've used it a couple of times and in principle is a recommended product at the moment I'm happy and satisfied.")</f>
        <v>Well &lt;div id = "video-block-R38HKBU2ZK2GXI" class = "a-section a-spacing-small a-spacing-top mini video-block"&gt; &lt;div tabindex = "0" class = "airy airy-svg vmin -unsupported airy-skin-beacon "style =" background-color: rgb (0, 0, 0) position: relative; width: 100%; height: 100%; font-size: 0px; overflow: hidden; outline: none; "&gt; &lt;div class =" airy-renderer-container "style =" position: relative; height: 100%; width: 100%; "&gt; &lt;video id =" 23 "preload =" auto "src =" https : //images-eu.ssl-images-amazon.com/images/I/91Ov7+Y0MeS.mp4 "style =" position: absolute; left: 0px; top: 0px; overflow: hidden; height: 1px; width: 1px; "&gt; &lt;/ video&gt; &lt;/ div&gt; &lt;div id =" airy-slate-preload "style =" background-color: rgb (0, 0, 0); background-image: url (&amp; quot; https: / /images-eu.ssl-images-amazon.com/images/I/A1nksubSDBS.png&amp;quot;); background-size: Contain; background-position: center center; background-repeat: no-repeat; position: absolute; top: 0px; left: 0px; visibility: visible; width: 100%; height: 100%; "&gt; &lt;/ div&gt; &lt;iframe scrolling =" no "fra meborder = "0" src = "about: blank" style = "display: none;"&gt; &lt;/ iframe&gt; &lt;div tabindex = "- 1" class = "airy-controls-container" style = "opacity: 0; visibility: hidden; "&gt; &lt;div tabindex =" - 1 "class =" airy-screen-size-toggle airy-fullscreen "&gt; &lt;/ div&gt; &lt;div tabindex =" - 1 "class =" airy-container-bottom " &gt; &lt;div tabindex = "- 1" class = "airy-track-bar-spacer-left" style = "width: 11px;"&gt; &lt;/ div&gt; &lt;div tabindex = "- 1" class = "airy-play- airy toggle-play "style =" width: 12px; margin-right: 12px; "&gt; &lt;/ div&gt; &lt;div tabindex =" - 1 "class =" airy-audio-elements "style =" float: right; width: 34px; "&gt; &lt;div tabindex =" - 1 "class =" airy-audio-toggle airy-on "&gt; &lt;/ div&gt; &lt;div tabindex =" - 1 "class =" airy-audio-container "style = "opacity: 0; visibility: hidden; "&gt; &lt;div tabindex =" - 1 "class =" airy-audio-track-bar "style =" height: 80%; "&gt; &lt;div tabindex =" - 1 "class =" airy-audio- Scrubber-bar "style =" height: 85%; "&gt; &lt;/ div&gt; &lt;div tabindex =" - 1 "class =" airy-audio-scrubber "style =" height: 12px; bottom 85% "&gt; &lt;/ div&gt; &lt;/ div&gt; &lt;/ div&gt; &lt;/ div&gt; &lt;div tabindex =" - 1 "class =" airy-duration-label "style =" float: right; width: 26px; margin-right: 4px; text-align: center; "&gt; 0:11 &lt;/ div&gt; &lt;div tabindex =" - 1 "class =" airy-track-bar-spacer-right "style =" float: right; width: 11px; "&gt; &lt;/ div&gt; &lt;div tabindex =" - 1 "class =" airy-track-bar-container "style =" margin-left: 35px; margin-right: 75px; "&gt; &lt;div tabindex =" - 1 "class =" airy-airy-track-bar vertically-centering-table "&gt; &lt;div tabindex =" - 1 "class =" airy-Vertical-centering- table-cell "&gt; &lt;div tabindex =" - 1 "class =" airy-track bar-elements "&gt; &lt;div tabindex =" - 1 "class =" airy-progress bar "style =" width: 100%; "&gt; &lt;/ div&gt; &lt;div tabindex =" - 1 "class =" airy-scrubber-bar "&gt; &lt;/ div&gt; &lt;div tabindex =" - 1 "class =" airy-scrubber "&gt; &lt;div tabindex =" - 1 "class =" airy-scrubber-icon "&gt; &lt;/ div&gt; &lt;div tabindex =" - 1 "class =" airy-adjusted-AUI-tooltip "style =" opacity: 0; visibility: hidden; "&gt; &lt;div tabindex =" - 1 "class =" airy-adjusted-aui-tooltip-inner "&gt; &lt;div tabindex =" - 1 "class =" airy-current-time-label "&gt; 0: 00 &lt;/ div&gt; &lt;/ div&gt; &lt;div tabindex = "- 1" class = "airy-adjusted-AUI-arrow-border"&gt; &lt;div tabindex = "- 1" class = "airy-adjusted-AUI-arrow" &gt; &lt;/ div&gt; &lt;/ div&gt; &lt;/ div&gt; &lt;/ div&gt; &lt;/ div&gt; &lt;/ div&gt; &lt;/ div&gt; &lt;/ div&gt; &lt;/ div&gt; &lt;/ div&gt; &lt;div tabindex = "- 1" class = "airy-age-gate airy-stage airy-Vertical-centering-table airy-dialog" style = "opacity: 0; visibility: hidden; "&gt; &lt;div tabindex =" - 1 "class =" airy-age-gate-Vertical-centering-table-cell airy-Vertical-centering-table-cell "&gt; &lt;div tabindex =" - 1 "class = "airy-Vertical-centering-wrapper airy-age-gate-elements-wrapper"&gt; &lt;div tabindex = "- 1" class = "airy-age-gate-elements airy-dialog-elements"&gt; &lt;div tabindex = " -1 "class =" airy-age-gate-prompt "&gt; This video is not Intended for all audiences What date were you born &lt;/ div&gt; &lt;div tabindex =.?" - 1 "class =" airy-age-gate -inputs airy-dialog-inner-elements "&gt; &lt;select tabindex =" - 1 "class =" airy-age-gate-month "&gt; &lt;option value =" 1 "&gt; January &lt;/ option&gt; &lt;option value =" 2 "&gt; February &lt;/ option&gt; &lt;option value =" 3 "&gt; March &lt;/ option&gt; &lt;option value =" 4 "&gt; April &lt;/ option&gt; &lt;option value =" 5 "&gt; May &lt;/ option&gt; &lt;option value = "6"&gt; June &lt;/ option&gt; &lt;option value = "7"&gt; July &lt;/ option&gt; &lt;option value = "8"&gt; August &lt;/ option&gt; &lt;option value = "9"&gt; September &lt;/ option&gt; &lt;option value = "10"&gt; October &lt;/ option&gt; &lt;option value = "11"&gt; November &lt;/ option&gt; &lt;option value = "12"&gt; December &lt;/ option&gt; &lt;/ select&gt; &lt;select tabindex = "- 1" class = "airy-age-gate-day"&gt; &lt;opti on value = "1"&gt; 1 &lt;/ option&gt; &lt;option value = "2"&gt; 2 &lt;/ option&gt; &lt;option value = "3"&gt; 3 &lt;/ option&gt; &lt;option value = "4"&gt; 4 &lt;/ option &gt; &lt;option value = "5"&gt; 5 &lt;/ option&gt; &lt;option value = "6"&gt; 6 &lt;/ option&gt; &lt;option value = "7"&gt; 7 &lt;/ option&gt; &lt;option value = "8"&gt; 8 &lt; / option&gt; &lt;option value = "9"&gt; 9 &lt;/ option&gt; &lt;option value = "10"&gt; 10 &lt;/ option&gt; &lt;option value = "11"&gt; 11 &lt;/ option&gt; &lt;option value = "12"&gt; 12 &lt;/ option&gt; &lt;option value = "13"&gt; 13 &lt;/ option&gt; &lt;option value = "14"&gt; 14 &lt;/ option&gt; &lt;option value = "15"&gt; 15 &lt;/ option&gt; &lt;option value = "16 "&gt; 16 &lt;/ option&gt; &lt;option value =" 17 "&gt; 17 &lt;/ option&gt; &lt;option value =" 18 "&gt; 18 &lt;/ option&gt; &lt;option value =" 19 "&gt; 19 &lt;/ option&gt; &lt;option value = "20"&gt; 20 &lt;/ option&gt; &lt;option value = "21"&gt; 21 &lt;/ option&gt; &lt;option value = "22"&gt; 22 &lt;/ option&gt; &lt;option value = "23"&gt; 23 &lt;/ option&gt; &lt;option value = "24"&gt; 24 &lt;/ option&gt; &lt;option value = "25"&gt; 25 &lt;/ option&gt; &lt;option value = "26"&gt; 26 &lt;/ option&gt; &lt;option value = "27"&gt; 27 &lt;/ option&gt; &lt;option value = "28"&gt; 28 &lt;/ option&gt; &lt;option value = "29"&gt; 29 &lt;/ option&gt; &lt;option value = "30"&gt; 30 &lt;/ option&gt; &lt;option value = "31"&gt; 31 &lt;/ option&gt; &lt;/ select&gt; &lt;select tabindex = "- 1" class = "airy-age-gate-year"&gt; &lt;option value = "2019"&gt; 2019 &lt;/ option&gt; &lt; option value = "2018"&gt; 2018 &lt;/ option&gt; &lt;option value = "2017"&gt; 2017 &lt;/ option&gt; &lt;option value = "2016"&gt; ​​2016 &lt;/ option&gt; &lt;option value = "2015"&gt; 2015 &lt;/ option &gt; &lt;option value = "2014"&gt; 2014 &lt;/ option&gt; &lt;option value = "2013"&gt; 2013 &lt;/ option&gt; &lt;option value = "2012"&gt; 2012 &lt;/ option&gt; &lt;option value = "2011"&gt; 2011 &lt; / option&gt; &lt;option value = "2010"&gt; 2010 &lt;/ option&gt; &lt;option value = "2009"&gt; 2009 &lt;/ option&gt; &lt;option value = "2008"&gt; 2008 &lt;/ option&gt; &lt;option value = "2007"&gt; 2007 &lt;/ option&gt; &lt;option value = "2006"&gt; 2006 &lt;/ option&gt; &lt;option value = "2005"&gt; 2005 &lt;/ option&gt; &lt;option value = "2004"&gt; 2004 &lt;/ option&gt; &lt;option value = "2003 "&gt; 2003 &lt;/ option&gt; &lt;option value =" 2002 "&gt; 2002 &lt;/ option&gt; &lt;option value =" 2001 "&gt; 2001 &lt;/ option&gt; &lt;option value =" 2000 "&gt; 2000 &lt;/ option&gt; &lt;option value = "1999"&gt; 1999 &lt;/ option&gt; &lt;option value = "1998"&gt; 1998 &lt;/ option&gt; &lt;option value = "1997"&gt; 1997 &lt;/ option&gt; &lt;option value = "1996"&gt; 1996 &lt;/ option&gt; &lt;option value = "1995"&gt; 1995 &lt;/ option&gt; &lt;option value = "1994"&gt; 1994 &lt;/ option&gt; &lt;option value = "1993"&gt; 1993 &lt;/ option&gt; &lt;option value = "1992"&gt; 1992 &lt;/ option&gt; &lt;option value = "1991"&gt; 1991 &lt;/ option&gt; &lt;option value = "1990"&gt; 1990 &lt;/ option&gt; &lt;option value = " 1989 "&gt; 1989 &lt;/ option&gt; &lt;option value =" 1988 "&gt; 1988 &lt;/ option&gt; &lt;option value =" 1987 "&gt; 1987 &lt;/ option&gt; &lt;option value =" 1986 "&gt; 1986 &lt;/ option&gt; &lt;value option = "1985"&gt; 1985 &lt;/ option&gt; &lt;option value = "1984"&gt; 1984 &lt;/ option&gt; &lt;option value = "1983"&gt; 1983 &lt;/ option&gt; &lt;option value = "1982"&gt; 1982 &lt;/ option&gt; &lt; option value = "1981"&gt; 1981 &lt;/ option&gt; &lt;option value = "1980"&gt; 1980 &lt;/ option&gt; &lt;option value = "1979"&gt; 1979 &lt;/ option&gt; &lt;option value = "1978"&gt; 1978 &lt;/ option &gt; &lt;option value = "1977"&gt; 1977 &lt;/ option&gt; &lt;option value = "1976"&gt; 1976 &lt;/ option&gt; &lt;option value = "1975"&gt; 1975 &lt;/ option&gt; &lt;option value = "1974"&gt; 1974 &lt; / option&gt; &lt;option value = "1973"&gt; 1973 &lt;/ option&gt; &lt;option value = "1972"&gt; 1972 &lt;/ option&gt; &lt;option value = "1971"&gt; 1971 &lt;/ option&gt; &lt;option value = "1970"&gt; 1970 &lt;/ option&gt; &lt;option value = "1969"&gt; 1969 &lt;/ option&gt; &lt;option value = "1968"&gt; 1968 &lt;/ option&gt; &lt;option value = "1967"&gt; 1967 &lt;/ option&gt; &lt;option value = "1966 "&gt; 1966 &lt;/ option&gt; &lt;option value =" 1965 "&gt; 1965 &lt;/ option&gt; &lt;option value =" 1964 "&gt; 1964 &lt;/ option&gt; &lt;option value =" 1963 "&gt; 1963 &lt;/ option&gt; &lt;option value = "1962"&gt; 1962 &lt;/ option&gt; &lt;option value = "1961"&gt; 1961 &lt;/ option&gt; &lt;option value = "1960"&gt; 1960 &lt;/ op tion&gt; &lt;option value = "1959"&gt; 1959 &lt;/ option&gt; &lt;option value = "1958"&gt; 1958 &lt;/ option&gt; &lt;option value = "1957"&gt; 1957 &lt;/ option&gt; &lt;option value = "1956"&gt; 1956 &lt;/ option&gt; &lt;option value = "1955"&gt; 1955 &lt;/ option&gt; &lt;option value = "1954"&gt; 1954 &lt;/ option&gt; &lt;option value = "1953"&gt; 1953 &lt;/ option&gt; &lt;option value = "1952" &gt; 1952 &lt;/ option&gt; &lt;option value = "1951"&gt; 1951 &lt;/ option&gt; &lt;option value = "1950"&gt; 1950 &lt;/ option&gt; &lt;option value = "1949"&gt; 1949 &lt;/ option&gt; &lt;option value = " 1948 "&gt; 1948 &lt;/ option&gt; &lt;option value =" 1947 "&gt; 1947 &lt;/ option&gt; &lt;option value =" 1946 "&gt; 1946 &lt;/ option&gt; &lt;option value =" 1945 "&gt; 1945 &lt;/ option&gt; &lt;value option = "1944"&gt; 1944 &lt;/ option&gt; &lt;option value = "1943"&gt; 1943 &lt;/ option&gt; &lt;option value = "1942"&gt; 1942 &lt;/ option&gt; &lt;option value = "1941"&gt; 1941 &lt;/ option&gt; &lt; option value = "1940"&gt; 1940 &lt;/ option&gt; &lt;option value = "1939"&gt; 1939 &lt;/ option&gt; &lt;option value = "1938"&gt; 1938 &lt;/ option&gt; &lt;option value = "1937"&gt; 1937 &lt;/ option &gt; &lt;option value = "1936"&gt; 1936 &lt;/ option&gt; &lt;option value = "1935"&gt; 1935 &lt;/ option&gt; &lt;option value = "1934"&gt; 1934 &lt;/ option&gt; &lt;option value = "1933"&gt; 1933 &lt; / option&gt; &lt;option value = "1932"&gt; 1932 &lt;/ option&gt; &lt;option value = "1931"&gt; 1931 &lt;/ option&gt; &lt;option v alue = "1930"&gt; 1930 &lt;/ option&gt; &lt;option value = "1929"&gt; 1929 &lt;/ option&gt; &lt;option value = "1928"&gt; 1928 &lt;/ option&gt; &lt;option value = "1927"&gt; 1927 &lt;/ option&gt; &lt;option value = "1926"&gt; 1926 &lt;/ option&gt; &lt;option value = "1925"&gt; 1925 &lt;/ option&gt; &lt;option value = "1924"&gt; 1924 &lt;/ option&gt; &lt;option value = "1923"&gt; 1923 &lt;/ option&gt; &lt;option value = "1922"&gt; 1922 &lt;/ option&gt; &lt;option value = "1921"&gt; 1921 &lt;/ option&gt; &lt;option value = "1920"&gt; 1920 &lt;/ option&gt; &lt;option value = "1919"&gt; 1919 &lt;/ option&gt; &lt;option value = "1918"&gt; 1918 &lt;/ option&gt; &lt;option value = "1917"&gt; 1917 &lt;/ option&gt; &lt;option value = "1916"&gt; 1916 &lt;/ option&gt; &lt;option value = "1915" &gt; 1915 &lt;/ option&gt; &lt;option value = "1914"&gt; 1914 &lt;/ option&gt; &lt;option value = "1913"&gt; 1913 &lt;/ option&gt; &lt;option value = "1912"&gt; 1912 &lt;/ option&gt; &lt;option value = " 1911 "&gt; 1911 &lt;/ option&gt; &lt;option value =" 1910 "&gt; 1910 &lt;/ option&gt; &lt;option value =" 1909 "&gt; 1909 &lt;/ option&gt; &lt;option value =" 1908 "&gt; 1908 &lt;/ option&gt; &lt;value option = "1907"&gt; 1907 &lt;/ option&gt; &lt;option value = "1906"&gt; 1906 &lt;/ option&gt; &lt;option value = "1905"&gt; 1905 &lt;/ option&gt; &lt;option value = "1904"&gt; 1904 &lt;/ option&gt; &lt; option value = "1903"&gt; 1903 &lt;/ option&gt; &lt;option value = "1902"&gt; 1902 &lt;/ option&gt; &lt;option value = "1901"&gt; 19 01 &lt;/ option&gt; &lt;option value = "1900"&gt; 1900 &lt;/ option&gt; &lt;/ select&gt; &lt;div tabindex = "- 1" class = "airy-age-gate-submit airy-submit-button airy airy-submit- disabled "&gt; Submit &lt;/ div&gt; &lt;/ div&gt; &lt;/ div&gt; &lt;/ div&gt; &lt;/ div&gt; &lt;/ div&gt; &lt;div tabindex =" - 1 "class =" airy-install-flash-dialog airy-stage airy -vertical-centering-table-dialog airy airy-denied "style =" opacity: 0; visibility: hidden; "&gt; &lt;div tabindex =" - 1 "class =" airy-install-flash-Vertical-centering-table-cell airy-Vertical-centering-table-cell "&gt; &lt;div tabindex =" - 1 "class = "airy-Vertical-centering-wrapper airy-install-flash-elements-wrapper"&gt; &lt;div tabindex = "- 1" class = "airy-install-flash-elements airy-dialog-elements"&gt; &lt;div tabindex = " -1 "class =" airy-install-flash-prompt "&gt; Adobe Flash Player is required to watch this video &lt;/ div&gt; &lt;div tabindex =." - 1 "class =" airy-install-flash-button-wrapper airy -dialog-inner-elements "&gt; &lt;div tabindex =" - 1 "class =" airy-install-flash-button airy-button "&gt; install Flash Player &lt;/ div&gt; &lt;/ div&gt; &lt;/ div&gt; &lt;/ div&gt; &lt;/ div&gt; &lt;/ div&gt; &lt;div tabindex = "- 1" class = "airy-video-unsupported-dialog airy-stage airy-Vertical-centering-table airy-dialog airy-denied" style = "opacity: 0; visibility: hidden; "&gt; &lt;div tabindex =" - 1 "class =" airy-video-unsupported-Vertical-centering-table-cell airy-Vertical-centering-table-cell "&gt; &lt;div tabindex =" - 1 "class = "airy-Vertical-centering-wrapper airy-video-unsupported-elements-wrapper"&gt; &lt;div tabindex = "- 1" class = "airy-video-unsupported-elements airy-dialog-elements"&gt; &lt;div tabindex = " -1 "class =" airy-video-unsupported-prompt "&gt; &lt;/ div&gt; &lt;/ div&gt; &lt;/ div&gt; &lt;/ div&gt; &lt;/ div&gt; &lt;div tabindex =" - 1 "class =" airy-loading- spinner-stage airy-stage "&gt; &lt;div tabindex =" - 1 "class =" airy-loading-spinner-Vertical-centering-table-cell airy-Vertical-centering-table-cell "&gt; &lt;div tabindex =" - 1 "class =" airy-loading-spinner-container airy-scalable-hint-container "&gt; &lt;div tabindex =" - 1 "class =" airy-loading-spinner-dummy airy-scalable-dummy "&gt; &lt;/ div&gt; &lt; div tabindex = "- 1" class = "airy-loading-spinner airy-hint" style = "visibility: hidden;"&gt; &lt;/ div&gt; &lt;/ div&gt; &lt;/ div&gt; &lt;/ div&gt; &lt;div tabindex = "- 1 "class =" airy-ads-screen-size-toggle airy-screen-size-toggle-fullscreen airy "style =" visibility: hidden; "&gt; &lt;/ div&gt; &lt;div tabindex = "-1" class = "airy-ad-prompt-container" style = "visibility: hidden;"&gt; &lt;div tabindex = "- 1" class = "airy-ad-prompt-Vertical-centering-table-vertically airy centering-table "&gt; &lt;div tabindex =" - 1 "class =" airy-ad-prompt-Vertical-centering-table-cell airy-Vertical-centering-table-cell "&gt; &lt;div tabindex =" - 1 "class = "airy-ad-prompt-label"&gt; &lt;/ div&gt; &lt;/ div&gt; &lt;/ div&gt; &lt;/ div&gt; &lt;div tabindex = "- 1" class = "airy-ads-controls-container" style = "visibility: hidden; "&gt; &lt;div tabindex =" - 1 "class =" airy-ads-audio-toggle airy-audio-toggle airy-on "style =" visibility: hidden; "&gt; &lt;/ div&gt; &lt;div tabindex =" - 1 "class =" airy-time-remaining-label-container "&gt; &lt;div tabindex =" - 1 "class =" airy-time-remaining-Vertical-centering-table airy-Vertical-centering-table "&gt; &lt;div tabindex = "- 1" class = "airy-time-remaining-Vertical-centering-table-cell airy-Vertical-centering-table-cell"&gt; &lt;div tabindex = "- 1" class = "airy-Vertical-centering-wrapper airy-time-remaining-label-wrapper "&gt; &lt;div tabindex =" - 1 "class =" airy-time-remaining-label "style =" visibility: hidden; "&gt; &lt;/ div&gt; &lt;div tabi ndex = "- 1" class = "airy-ad-skip" style = "visibility: hidden;"&gt; &lt;/ div&gt; &lt;div tabindex = "- 1" class = "airy-ad-end" style = "visibility: hidden "&gt; &lt;/ div&gt; &lt;/ div&gt; &lt;/ div&gt; &lt;/ div&gt; &lt;/ div&gt; &lt;div tabindex =" - 1 "class =" airy-learn-more "style =" visibility: hidden; "&gt; &lt;/ div&gt; &lt;/ div&gt; &lt;div tabindex = "- 1" class = "airy-play-toggle-hint-stage airy-stage airy-cursor"&gt; &lt;div tabindex = "- 1" class = "airy-play -toggle-hint-Vertical-centering-table-cell airy-Vertical-centering-table-cell airy-cursor "&gt; &lt;div tabindex =" - 1 "class =" airy-play-toggle-hint-container airy-scalable- Hint-container "&gt; &lt;div tabindex =" - 1 "class =" airy-play-toggle-hint-dummy airy-scalable-dummy "&gt; &lt;/ div&gt; &lt;div tabindex =" - 1 "class =" airy-play -toggle-hint hint airy-airy-play-hint "style =" opacity: 1; visibility: visible; "&gt; &lt;/ div&gt; &lt;/ div&gt; &lt;/ div&gt; &lt;/ div&gt; &lt;div tabindex =" - 1 "class =" airy-replay-hint-stage airy-stage "style =" visibility: hidden ; "&gt; &lt;div tabindex =" - 1 "class =" airy-replay-hint-Vertical-centering-table-cell airy-Vertical-centering-table-cell airy-cursor "&gt; &lt;div tabindex =" - 1 "class = "airy-replay-hint-container airy-scalable-hint-container"&gt; &lt;div tabindex = "- 1" class = "airy-replay-hint-dummy airy-scalable-dummy"&gt; &lt;/ div&gt; &lt;div tabindex = "- 1" class = "airy-replay-hint airy-hint"&gt; &lt;/ div&gt; &lt;/ div&gt; &lt;/ div&gt; &lt;/ div&gt; &lt;div tabindex = "- 1" class = "airy-autoplay-hint -stage airy-stage "style =" visibility: hidden; "&gt; &lt;div tabindex =" - 1 "class =" airy-autoplay-hint-Vertical-centering-table-cell airy-Vertical-centering-table-cell airy- cursor "&gt; &lt;div tabindex =" - 1 "class =" autoplay airy-airy-hint-container-scalable-hint-container "&gt; &lt;div tabindex =" - 1 "class =" airy-autoplay-hint-dummy airy- scalable-dummy "&gt; &lt;/ div&gt; &lt;/ div&gt; &lt;/ div&gt; &lt;/ div&gt; &lt;/ div&gt; &lt;/ div&gt; &lt;input type =" hidden "name =" "value =" https: // images-eu .ssl-images-amazon.com / images / I / 91Ov7 + Y0MeS.mp4 "Class =" video-url "&gt; &lt;input type =" hidden "name =" "value =" https://images-eu.ssl-images-amazon.com/images/I/A1nksubSDBS.png "class =" video-slate-img-url "&gt; &amp; nbsp; in your day has come, and in perfect condition, working properly, I've used it a couple of times and in principle is a recommended product at the moment I'm happy and satisfied.</v>
      </c>
    </row>
    <row r="2735">
      <c r="A2735" s="1">
        <v>5.0</v>
      </c>
      <c r="B2735" s="1" t="s">
        <v>2721</v>
      </c>
      <c r="C2735" t="str">
        <f>IFERROR(__xludf.DUMMYFUNCTION("GOOGLETRANSLATE(B2735, ""es"", ""en"")"),"Ideal for sports My husband needed different headphones for jogging because theirs did not conform to the ear like these, in addition to getting wet either sweat or water, takes about 4 outings with them and is very happy, even the battery has not said so"&amp;" far arrived, take 4 to 5 hours, and the characteristics indicated last up to 8 hours. Good buy Value, brings a very cool case to keep them.")</f>
        <v>Ideal for sports My husband needed different headphones for jogging because theirs did not conform to the ear like these, in addition to getting wet either sweat or water, takes about 4 outings with them and is very happy, even the battery has not said so far arrived, take 4 to 5 hours, and the characteristics indicated last up to 8 hours. Good buy Value, brings a very cool case to keep them.</v>
      </c>
    </row>
    <row r="2736">
      <c r="A2736" s="1">
        <v>5.0</v>
      </c>
      <c r="B2736" s="1" t="s">
        <v>2722</v>
      </c>
      <c r="C2736" t="str">
        <f>IFERROR(__xludf.DUMMYFUNCTION("GOOGLETRANSLATE(B2736, ""es"", ""en"")"),"Lightweight, Sobrado power. Very easy to use. The weight is very low and is easily operated. Help light works great with light sensor. The battery holds more than expected. The only negative I see is that Bluetooth connectivity with mobile is a bit precar"&amp;"ious and see a little in its infancy.")</f>
        <v>Lightweight, Sobrado power. Very easy to use. The weight is very low and is easily operated. Help light works great with light sensor. The battery holds more than expected. The only negative I see is that Bluetooth connectivity with mobile is a bit precarious and see a little in its infancy.</v>
      </c>
    </row>
    <row r="2737">
      <c r="A2737" s="1">
        <v>5.0</v>
      </c>
      <c r="B2737" s="1" t="s">
        <v>2723</v>
      </c>
      <c r="C2737" t="str">
        <f>IFERROR(__xludf.DUMMYFUNCTION("GOOGLETRANSLATE(B2737, ""es"", ""en"")"),"Very nice very nice and comfortable addition to calentitas. I recommend ordering one number plus for hair lined")</f>
        <v>Very nice very nice and comfortable addition to calentitas. I recommend ordering one number plus for hair lined</v>
      </c>
    </row>
    <row r="2738">
      <c r="A2738" s="1">
        <v>5.0</v>
      </c>
      <c r="B2738" s="1" t="s">
        <v>2724</v>
      </c>
      <c r="C2738" t="str">
        <f>IFERROR(__xludf.DUMMYFUNCTION("GOOGLETRANSLATE(B2738, ""es"", ""en"")"),"Very Good Very cool to being all black, very comfortable, we fans of this brand. I gave was the my husband and I have loved. The sizing is justito, always ask for half or a full size.")</f>
        <v>Very Good Very cool to being all black, very comfortable, we fans of this brand. I gave was the my husband and I have loved. The sizing is justito, always ask for half or a full size.</v>
      </c>
    </row>
    <row r="2739">
      <c r="A2739" s="1">
        <v>5.0</v>
      </c>
      <c r="B2739" s="1" t="s">
        <v>2725</v>
      </c>
      <c r="C2739" t="str">
        <f>IFERROR(__xludf.DUMMYFUNCTION("GOOGLETRANSLATE(B2739, ""es"", ""en"")"),"Very good quality and comfort product with very good quality. Are comfortable taking, I use to work and spend long periods standing. Highly recommended.")</f>
        <v>Very good quality and comfort product with very good quality. Are comfortable taking, I use to work and spend long periods standing. Highly recommended.</v>
      </c>
    </row>
    <row r="2740">
      <c r="A2740" s="1">
        <v>5.0</v>
      </c>
      <c r="B2740" s="1" t="s">
        <v>2726</v>
      </c>
      <c r="C2740" t="str">
        <f>IFERROR(__xludf.DUMMYFUNCTION("GOOGLETRANSLATE(B2740, ""es"", ""en"")"),"Very good comfort and design. I use them for my daily use.")</f>
        <v>Very good comfort and design. I use them for my daily use.</v>
      </c>
    </row>
    <row r="2741">
      <c r="A2741" s="1">
        <v>5.0</v>
      </c>
      <c r="B2741" s="1" t="s">
        <v>2727</v>
      </c>
      <c r="C2741" t="str">
        <f>IFERROR(__xludf.DUMMYFUNCTION("GOOGLETRANSLATE(B2741, ""es"", ""en"")"),"I would love another I would buy another at the same price pra a gift thanks")</f>
        <v>I would love another I would buy another at the same price pra a gift thanks</v>
      </c>
    </row>
    <row r="2742">
      <c r="A2742" s="1">
        <v>5.0</v>
      </c>
      <c r="B2742" s="1" t="s">
        <v>2728</v>
      </c>
      <c r="C2742" t="str">
        <f>IFERROR(__xludf.DUMMYFUNCTION("GOOGLETRANSLATE(B2742, ""es"", ""en"")"),"Free operation 24 hours. I bought it for use in a dashcam and record continuously in the parking lot, I stored 20 hours and almost half an hour more videos to 1080, has been recording nonstop nothing but the second five slow to change powerbank certainly "&amp;"a memory trustworthy.")</f>
        <v>Free operation 24 hours. I bought it for use in a dashcam and record continuously in the parking lot, I stored 20 hours and almost half an hour more videos to 1080, has been recording nonstop nothing but the second five slow to change powerbank certainly a memory trustworthy.</v>
      </c>
    </row>
    <row r="2743">
      <c r="A2743" s="1">
        <v>5.0</v>
      </c>
      <c r="B2743" s="1" t="s">
        <v>2729</v>
      </c>
      <c r="C2743" t="str">
        <f>IFERROR(__xludf.DUMMYFUNCTION("GOOGLETRANSLATE(B2743, ""es"", ""en"")"),"The eye contour product is very good, with vitamins and hyaluronic acid. I have the smoothest around the eye and more rested appearance. I apply it before I go to sleep at night and in the morning I just got up. The container is metallic, made with qualit"&amp;"y products. The shipping was very fast and accurate. The package was well packed.")</f>
        <v>The eye contour product is very good, with vitamins and hyaluronic acid. I have the smoothest around the eye and more rested appearance. I apply it before I go to sleep at night and in the morning I just got up. The container is metallic, made with quality products. The shipping was very fast and accurate. The package was well packed.</v>
      </c>
    </row>
    <row r="2744">
      <c r="A2744" s="1">
        <v>5.0</v>
      </c>
      <c r="B2744" s="1" t="s">
        <v>2730</v>
      </c>
      <c r="C2744" t="str">
        <f>IFERROR(__xludf.DUMMYFUNCTION("GOOGLETRANSLATE(B2744, ""es"", ""en"")"),"Perfect !! I love!! He had bought other earlier and touched them back because I left eye so here with small sizes. For example spending 39 and 39 / 40EU I was small so here I bought the 41/42 and I are perfect. They come with box and tags, which is import"&amp;"ant to me because they are original. They are very comfortable and color as is the photo. I recommend")</f>
        <v>Perfect !! I love!! He had bought other earlier and touched them back because I left eye so here with small sizes. For example spending 39 and 39 / 40EU I was small so here I bought the 41/42 and I are perfect. They come with box and tags, which is important to me because they are original. They are very comfortable and color as is the photo. I recommend</v>
      </c>
    </row>
    <row r="2745">
      <c r="A2745" s="1">
        <v>2.0</v>
      </c>
      <c r="B2745" s="1" t="s">
        <v>2731</v>
      </c>
      <c r="C2745" t="str">
        <f>IFERROR(__xludf.DUMMYFUNCTION("GOOGLETRANSLATE(B2745, ""es"", ""en"")"),"Good product, Sale misleading EYE: COMES ONLY 1 BOTTLE !!! Before anything misleading to say that the picture is 4 bottles and in 4 + name appears (refer to months). Misleading results if you do not read well. For the price and we had to suspect that some"&amp;"thing unusual had, you can find better deals. The bottle we have not tried it yet but quality bottles.")</f>
        <v>Good product, Sale misleading EYE: COMES ONLY 1 BOTTLE !!! Before anything misleading to say that the picture is 4 bottles and in 4 + name appears (refer to months). Misleading results if you do not read well. For the price and we had to suspect that something unusual had, you can find better deals. The bottle we have not tried it yet but quality bottles.</v>
      </c>
    </row>
    <row r="2746">
      <c r="A2746" s="1">
        <v>3.0</v>
      </c>
      <c r="B2746" s="1" t="s">
        <v>2732</v>
      </c>
      <c r="C2746" t="str">
        <f>IFERROR(__xludf.DUMMYFUNCTION("GOOGLETRANSLATE(B2746, ""es"", ""en"")"),"XL hooded sweatshirt I ordered this thinking it was cotton fat, and is the opposite, very thin, as to the size I expected a larger XL, anyway not bad.")</f>
        <v>XL hooded sweatshirt I ordered this thinking it was cotton fat, and is the opposite, very thin, as to the size I expected a larger XL, anyway not bad.</v>
      </c>
    </row>
    <row r="2747">
      <c r="A2747" s="1">
        <v>3.0</v>
      </c>
      <c r="B2747" s="1" t="s">
        <v>2733</v>
      </c>
      <c r="C2747" t="str">
        <f>IFERROR(__xludf.DUMMYFUNCTION("GOOGLETRANSLATE(B2747, ""es"", ""en"")"),"A being very wide leg, they are comfortable. The pants are very average. I use it as pajamas or shorts to be home. But for that price you can not ask for more. Yes, beware size. I use the xs and 2xs pants and tights I have asked the decathlon and M. De wa"&amp;"ist and long well above the ankles.")</f>
        <v>A being very wide leg, they are comfortable. The pants are very average. I use it as pajamas or shorts to be home. But for that price you can not ask for more. Yes, beware size. I use the xs and 2xs pants and tights I have asked the decathlon and M. De waist and long well above the ankles.</v>
      </c>
    </row>
    <row r="2748">
      <c r="A2748" s="1">
        <v>3.0</v>
      </c>
      <c r="B2748" s="1" t="s">
        <v>2734</v>
      </c>
      <c r="C2748" t="str">
        <f>IFERROR(__xludf.DUMMYFUNCTION("GOOGLETRANSLATE(B2748, ""es"", ""en"")"),"Good tetina, uncomfortable to carry away Although NUK teats have been favorites since my daughter was born, these bottles have one drawback is that the lid does not prevent the liquid from spilling. Bring a small piece of plastic that can be inserted betw"&amp;"een the bottle and the nipple to fulfill this role but is a nuisance. We prefer other brands itself perfectly with the lid closed and are much more comfortable when carrying the bottle away from home.")</f>
        <v>Good tetina, uncomfortable to carry away Although NUK teats have been favorites since my daughter was born, these bottles have one drawback is that the lid does not prevent the liquid from spilling. Bring a small piece of plastic that can be inserted between the bottle and the nipple to fulfill this role but is a nuisance. We prefer other brands itself perfectly with the lid closed and are much more comfortable when carrying the bottle away from home.</v>
      </c>
    </row>
    <row r="2749">
      <c r="A2749" s="1">
        <v>1.0</v>
      </c>
      <c r="B2749" s="1" t="s">
        <v>2735</v>
      </c>
      <c r="C2749" t="str">
        <f>IFERROR(__xludf.DUMMYFUNCTION("GOOGLETRANSLATE(B2749, ""es"", ""en"")"),"a week and it has broken the chain and the chain A week is broken")</f>
        <v>a week and it has broken the chain and the chain A week is broken</v>
      </c>
    </row>
    <row r="2750">
      <c r="A2750" s="1">
        <v>1.0</v>
      </c>
      <c r="B2750" s="1" t="s">
        <v>2736</v>
      </c>
      <c r="C2750" t="str">
        <f>IFERROR(__xludf.DUMMYFUNCTION("GOOGLETRANSLATE(B2750, ""es"", ""en"")"),"Lousy product I bought for the comments and the truth is that the product has nothing to do with what I read. The bottle has a single air inlet which is not only insufficient but above malfunctioned. Nipples makes vacuum effect and how much the baby suckl"&amp;"es milk does not come out almost. In addition, the lid leading to agitate correctamebte not meet its function. If you stir too hard milk comes out. Conclusion: product according to the price. More worthwhile paying a little more, because in my case this p"&amp;"urchase has been throwing money away. It is already known, cheap is expensive. I do not recommend it.")</f>
        <v>Lousy product I bought for the comments and the truth is that the product has nothing to do with what I read. The bottle has a single air inlet which is not only insufficient but above malfunctioned. Nipples makes vacuum effect and how much the baby suckles milk does not come out almost. In addition, the lid leading to agitate correctamebte not meet its function. If you stir too hard milk comes out. Conclusion: product according to the price. More worthwhile paying a little more, because in my case this purchase has been throwing money away. It is already known, cheap is expensive. I do not recommend it.</v>
      </c>
    </row>
    <row r="2751">
      <c r="A2751" s="1">
        <v>4.0</v>
      </c>
      <c r="B2751" s="1" t="s">
        <v>2737</v>
      </c>
      <c r="C2751" t="str">
        <f>IFERROR(__xludf.DUMMYFUNCTION("GOOGLETRANSLATE(B2751, ""es"", ""en"")"),"WE'LL SEE. ¿? They ARE GOOD, BUT NOT THE SIZE YOU ARE ASKED.")</f>
        <v>WE'LL SEE. ¿? They ARE GOOD, BUT NOT THE SIZE YOU ARE ASKED.</v>
      </c>
    </row>
    <row r="2752">
      <c r="A2752" s="1">
        <v>4.0</v>
      </c>
      <c r="B2752" s="1" t="s">
        <v>2738</v>
      </c>
      <c r="C2752" t="str">
        <f>IFERROR(__xludf.DUMMYFUNCTION("GOOGLETRANSLATE(B2752, ""es"", ""en"")"),"First look nice comfortable shoes and comfortable They are exactly as expected and arrived. Hope they do well in the long run. Very good shipping process. , Although They Were shipped later than Predicted, They arrived in no time!")</f>
        <v>First look nice comfortable shoes and comfortable They are exactly as expected and arrived. Hope they do well in the long run. Very good shipping process. , Although They Were shipped later than Predicted, They arrived in no time!</v>
      </c>
    </row>
    <row r="2753">
      <c r="A2753" s="1">
        <v>4.0</v>
      </c>
      <c r="B2753" s="1" t="s">
        <v>2739</v>
      </c>
      <c r="C2753" t="str">
        <f>IFERROR(__xludf.DUMMYFUNCTION("GOOGLETRANSLATE(B2753, ""es"", ""en"")"),"Acceptable. simple and correct operation. Effective enough. Value, it is always improvable ....")</f>
        <v>Acceptable. simple and correct operation. Effective enough. Value, it is always improvable ....</v>
      </c>
    </row>
    <row r="2754">
      <c r="A2754" s="1">
        <v>4.0</v>
      </c>
      <c r="B2754" s="1" t="s">
        <v>2740</v>
      </c>
      <c r="C2754" t="str">
        <f>IFERROR(__xludf.DUMMYFUNCTION("GOOGLETRANSLATE(B2754, ""es"", ""en"")"),"I wear looks good for homespun, carving fine, I've washed several times and tumble drying and will not shrink and very good price.")</f>
        <v>I wear looks good for homespun, carving fine, I've washed several times and tumble drying and will not shrink and very good price.</v>
      </c>
    </row>
    <row r="2755">
      <c r="A2755" s="1">
        <v>4.0</v>
      </c>
      <c r="B2755" s="1" t="s">
        <v>2741</v>
      </c>
      <c r="C2755" t="str">
        <f>IFERROR(__xludf.DUMMYFUNCTION("GOOGLETRANSLATE(B2755, ""es"", ""en"")"),"Good watch with improved night vision I like to watch. The only downside is the difficulty of seeing the numbers at night with orange light. Otherwise good design and watch.")</f>
        <v>Good watch with improved night vision I like to watch. The only downside is the difficulty of seeing the numbers at night with orange light. Otherwise good design and watch.</v>
      </c>
    </row>
    <row r="2756">
      <c r="A2756" s="1">
        <v>5.0</v>
      </c>
      <c r="B2756" s="1" t="s">
        <v>2742</v>
      </c>
      <c r="C2756" t="str">
        <f>IFERROR(__xludf.DUMMYFUNCTION("GOOGLETRANSLATE(B2756, ""es"", ""en"")"),"Really impressive addition to its design, all beautiful lights, impresses when you match a mobile and listen to the great quality coming from your speakers. Bass are well defined. By the sound headphones they seem much higher price. I have given it to my "&amp;"daughter and loves. If you need other I will not hesitate to buy them.")</f>
        <v>Really impressive addition to its design, all beautiful lights, impresses when you match a mobile and listen to the great quality coming from your speakers. Bass are well defined. By the sound headphones they seem much higher price. I have given it to my daughter and loves. If you need other I will not hesitate to buy them.</v>
      </c>
    </row>
    <row r="2757">
      <c r="A2757" s="1">
        <v>5.0</v>
      </c>
      <c r="B2757" s="1" t="s">
        <v>2743</v>
      </c>
      <c r="C2757" t="str">
        <f>IFERROR(__xludf.DUMMYFUNCTION("GOOGLETRANSLATE(B2757, ""es"", ""en"")"),"Fast and quiet I've bought for the office and I'm delighted. It's fast and quiet.")</f>
        <v>Fast and quiet I've bought for the office and I'm delighted. It's fast and quiet.</v>
      </c>
    </row>
    <row r="2758">
      <c r="A2758" s="1">
        <v>5.0</v>
      </c>
      <c r="B2758" s="1" t="s">
        <v>2744</v>
      </c>
      <c r="C2758" t="str">
        <f>IFERROR(__xludf.DUMMYFUNCTION("GOOGLETRANSLATE(B2758, ""es"", ""en"")"),"Perfect for running, do not move. I hold perfectly sessions 3 hour walk without problem, and it is best that day I run, do not move anything. Aesthetically very cool with lights. The sound quality can not compare with others, but no complaints, listen ver"&amp;"y well. I wear a healthy and I recommend them :) super fast shipping, arrived in 24 hours.")</f>
        <v>Perfect for running, do not move. I hold perfectly sessions 3 hour walk without problem, and it is best that day I run, do not move anything. Aesthetically very cool with lights. The sound quality can not compare with others, but no complaints, listen very well. I wear a healthy and I recommend them :) super fast shipping, arrived in 24 hours.</v>
      </c>
    </row>
    <row r="2759">
      <c r="A2759" s="1">
        <v>5.0</v>
      </c>
      <c r="B2759" s="1" t="s">
        <v>2745</v>
      </c>
      <c r="C2759" t="str">
        <f>IFERROR(__xludf.DUMMYFUNCTION("GOOGLETRANSLATE(B2759, ""es"", ""en"")"),"Comfortable and beautiful carving correct and very comfortable. The rise is in the template so that if excessive can be cut with a little skill. I washed in the washing machine and have remained as new")</f>
        <v>Comfortable and beautiful carving correct and very comfortable. The rise is in the template so that if excessive can be cut with a little skill. I washed in the washing machine and have remained as new</v>
      </c>
    </row>
    <row r="2760">
      <c r="A2760" s="1">
        <v>5.0</v>
      </c>
      <c r="B2760" s="1" t="s">
        <v>2746</v>
      </c>
      <c r="C2760" t="str">
        <f>IFERROR(__xludf.DUMMYFUNCTION("GOOGLETRANSLATE(B2760, ""es"", ""en"")"),"Fast and with many instructions has come in a few days. The packet reaches the void, with precise instructions on how to make the insulation regains its original shape.")</f>
        <v>Fast and with many instructions has come in a few days. The packet reaches the void, with precise instructions on how to make the insulation regains its original shape.</v>
      </c>
    </row>
    <row r="2761">
      <c r="A2761" s="1">
        <v>5.0</v>
      </c>
      <c r="B2761" s="1" t="s">
        <v>2747</v>
      </c>
      <c r="C2761" t="str">
        <f>IFERROR(__xludf.DUMMYFUNCTION("GOOGLETRANSLATE(B2761, ""es"", ""en"")"),"Good flavor and easy to mix the product matches the photo that is provided, as well as the description is given. We have 6 bottles of different flavors (lavender, orange, mint, eucalyptus, tea tree and lemon) that come in the box we can see in the picture"&amp;"s. The bottles are approximately 10ml and come right full, not half as many bottles you buy out there. The essence is very easy to dilute with water diffusers or vaporizers, so that it is not separate like water and oil, and all consumed without leave dep"&amp;"osits or stains essentially undiluted. Note that if you add too much water ratio, almost no odor and will not perceive practically smell or will not last long. They have a very good flavor and different properties depending on the essence you use. I decid"&amp;"ed to buy them because supermarkets are usually the most expensive or the cheapest bottles almost no smell, and these bottles have a good price and have been very happy with the result")</f>
        <v>Good flavor and easy to mix the product matches the photo that is provided, as well as the description is given. We have 6 bottles of different flavors (lavender, orange, mint, eucalyptus, tea tree and lemon) that come in the box we can see in the pictures. The bottles are approximately 10ml and come right full, not half as many bottles you buy out there. The essence is very easy to dilute with water diffusers or vaporizers, so that it is not separate like water and oil, and all consumed without leave deposits or stains essentially undiluted. Note that if you add too much water ratio, almost no odor and will not perceive practically smell or will not last long. They have a very good flavor and different properties depending on the essence you use. I decided to buy them because supermarkets are usually the most expensive or the cheapest bottles almost no smell, and these bottles have a good price and have been very happy with the result</v>
      </c>
    </row>
    <row r="2762">
      <c r="A2762" s="1">
        <v>5.0</v>
      </c>
      <c r="B2762" s="1" t="s">
        <v>2748</v>
      </c>
      <c r="C2762" t="str">
        <f>IFERROR(__xludf.DUMMYFUNCTION("GOOGLETRANSLATE(B2762, ""es"", ""en"")"),"VERY happy with it has many compartments and is perfect for carrying a 10-inch tablet, a cell phone, a charger, a cover glasses, a notebook, a pen, keys, medicines ... everything. Only a few minor gripes: 1) to my particular case, I measure almost 2 meter"&amp;"s, I had to cut the tape and put one you already have with their muskets built to hitch. 2) Lubricate the zippers that are quite long and tend to lock, especially one, but helping her fix her fingers. It is a subject that has more to do with the fabric, w"&amp;"hich is curved and curved zipper itself providing one of them, not being firm where it is inserted to lock shop. But as I said, using fingers is helped at the point where locks a bit. 3) It is waterproof, darling. I do not know how it will look when washi"&amp;"ng, but as it is denim outside, I guess like an old cowboy will, which is cool.")</f>
        <v>VERY happy with it has many compartments and is perfect for carrying a 10-inch tablet, a cell phone, a charger, a cover glasses, a notebook, a pen, keys, medicines ... everything. Only a few minor gripes: 1) to my particular case, I measure almost 2 meters, I had to cut the tape and put one you already have with their muskets built to hitch. 2) Lubricate the zippers that are quite long and tend to lock, especially one, but helping her fix her fingers. It is a subject that has more to do with the fabric, which is curved and curved zipper itself providing one of them, not being firm where it is inserted to lock shop. But as I said, using fingers is helped at the point where locks a bit. 3) It is waterproof, darling. I do not know how it will look when washing, but as it is denim outside, I guess like an old cowboy will, which is cool.</v>
      </c>
    </row>
    <row r="2763">
      <c r="A2763" s="1">
        <v>5.0</v>
      </c>
      <c r="B2763" s="1" t="s">
        <v>2749</v>
      </c>
      <c r="C2763" t="str">
        <f>IFERROR(__xludf.DUMMYFUNCTION("GOOGLETRANSLATE(B2763, ""es"", ""en"")"),"Samsung SSD definitely the best choice")</f>
        <v>Samsung SSD definitely the best choice</v>
      </c>
    </row>
    <row r="2764">
      <c r="A2764" s="1">
        <v>5.0</v>
      </c>
      <c r="B2764" s="1" t="s">
        <v>2750</v>
      </c>
      <c r="C2764" t="str">
        <f>IFERROR(__xludf.DUMMYFUNCTION("GOOGLETRANSLATE(B2764, ""es"", ""en"")"),"Perfect for running and gym. Good quality headphones (compared to other chinorras Chustas). Serve to run and how good is that he not enter the ear as a stopper (as they are most) does not transmit noise vibrations running and hear the outside noise. In co"&amp;"ntrast reduces slightly the quality of the sound but the price in order to avoid the feeling of going ""corking"".")</f>
        <v>Perfect for running and gym. Good quality headphones (compared to other chinorras Chustas). Serve to run and how good is that he not enter the ear as a stopper (as they are most) does not transmit noise vibrations running and hear the outside noise. In contrast reduces slightly the quality of the sound but the price in order to avoid the feeling of going "corking".</v>
      </c>
    </row>
    <row r="2765">
      <c r="A2765" s="1">
        <v>5.0</v>
      </c>
      <c r="B2765" s="1" t="s">
        <v>2751</v>
      </c>
      <c r="C2765" t="str">
        <f>IFERROR(__xludf.DUMMYFUNCTION("GOOGLETRANSLATE(B2765, ""es"", ""en"")"),"That it does not weigh much Very comfortable to work")</f>
        <v>That it does not weigh much Very comfortable to work</v>
      </c>
    </row>
    <row r="2766">
      <c r="A2766" s="1">
        <v>5.0</v>
      </c>
      <c r="B2766" s="1" t="s">
        <v>2752</v>
      </c>
      <c r="C2766" t="str">
        <f>IFERROR(__xludf.DUMMYFUNCTION("GOOGLETRANSLATE(B2766, ""es"", ""en"")"),"Not as the previously bought Perfect for bed caravan in the mountains, you can regulate each side and heated pretty sure I would buy the")</f>
        <v>Not as the previously bought Perfect for bed caravan in the mountains, you can regulate each side and heated pretty sure I would buy the</v>
      </c>
    </row>
    <row r="2767">
      <c r="A2767" s="1">
        <v>5.0</v>
      </c>
      <c r="B2767" s="1" t="s">
        <v>2753</v>
      </c>
      <c r="C2767" t="str">
        <f>IFERROR(__xludf.DUMMYFUNCTION("GOOGLETRANSLATE(B2767, ""es"", ""en"")"),"Perfect, original reebok, on schedule is exactly the q sought, is original and everything arrived on time, use other brands such as Asics, and Nike is the same size")</f>
        <v>Perfect, original reebok, on schedule is exactly the q sought, is original and everything arrived on time, use other brands such as Asics, and Nike is the same size</v>
      </c>
    </row>
    <row r="2768">
      <c r="A2768" s="1">
        <v>5.0</v>
      </c>
      <c r="B2768" s="1" t="s">
        <v>2754</v>
      </c>
      <c r="C2768" t="str">
        <f>IFERROR(__xludf.DUMMYFUNCTION("GOOGLETRANSLATE(B2768, ""es"", ""en"")"),"They are very pretty gorgeous! How I expected!")</f>
        <v>They are very pretty gorgeous! How I expected!</v>
      </c>
    </row>
    <row r="2769">
      <c r="A2769" s="1">
        <v>5.0</v>
      </c>
      <c r="B2769" s="1" t="s">
        <v>2755</v>
      </c>
      <c r="C2769" t="str">
        <f>IFERROR(__xludf.DUMMYFUNCTION("GOOGLETRANSLATE(B2769, ""es"", ""en"")"),"Warm and precious asked me pink, beautiful and very comfortable shoes, calentitas and good anti-slip sole insulated from the cold. I was going to ask the mi.marido Xd")</f>
        <v>Warm and precious asked me pink, beautiful and very comfortable shoes, calentitas and good anti-slip sole insulated from the cold. I was going to ask the mi.marido Xd</v>
      </c>
    </row>
    <row r="2770">
      <c r="A2770" s="1">
        <v>5.0</v>
      </c>
      <c r="B2770" s="1" t="s">
        <v>2756</v>
      </c>
      <c r="C2770" t="str">
        <f>IFERROR(__xludf.DUMMYFUNCTION("GOOGLETRANSLATE(B2770, ""es"", ""en"")"),"The classic Adidas or like or hate. I bought them for the gym and now use them to walk home because they are very comfortable")</f>
        <v>The classic Adidas or like or hate. I bought them for the gym and now use them to walk home because they are very comfortable</v>
      </c>
    </row>
    <row r="2771">
      <c r="A2771" s="1">
        <v>5.0</v>
      </c>
      <c r="B2771" s="1" t="s">
        <v>2757</v>
      </c>
      <c r="C2771" t="str">
        <f>IFERROR(__xludf.DUMMYFUNCTION("GOOGLETRANSLATE(B2771, ""es"", ""en"")"),"Pretty it is what I wanted")</f>
        <v>Pretty it is what I wanted</v>
      </c>
    </row>
    <row r="2772">
      <c r="A2772" s="1">
        <v>5.0</v>
      </c>
      <c r="B2772" s="1" t="s">
        <v>2758</v>
      </c>
      <c r="C2772" t="str">
        <f>IFERROR(__xludf.DUMMYFUNCTION("GOOGLETRANSLATE(B2772, ""es"", ""en"")"),"Very happy because it has fulfilled all my expectations! Excellent product, easy installation ... well absorbed the reverberations of the room and has helps me to have a cleaner recording!")</f>
        <v>Very happy because it has fulfilled all my expectations! Excellent product, easy installation ... well absorbed the reverberations of the room and has helps me to have a cleaner recording!</v>
      </c>
    </row>
    <row r="2773">
      <c r="A2773" s="1">
        <v>5.0</v>
      </c>
      <c r="B2773" s="1" t="s">
        <v>2759</v>
      </c>
      <c r="C2773" t="str">
        <f>IFERROR(__xludf.DUMMYFUNCTION("GOOGLETRANSLATE(B2773, ""es"", ""en"")"),"Bottle Magico is great")</f>
        <v>Bottle Magico is great</v>
      </c>
    </row>
    <row r="2774">
      <c r="A2774" s="1">
        <v>5.0</v>
      </c>
      <c r="B2774" s="1" t="s">
        <v>2760</v>
      </c>
      <c r="C2774" t="str">
        <f>IFERROR(__xludf.DUMMYFUNCTION("GOOGLETRANSLATE(B2774, ""es"", ""en"")"),"Chulis earrings are great.")</f>
        <v>Chulis earrings are great.</v>
      </c>
    </row>
    <row r="2775">
      <c r="A2775" s="1">
        <v>2.0</v>
      </c>
      <c r="B2775" s="1" t="s">
        <v>2761</v>
      </c>
      <c r="C2775" t="str">
        <f>IFERROR(__xludf.DUMMYFUNCTION("GOOGLETRANSLATE(B2775, ""es"", ""en"")"),"Disappointment is not original nor much less compatible with micro el.móvil.")</f>
        <v>Disappointment is not original nor much less compatible with micro el.móvil.</v>
      </c>
    </row>
    <row r="2776">
      <c r="A2776" s="1">
        <v>3.0</v>
      </c>
      <c r="B2776" s="1" t="s">
        <v>2762</v>
      </c>
      <c r="C2776" t="str">
        <f>IFERROR(__xludf.DUMMYFUNCTION("GOOGLETRANSLATE(B2776, ""es"", ""en"")"),"Casio lifetime with metal strap, eye close watch casio lifetime. Durable, waterproof, light and having metal strap is stylish for everyday use battle. Yes, the brake to set the size of the belt is lousy, it runs very easily. So in a couple of hours you ha"&amp;"ve enough slack in the belt and the sphere of the clock looking down.")</f>
        <v>Casio lifetime with metal strap, eye close watch casio lifetime. Durable, waterproof, light and having metal strap is stylish for everyday use battle. Yes, the brake to set the size of the belt is lousy, it runs very easily. So in a couple of hours you have enough slack in the belt and the sphere of the clock looking down.</v>
      </c>
    </row>
    <row r="2777">
      <c r="A2777" s="1">
        <v>3.0</v>
      </c>
      <c r="B2777" s="1" t="s">
        <v>2763</v>
      </c>
      <c r="C2777" t="str">
        <f>IFERROR(__xludf.DUMMYFUNCTION("GOOGLETRANSLATE(B2777, ""es"", ""en"")"),"Mops without Not bad, although it has come up with much delay")</f>
        <v>Mops without Not bad, although it has come up with much delay</v>
      </c>
    </row>
    <row r="2778">
      <c r="A2778" s="1">
        <v>1.0</v>
      </c>
      <c r="B2778" s="1" t="s">
        <v>2764</v>
      </c>
      <c r="C2778" t="str">
        <f>IFERROR(__xludf.DUMMYFUNCTION("GOOGLETRANSLATE(B2778, ""es"", ""en"")"),"They are not original. The product does not work properly is not original. I bought this as a gift thinking they were the originals, I do have the original in Aliexpress purchased from China, and they clearly are not. To start the button is not touch, it "&amp;"is a physical button and materials of the case are not equal. However, the price that's like the originals ... Also, in my case one of the headphones are not hooked well in the box, so it was not loaded properly. Luckily return via Amazon has been easy an"&amp;"d smooth.")</f>
        <v>They are not original. The product does not work properly is not original. I bought this as a gift thinking they were the originals, I do have the original in Aliexpress purchased from China, and they clearly are not. To start the button is not touch, it is a physical button and materials of the case are not equal. However, the price that's like the originals ... Also, in my case one of the headphones are not hooked well in the box, so it was not loaded properly. Luckily return via Amazon has been easy and smooth.</v>
      </c>
    </row>
    <row r="2779">
      <c r="A2779" s="1">
        <v>1.0</v>
      </c>
      <c r="B2779" s="1" t="s">
        <v>2765</v>
      </c>
      <c r="C2779" t="str">
        <f>IFERROR(__xludf.DUMMYFUNCTION("GOOGLETRANSLATE(B2779, ""es"", ""en"")"),"It is the model described not correspond to the DW-5600BB-1ER. I bought twice the product to see if the second time guessed right with the model, but unfortunately it has not. I will not try and do not recommend purchase for it. The model comes in black i"&amp;"s another Casio, but has several differences with the description and quality. Very unhappy.")</f>
        <v>It is the model described not correspond to the DW-5600BB-1ER. I bought twice the product to see if the second time guessed right with the model, but unfortunately it has not. I will not try and do not recommend purchase for it. The model comes in black is another Casio, but has several differences with the description and quality. Very unhappy.</v>
      </c>
    </row>
    <row r="2780">
      <c r="A2780" s="1">
        <v>4.0</v>
      </c>
      <c r="B2780" s="1" t="s">
        <v>2766</v>
      </c>
      <c r="C2780" t="str">
        <f>IFERROR(__xludf.DUMMYFUNCTION("GOOGLETRANSLATE(B2780, ""es"", ""en"")"),"calidad.la good quality good buy for a gift and has been pleased with bag")</f>
        <v>calidad.la good quality good buy for a gift and has been pleased with bag</v>
      </c>
    </row>
    <row r="2781">
      <c r="A2781" s="1">
        <v>4.0</v>
      </c>
      <c r="B2781" s="1" t="s">
        <v>2767</v>
      </c>
      <c r="C2781" t="str">
        <f>IFERROR(__xludf.DUMMYFUNCTION("GOOGLETRANSLATE(B2781, ""es"", ""en"")"),"Good work great wireless headphones, they adapt very well to the ears, good sound, good ambient noise reduction, even by plane and near the engines. The only fault I find is that the cable, which on one hand should be somewhat rigid and flexible means tha"&amp;"t when you place them, Debas play around with them to find the best position.")</f>
        <v>Good work great wireless headphones, they adapt very well to the ears, good sound, good ambient noise reduction, even by plane and near the engines. The only fault I find is that the cable, which on one hand should be somewhat rigid and flexible means that when you place them, Debas play around with them to find the best position.</v>
      </c>
    </row>
    <row r="2782">
      <c r="A2782" s="1">
        <v>4.0</v>
      </c>
      <c r="B2782" s="1" t="s">
        <v>2768</v>
      </c>
      <c r="C2782" t="str">
        <f>IFERROR(__xludf.DUMMYFUNCTION("GOOGLETRANSLATE(B2782, ""es"", ""en"")"),"Amplitude is quite achieved. Very spacious and comfortable to wear. To take a catch, belt. It seems poor quality but is tough.")</f>
        <v>Amplitude is quite achieved. Very spacious and comfortable to wear. To take a catch, belt. It seems poor quality but is tough.</v>
      </c>
    </row>
    <row r="2783">
      <c r="A2783" s="1">
        <v>4.0</v>
      </c>
      <c r="B2783" s="1" t="s">
        <v>2769</v>
      </c>
      <c r="C2783" t="str">
        <f>IFERROR(__xludf.DUMMYFUNCTION("GOOGLETRANSLATE(B2783, ""es"", ""en"")"),"Bandolier strap good quality, tough. A Little Big But it helps me what I need and color, perfect.")</f>
        <v>Bandolier strap good quality, tough. A Little Big But it helps me what I need and color, perfect.</v>
      </c>
    </row>
    <row r="2784">
      <c r="A2784" s="1">
        <v>4.0</v>
      </c>
      <c r="B2784" s="1" t="s">
        <v>2770</v>
      </c>
      <c r="C2784" t="str">
        <f>IFERROR(__xludf.DUMMYFUNCTION("GOOGLETRANSLATE(B2784, ""es"", ""en"")"),"Product at a good price Product is good but little right size is a little small")</f>
        <v>Product at a good price Product is good but little right size is a little small</v>
      </c>
    </row>
    <row r="2785">
      <c r="A2785" s="1">
        <v>5.0</v>
      </c>
      <c r="B2785" s="1" t="s">
        <v>2771</v>
      </c>
      <c r="C2785" t="str">
        <f>IFERROR(__xludf.DUMMYFUNCTION("GOOGLETRANSLATE(B2785, ""es"", ""en"")"),"Perfect great, I've loved, hook very easily. I read comments from people who came to them as dirty, it is not my case, spotless and very nice. Burna buy !!")</f>
        <v>Perfect great, I've loved, hook very easily. I read comments from people who came to them as dirty, it is not my case, spotless and very nice. Burna buy !!</v>
      </c>
    </row>
    <row r="2786">
      <c r="A2786" s="1">
        <v>5.0</v>
      </c>
      <c r="B2786" s="1" t="s">
        <v>2772</v>
      </c>
      <c r="C2786" t="str">
        <f>IFERROR(__xludf.DUMMYFUNCTION("GOOGLETRANSLATE(B2786, ""es"", ""en"")"),"Excellent quality A few days ago I arrived here my keyboard and mouse gaming mouse. Previously he had a very bland black mat and I decided to buy this because it is the ideal complement for my gaming setup. It has some qualities of many good materials, sl"&amp;"ides the mouse very well the area of ​​the mat. LED strip gives a touch pretty cool, so you can change color and pressing a localized area on the left button. Wireless charging, is a big advantage since leaving only the top mobile is loaded quite well.")</f>
        <v>Excellent quality A few days ago I arrived here my keyboard and mouse gaming mouse. Previously he had a very bland black mat and I decided to buy this because it is the ideal complement for my gaming setup. It has some qualities of many good materials, slides the mouse very well the area of ​​the mat. LED strip gives a touch pretty cool, so you can change color and pressing a localized area on the left button. Wireless charging, is a big advantage since leaving only the top mobile is loaded quite well.</v>
      </c>
    </row>
    <row r="2787">
      <c r="A2787" s="1">
        <v>5.0</v>
      </c>
      <c r="B2787" s="1" t="s">
        <v>2773</v>
      </c>
      <c r="C2787" t="str">
        <f>IFERROR(__xludf.DUMMYFUNCTION("GOOGLETRANSLATE(B2787, ""es"", ""en"")"),"excelene Hi thanks for your comments buy kettle bosch compact class, the truth is very good product, heated water pretty fast, quality and material that this miss this parfecto and this price is hard contrar similar product, is a conosida Bosch company, I"&amp;" hope it lasts a long time. Delivery and service from Amazon very serious i rapidisimo, thanks Amazon")</f>
        <v>excelene Hi thanks for your comments buy kettle bosch compact class, the truth is very good product, heated water pretty fast, quality and material that this miss this parfecto and this price is hard contrar similar product, is a conosida Bosch company, I hope it lasts a long time. Delivery and service from Amazon very serious i rapidisimo, thanks Amazon</v>
      </c>
    </row>
    <row r="2788">
      <c r="A2788" s="1">
        <v>5.0</v>
      </c>
      <c r="B2788" s="1" t="s">
        <v>2774</v>
      </c>
      <c r="C2788" t="str">
        <f>IFERROR(__xludf.DUMMYFUNCTION("GOOGLETRANSLATE(B2788, ""es"", ""en"")"),"Maria Luz are perfect. Comfortable and not show through. I recommend it. The perfect size. Colors as shown in the photo. Thank you")</f>
        <v>Maria Luz are perfect. Comfortable and not show through. I recommend it. The perfect size. Colors as shown in the photo. Thank you</v>
      </c>
    </row>
    <row r="2789">
      <c r="A2789" s="1">
        <v>5.0</v>
      </c>
      <c r="B2789" s="1" t="s">
        <v>2775</v>
      </c>
      <c r="C2789" t="str">
        <f>IFERROR(__xludf.DUMMYFUNCTION("GOOGLETRANSLATE(B2789, ""es"", ""en"")"),"Good use Comodo")</f>
        <v>Good use Comodo</v>
      </c>
    </row>
    <row r="2790">
      <c r="A2790" s="1">
        <v>5.0</v>
      </c>
      <c r="B2790" s="1" t="s">
        <v>2776</v>
      </c>
      <c r="C2790" t="str">
        <f>IFERROR(__xludf.DUMMYFUNCTION("GOOGLETRANSLATE(B2790, ""es"", ""en"")"),"I love to use it every day without fail and it works perfect. LED light is great. For this price it is second to none")</f>
        <v>I love to use it every day without fail and it works perfect. LED light is great. For this price it is second to none</v>
      </c>
    </row>
    <row r="2791">
      <c r="A2791" s="1">
        <v>5.0</v>
      </c>
      <c r="B2791" s="1" t="s">
        <v>2777</v>
      </c>
      <c r="C2791" t="str">
        <f>IFERROR(__xludf.DUMMYFUNCTION("GOOGLETRANSLATE(B2791, ""es"", ""en"")"),"Damping in the super comfortable tread")</f>
        <v>Damping in the super comfortable tread</v>
      </c>
    </row>
    <row r="2792">
      <c r="A2792" s="1">
        <v>5.0</v>
      </c>
      <c r="B2792" s="1" t="s">
        <v>2778</v>
      </c>
      <c r="C2792" t="str">
        <f>IFERROR(__xludf.DUMMYFUNCTION("GOOGLETRANSLATE(B2792, ""es"", ""en"")"),"Good product good product. Good quality")</f>
        <v>Good product good product. Good quality</v>
      </c>
    </row>
    <row r="2793">
      <c r="A2793" s="1">
        <v>5.0</v>
      </c>
      <c r="B2793" s="1" t="s">
        <v>2779</v>
      </c>
      <c r="C2793" t="str">
        <f>IFERROR(__xludf.DUMMYFUNCTION("GOOGLETRANSLATE(B2793, ""es"", ""en"")"),"Large liquid anti punctures and great value-amount. Good product for my Maxxis tubeless tires. I have a small boat that comes with an adapter for the valve so I'm filling. I've done more than 1000 km and every 3 months renovating and I will not have lost "&amp;"air for the exits. Note that not only carries adapter inject valve and must use another bottle to dispense. I will buy.")</f>
        <v>Large liquid anti punctures and great value-amount. Good product for my Maxxis tubeless tires. I have a small boat that comes with an adapter for the valve so I'm filling. I've done more than 1000 km and every 3 months renovating and I will not have lost air for the exits. Note that not only carries adapter inject valve and must use another bottle to dispense. I will buy.</v>
      </c>
    </row>
    <row r="2794">
      <c r="A2794" s="1">
        <v>5.0</v>
      </c>
      <c r="B2794" s="1" t="s">
        <v>2780</v>
      </c>
      <c r="C2794" t="str">
        <f>IFERROR(__xludf.DUMMYFUNCTION("GOOGLETRANSLATE(B2794, ""es"", ""en"")"),"Present. I gave was the my daughter and go like a glove.")</f>
        <v>Present. I gave was the my daughter and go like a glove.</v>
      </c>
    </row>
    <row r="2795">
      <c r="A2795" s="1">
        <v>5.0</v>
      </c>
      <c r="B2795" s="1" t="s">
        <v>2781</v>
      </c>
      <c r="C2795" t="str">
        <f>IFERROR(__xludf.DUMMYFUNCTION("GOOGLETRANSLATE(B2795, ""es"", ""en"")"),"All right Little pendrive, which performs its function properly. Very small and very good design with these finlets that favor the insertion / removal of the device. It has a very elegant design. Recommended product 100%.")</f>
        <v>All right Little pendrive, which performs its function properly. Very small and very good design with these finlets that favor the insertion / removal of the device. It has a very elegant design. Recommended product 100%.</v>
      </c>
    </row>
    <row r="2796">
      <c r="A2796" s="1">
        <v>5.0</v>
      </c>
      <c r="B2796" s="1" t="s">
        <v>2782</v>
      </c>
      <c r="C2796" t="str">
        <f>IFERROR(__xludf.DUMMYFUNCTION("GOOGLETRANSLATE(B2796, ""es"", ""en"")"),"Good stuff super useful, can put many cables due to its high capacity, the material can be seen quite good and hardly damageable, size is adequate although a little left over can be cut. Very happy")</f>
        <v>Good stuff super useful, can put many cables due to its high capacity, the material can be seen quite good and hardly damageable, size is adequate although a little left over can be cut. Very happy</v>
      </c>
    </row>
    <row r="2797">
      <c r="A2797" s="1">
        <v>5.0</v>
      </c>
      <c r="B2797" s="1" t="s">
        <v>2783</v>
      </c>
      <c r="C2797" t="str">
        <f>IFERROR(__xludf.DUMMYFUNCTION("GOOGLETRANSLATE(B2797, ""es"", ""en"")"),"not ever take my love, very elegant, it looks great")</f>
        <v>not ever take my love, very elegant, it looks great</v>
      </c>
    </row>
    <row r="2798">
      <c r="A2798" s="1">
        <v>5.0</v>
      </c>
      <c r="B2798" s="1" t="s">
        <v>2784</v>
      </c>
      <c r="C2798" t="str">
        <f>IFERROR(__xludf.DUMMYFUNCTION("GOOGLETRANSLATE(B2798, ""es"", ""en"")"),"I repeat very happy with the purchase, according to my father the most comfortable shoes you've had in your life and it's not easy to please Mr. far as footwear is concerned")</f>
        <v>I repeat very happy with the purchase, according to my father the most comfortable shoes you've had in your life and it's not easy to please Mr. far as footwear is concerned</v>
      </c>
    </row>
    <row r="2799">
      <c r="A2799" s="1">
        <v>5.0</v>
      </c>
      <c r="B2799" s="1" t="s">
        <v>2785</v>
      </c>
      <c r="C2799" t="str">
        <f>IFERROR(__xludf.DUMMYFUNCTION("GOOGLETRANSLATE(B2799, ""es"", ""en"")"),"Comfortable and light quality good price Perfectas money my husband uses a 44 and van perfectas.comodas and light.")</f>
        <v>Comfortable and light quality good price Perfectas money my husband uses a 44 and van perfectas.comodas and light.</v>
      </c>
    </row>
    <row r="2800">
      <c r="A2800" s="1">
        <v>5.0</v>
      </c>
      <c r="B2800" s="1" t="s">
        <v>2786</v>
      </c>
      <c r="C2800" t="str">
        <f>IFERROR(__xludf.DUMMYFUNCTION("GOOGLETRANSLATE(B2800, ""es"", ""en"")"),"Good sound and comfort Very good! The. Buy for a walk in the mornings. 1'5 hs road 3-4 times a week and very good,. battery holds enough is heard quite well, and bring spare pads are. They adapt. Very good at. Ears, do not move, hardly feel. Of all the. I"&amp;" bought this headset is the best. 100% recommended.")</f>
        <v>Good sound and comfort Very good! The. Buy for a walk in the mornings. 1'5 hs road 3-4 times a week and very good,. battery holds enough is heard quite well, and bring spare pads are. They adapt. Very good at. Ears, do not move, hardly feel. Of all the. I bought this headset is the best. 100% recommended.</v>
      </c>
    </row>
    <row r="2801">
      <c r="A2801" s="1">
        <v>5.0</v>
      </c>
      <c r="B2801" s="1" t="s">
        <v>2787</v>
      </c>
      <c r="C2801" t="str">
        <f>IFERROR(__xludf.DUMMYFUNCTION("GOOGLETRANSLATE(B2801, ""es"", ""en"")"),"Perfect for any activity you do a lot of movement. I compared these bluetooth headphones because he was wearing a button, but when he made a move a little strong always I liked some, with this as it has a flexible rubber around the ear similar to that of "&amp;"the temples of the glasses is almost impossible to fall and I can do anything without fear of having to pick up from the ground or the handset worse places. They have a good sound both music and talking on the phone and microphone is heard perfectly witho"&amp;"ut strange noises. c beautifully designed black with a red circle in the bon that looks good aesthetically.")</f>
        <v>Perfect for any activity you do a lot of movement. I compared these bluetooth headphones because he was wearing a button, but when he made a move a little strong always I liked some, with this as it has a flexible rubber around the ear similar to that of the temples of the glasses is almost impossible to fall and I can do anything without fear of having to pick up from the ground or the handset worse places. They have a good sound both music and talking on the phone and microphone is heard perfectly without strange noises. c beautifully designed black with a red circle in the bon that looks good aesthetically.</v>
      </c>
    </row>
    <row r="2802">
      <c r="A2802" s="1">
        <v>5.0</v>
      </c>
      <c r="B2802" s="1" t="s">
        <v>2788</v>
      </c>
      <c r="C2802" t="str">
        <f>IFERROR(__xludf.DUMMYFUNCTION("GOOGLETRANSLATE(B2802, ""es"", ""en"")"),"Perfect good product, bun price squeezes fine, low noise, cleaned beautifully")</f>
        <v>Perfect good product, bun price squeezes fine, low noise, cleaned beautifully</v>
      </c>
    </row>
    <row r="2803">
      <c r="A2803" s="1">
        <v>2.0</v>
      </c>
      <c r="B2803" s="1" t="s">
        <v>2789</v>
      </c>
      <c r="C2803" t="str">
        <f>IFERROR(__xludf.DUMMYFUNCTION("GOOGLETRANSLATE(B2803, ""es"", ""en"")"),"Disappoin disappointed. It is very slow, even reading.")</f>
        <v>Disappoin disappointed. It is very slow, even reading.</v>
      </c>
    </row>
    <row r="2804">
      <c r="A2804" s="1">
        <v>3.0</v>
      </c>
      <c r="B2804" s="1" t="s">
        <v>2790</v>
      </c>
      <c r="C2804" t="str">
        <f>IFERROR(__xludf.DUMMYFUNCTION("GOOGLETRANSLATE(B2804, ""es"", ""en"")"),"It fits very loose very nice but the two halves are separated very easily be lost insurance.")</f>
        <v>It fits very loose very nice but the two halves are separated very easily be lost insurance.</v>
      </c>
    </row>
    <row r="2805">
      <c r="A2805" s="1">
        <v>1.0</v>
      </c>
      <c r="B2805" s="1" t="s">
        <v>2791</v>
      </c>
      <c r="C2805" t="str">
        <f>IFERROR(__xludf.DUMMYFUNCTION("GOOGLETRANSLATE(B2805, ""es"", ""en"")"),"I do not recommend not liked. little peeling effect makes and leaves your skin greasy. For my taste a peeling Nalo")</f>
        <v>I do not recommend not liked. little peeling effect makes and leaves your skin greasy. For my taste a peeling Nalo</v>
      </c>
    </row>
    <row r="2806">
      <c r="A2806" s="1">
        <v>1.0</v>
      </c>
      <c r="B2806" s="1" t="s">
        <v>2792</v>
      </c>
      <c r="C2806" t="str">
        <f>IFERROR(__xludf.DUMMYFUNCTION("GOOGLETRANSLATE(B2806, ""es"", ""en"")"),"Perfect comfortable size, which usually spindle. Very comfortable, they weigh nothing. Regular quality, to see how long I last.")</f>
        <v>Perfect comfortable size, which usually spindle. Very comfortable, they weigh nothing. Regular quality, to see how long I last.</v>
      </c>
    </row>
    <row r="2807">
      <c r="A2807" s="1">
        <v>4.0</v>
      </c>
      <c r="B2807" s="1" t="s">
        <v>2793</v>
      </c>
      <c r="C2807" t="str">
        <f>IFERROR(__xludf.DUMMYFUNCTION("GOOGLETRANSLATE(B2807, ""es"", ""en"")"),"Motivational stamps likes children. They have something in school. I use them to motivate and try to get the prize (seal). L happy with purchase")</f>
        <v>Motivational stamps likes children. They have something in school. I use them to motivate and try to get the prize (seal). L happy with purchase</v>
      </c>
    </row>
    <row r="2808">
      <c r="A2808" s="1">
        <v>4.0</v>
      </c>
      <c r="B2808" s="1" t="s">
        <v>2794</v>
      </c>
      <c r="C2808" t="str">
        <f>IFERROR(__xludf.DUMMYFUNCTION("GOOGLETRANSLATE(B2808, ""es"", ""en"")"),"Good quality product product of good quality. Good packaging to store your spare. Robust and resistant. Valid for electrical cables, video, PC, etc. both")</f>
        <v>Good quality product product of good quality. Good packaging to store your spare. Robust and resistant. Valid for electrical cables, video, PC, etc. both</v>
      </c>
    </row>
    <row r="2809">
      <c r="A2809" s="1">
        <v>4.0</v>
      </c>
      <c r="B2809" s="1" t="s">
        <v>2795</v>
      </c>
      <c r="C2809" t="str">
        <f>IFERROR(__xludf.DUMMYFUNCTION("GOOGLETRANSLATE(B2809, ""es"", ""en"")"),"Value Well well, handles the biggest or another color that they look more put")</f>
        <v>Value Well well, handles the biggest or another color that they look more put</v>
      </c>
    </row>
    <row r="2810">
      <c r="A2810" s="1">
        <v>4.0</v>
      </c>
      <c r="B2810" s="1" t="s">
        <v>2796</v>
      </c>
      <c r="C2810" t="str">
        <f>IFERROR(__xludf.DUMMYFUNCTION("GOOGLETRANSLATE(B2810, ""es"", ""en"")"),"priced right for the money, perfect")</f>
        <v>priced right for the money, perfect</v>
      </c>
    </row>
    <row r="2811">
      <c r="A2811" s="1">
        <v>4.0</v>
      </c>
      <c r="B2811" s="1" t="s">
        <v>42</v>
      </c>
      <c r="C2811" t="str">
        <f>IFERROR(__xludf.DUMMYFUNCTION("GOOGLETRANSLATE(B2811, ""es"", ""en"")"),"Well well")</f>
        <v>Well well</v>
      </c>
    </row>
    <row r="2812">
      <c r="A2812" s="1">
        <v>5.0</v>
      </c>
      <c r="B2812" s="1" t="s">
        <v>2797</v>
      </c>
      <c r="C2812" t="str">
        <f>IFERROR(__xludf.DUMMYFUNCTION("GOOGLETRANSLATE(B2812, ""es"", ""en"")"),"Very good before buying I had a lot of doubts price has well and works. Afinal but I am surprised when I tried to ami liked.")</f>
        <v>Very good before buying I had a lot of doubts price has well and works. Afinal but I am surprised when I tried to ami liked.</v>
      </c>
    </row>
    <row r="2813">
      <c r="A2813" s="1">
        <v>5.0</v>
      </c>
      <c r="B2813" s="1" t="s">
        <v>2798</v>
      </c>
      <c r="C2813" t="str">
        <f>IFERROR(__xludf.DUMMYFUNCTION("GOOGLETRANSLATE(B2813, ""es"", ""en"")"),"Fran Earrings are made of steel, are not light but not weigh much, adapt well to the earlobe, is a clip having a resistance that will not loosen, I am very happy with them.")</f>
        <v>Fran Earrings are made of steel, are not light but not weigh much, adapt well to the earlobe, is a clip having a resistance that will not loosen, I am very happy with them.</v>
      </c>
    </row>
    <row r="2814">
      <c r="A2814" s="1">
        <v>5.0</v>
      </c>
      <c r="B2814" s="1" t="s">
        <v>2799</v>
      </c>
      <c r="C2814" t="str">
        <f>IFERROR(__xludf.DUMMYFUNCTION("GOOGLETRANSLATE(B2814, ""es"", ""en"")"),"I leverage a good buy offer and bought it, and goes great. It heats up fast but makes some noise xo normal. 100% recommended.")</f>
        <v>I leverage a good buy offer and bought it, and goes great. It heats up fast but makes some noise xo normal. 100% recommended.</v>
      </c>
    </row>
    <row r="2815">
      <c r="A2815" s="1">
        <v>5.0</v>
      </c>
      <c r="B2815" s="1" t="s">
        <v>2800</v>
      </c>
      <c r="C2815" t="str">
        <f>IFERROR(__xludf.DUMMYFUNCTION("GOOGLETRANSLATE(B2815, ""es"", ""en"")"),"Great remain phenomenal. M for a 36 is a tad bigger, but for me it comfortable so")</f>
        <v>Great remain phenomenal. M for a 36 is a tad bigger, but for me it comfortable so</v>
      </c>
    </row>
    <row r="2816">
      <c r="A2816" s="1">
        <v>5.0</v>
      </c>
      <c r="B2816" s="1" t="s">
        <v>2801</v>
      </c>
      <c r="C2816" t="str">
        <f>IFERROR(__xludf.DUMMYFUNCTION("GOOGLETRANSLATE(B2816, ""es"", ""en"")"),"We use comfortable when we go to the gym and I usually wear them at home while doing other tasks. They are properly secured so you can move smoothly and the sound is good. Very easily they connected together and to the bluethoot. I enjoyed it to send me a"&amp;"n email with the instructions for connecting. Battery time is not exhausted me, but brings to load parts and accessories.")</f>
        <v>We use comfortable when we go to the gym and I usually wear them at home while doing other tasks. They are properly secured so you can move smoothly and the sound is good. Very easily they connected together and to the bluethoot. I enjoyed it to send me an email with the instructions for connecting. Battery time is not exhausted me, but brings to load parts and accessories.</v>
      </c>
    </row>
    <row r="2817">
      <c r="A2817" s="1">
        <v>5.0</v>
      </c>
      <c r="B2817" s="1" t="s">
        <v>2802</v>
      </c>
      <c r="C2817" t="str">
        <f>IFERROR(__xludf.DUMMYFUNCTION("GOOGLETRANSLATE(B2817, ""es"", ""en"")"),"Very useful nice and convenient, and also with its light gives a very nice touch waiting. It cleans very well if lemon juice and water is added and let boil, if necessary, come back several times to remove any stubborn dirt.")</f>
        <v>Very useful nice and convenient, and also with its light gives a very nice touch waiting. It cleans very well if lemon juice and water is added and let boil, if necessary, come back several times to remove any stubborn dirt.</v>
      </c>
    </row>
    <row r="2818">
      <c r="A2818" s="1">
        <v>5.0</v>
      </c>
      <c r="B2818" s="1" t="s">
        <v>2803</v>
      </c>
      <c r="C2818" t="str">
        <f>IFERROR(__xludf.DUMMYFUNCTION("GOOGLETRANSLATE(B2818, ""es"", ""en"")"),"I use correct price quality for the guitar, it is not bundled or make knots, it seems very resistant by coating nylon Write? leading outside")</f>
        <v>I use correct price quality for the guitar, it is not bundled or make knots, it seems very resistant by coating nylon Write? leading outside</v>
      </c>
    </row>
    <row r="2819">
      <c r="A2819" s="1">
        <v>5.0</v>
      </c>
      <c r="B2819" s="1" t="s">
        <v>2804</v>
      </c>
      <c r="C2819" t="str">
        <f>IFERROR(__xludf.DUMMYFUNCTION("GOOGLETRANSLATE(B2819, ""es"", ""en"")"),"Gregorio This watch is a wonder my concern was knowing that an automatic accuracy are not accurate as a quartz but I was very surprised because it works very well almost 2 seconds ahead of the day")</f>
        <v>Gregorio This watch is a wonder my concern was knowing that an automatic accuracy are not accurate as a quartz but I was very surprised because it works very well almost 2 seconds ahead of the day</v>
      </c>
    </row>
    <row r="2820">
      <c r="A2820" s="1">
        <v>5.0</v>
      </c>
      <c r="B2820" s="1" t="s">
        <v>2805</v>
      </c>
      <c r="C2820" t="str">
        <f>IFERROR(__xludf.DUMMYFUNCTION("GOOGLETRANSLATE(B2820, ""es"", ""en"")"),"Value perfect not expect great quality, but have surprised me. Obviously something just go audio quality, but perform their function. I bought them for use in the gym and go perfect.")</f>
        <v>Value perfect not expect great quality, but have surprised me. Obviously something just go audio quality, but perform their function. I bought them for use in the gym and go perfect.</v>
      </c>
    </row>
    <row r="2821">
      <c r="A2821" s="1">
        <v>5.0</v>
      </c>
      <c r="B2821" s="1" t="s">
        <v>2806</v>
      </c>
      <c r="C2821" t="str">
        <f>IFERROR(__xludf.DUMMYFUNCTION("GOOGLETRANSLATE(B2821, ""es"", ""en"")"),"I love super comfortable!")</f>
        <v>I love super comfortable!</v>
      </c>
    </row>
    <row r="2822">
      <c r="A2822" s="1">
        <v>5.0</v>
      </c>
      <c r="B2822" s="1" t="s">
        <v>2807</v>
      </c>
      <c r="C2822" t="str">
        <f>IFERROR(__xludf.DUMMYFUNCTION("GOOGLETRANSLATE(B2822, ""es"", ""en"")"),"Very satisfied I usually buy when this offer and have repeated several times. I use to glue metal miniatures wargames. Well used gives enough of itself. I have not used for other purposes, so my assessment is limited to the use that I give.")</f>
        <v>Very satisfied I usually buy when this offer and have repeated several times. I use to glue metal miniatures wargames. Well used gives enough of itself. I have not used for other purposes, so my assessment is limited to the use that I give.</v>
      </c>
    </row>
    <row r="2823">
      <c r="A2823" s="1">
        <v>5.0</v>
      </c>
      <c r="B2823" s="1" t="s">
        <v>2808</v>
      </c>
      <c r="C2823" t="str">
        <f>IFERROR(__xludf.DUMMYFUNCTION("GOOGLETRANSLATE(B2823, ""es"", ""en"")"),"Are very perfect, great fit")</f>
        <v>Are very perfect, great fit</v>
      </c>
    </row>
    <row r="2824">
      <c r="A2824" s="1">
        <v>5.0</v>
      </c>
      <c r="B2824" s="1" t="s">
        <v>2809</v>
      </c>
      <c r="C2824" t="str">
        <f>IFERROR(__xludf.DUMMYFUNCTION("GOOGLETRANSLATE(B2824, ""es"", ""en"")"),"Love Well, I can say they are vans are beautiful and I usually use size 37 but in this case have asked size 36 and I have been perfect")</f>
        <v>Love Well, I can say they are vans are beautiful and I usually use size 37 but in this case have asked size 36 and I have been perfect</v>
      </c>
    </row>
    <row r="2825">
      <c r="A2825" s="1">
        <v>5.0</v>
      </c>
      <c r="B2825" s="1" t="s">
        <v>2810</v>
      </c>
      <c r="C2825" t="str">
        <f>IFERROR(__xludf.DUMMYFUNCTION("GOOGLETRANSLATE(B2825, ""es"", ""en"")"),"Comfort I'm glad to have known this brand, and I bought several things and are a past of good and comfortable. No I fell when I asked the mop tiles with the stick, I thought that two other articles I have served but just today he came Mop and before the d"&amp;"ate ordered the suit. I used it a moment to test the tiles and old, left bright. Always delighted with these items.")</f>
        <v>Comfort I'm glad to have known this brand, and I bought several things and are a past of good and comfortable. No I fell when I asked the mop tiles with the stick, I thought that two other articles I have served but just today he came Mop and before the date ordered the suit. I used it a moment to test the tiles and old, left bright. Always delighted with these items.</v>
      </c>
    </row>
    <row r="2826">
      <c r="A2826" s="1">
        <v>5.0</v>
      </c>
      <c r="B2826" s="1" t="s">
        <v>2811</v>
      </c>
      <c r="C2826" t="str">
        <f>IFERROR(__xludf.DUMMYFUNCTION("GOOGLETRANSLATE(B2826, ""es"", ""en"")"),"Silver earrings Han arrived before the prescribed period, are very nice. They will not if they will be silver, but they hit well.")</f>
        <v>Silver earrings Han arrived before the prescribed period, are very nice. They will not if they will be silver, but they hit well.</v>
      </c>
    </row>
    <row r="2827">
      <c r="A2827" s="1">
        <v>5.0</v>
      </c>
      <c r="B2827" s="1" t="s">
        <v>2812</v>
      </c>
      <c r="C2827" t="str">
        <f>IFERROR(__xludf.DUMMYFUNCTION("GOOGLETRANSLATE(B2827, ""es"", ""en"")"),"They're good price super good shoes, weigh nothing, comfortable and Spanish are manufactured. Good price and just what q specifies the vendor. And then there try q, by the time I liked to")</f>
        <v>They're good price super good shoes, weigh nothing, comfortable and Spanish are manufactured. Good price and just what q specifies the vendor. And then there try q, by the time I liked to</v>
      </c>
    </row>
    <row r="2828">
      <c r="A2828" s="1">
        <v>5.0</v>
      </c>
      <c r="B2828" s="1" t="s">
        <v>2813</v>
      </c>
      <c r="C2828" t="str">
        <f>IFERROR(__xludf.DUMMYFUNCTION("GOOGLETRANSLATE(B2828, ""es"", ""en"")"),"Excellent sound bluetooth headphones, fits very well to the ears. The pads are very soft. They are extendable to the diameter being adjustable head. In addition they flex inwards to save, which reduces its size. It has buttons on one side to turn on and o"&amp;"ff and volume up and down. It includes cable for charging")</f>
        <v>Excellent sound bluetooth headphones, fits very well to the ears. The pads are very soft. They are extendable to the diameter being adjustable head. In addition they flex inwards to save, which reduces its size. It has buttons on one side to turn on and off and volume up and down. It includes cable for charging</v>
      </c>
    </row>
    <row r="2829">
      <c r="A2829" s="1">
        <v>5.0</v>
      </c>
      <c r="B2829" s="1" t="s">
        <v>2814</v>
      </c>
      <c r="C2829" t="str">
        <f>IFERROR(__xludf.DUMMYFUNCTION("GOOGLETRANSLATE(B2829, ""es"", ""en"")"),"Are as expected I recommend it as sneaker, h been pleased with the quality of the product and is a very good price, it was for a gift and I was right.")</f>
        <v>Are as expected I recommend it as sneaker, h been pleased with the quality of the product and is a very good price, it was for a gift and I was right.</v>
      </c>
    </row>
    <row r="2830">
      <c r="A2830" s="1">
        <v>5.0</v>
      </c>
      <c r="B2830" s="1" t="s">
        <v>2815</v>
      </c>
      <c r="C2830" t="str">
        <f>IFERROR(__xludf.DUMMYFUNCTION("GOOGLETRANSLATE(B2830, ""es"", ""en"")"),"Better ear. I like music at all hours, this device allows me to run potque it up very well. Also when I cook. It does not bother both fast as others I have. 10 sound.")</f>
        <v>Better ear. I like music at all hours, this device allows me to run potque it up very well. Also when I cook. It does not bother both fast as others I have. 10 sound.</v>
      </c>
    </row>
    <row r="2831">
      <c r="A2831" s="1">
        <v>2.0</v>
      </c>
      <c r="B2831" s="1" t="s">
        <v>2816</v>
      </c>
      <c r="C2831" t="str">
        <f>IFERROR(__xludf.DUMMYFUNCTION("GOOGLETRANSLATE(B2831, ""es"", ""en"")"),"Regular After 4 months, only 2 pairs of socks I have left. The others are broken. Very disappointed. Very comfortable and not as fine as expected. To my great. The colors are fine and it's like in the photos. Q Now let's hope they last.")</f>
        <v>Regular After 4 months, only 2 pairs of socks I have left. The others are broken. Very disappointed. Very comfortable and not as fine as expected. To my great. The colors are fine and it's like in the photos. Q Now let's hope they last.</v>
      </c>
    </row>
    <row r="2832">
      <c r="A2832" s="1">
        <v>3.0</v>
      </c>
      <c r="B2832" s="1" t="s">
        <v>2817</v>
      </c>
      <c r="C2832" t="str">
        <f>IFERROR(__xludf.DUMMYFUNCTION("GOOGLETRANSLATE(B2832, ""es"", ""en"")"),"Box Very nice, but me come without a box and put that came with box")</f>
        <v>Box Very nice, but me come without a box and put that came with box</v>
      </c>
    </row>
    <row r="2833">
      <c r="A2833" s="1">
        <v>3.0</v>
      </c>
      <c r="B2833" s="1" t="s">
        <v>2818</v>
      </c>
      <c r="C2833" t="str">
        <f>IFERROR(__xludf.DUMMYFUNCTION("GOOGLETRANSLATE(B2833, ""es"", ""en"")"),"Palo useless. Palo short and continuously removed, not worth buying this set, another without a stick. I waited for something bigger mop and do not drain well, leaves the soil moist enough.")</f>
        <v>Palo useless. Palo short and continuously removed, not worth buying this set, another without a stick. I waited for something bigger mop and do not drain well, leaves the soil moist enough.</v>
      </c>
    </row>
    <row r="2834">
      <c r="A2834" s="1">
        <v>1.0</v>
      </c>
      <c r="B2834" s="1" t="s">
        <v>2819</v>
      </c>
      <c r="C2834" t="str">
        <f>IFERROR(__xludf.DUMMYFUNCTION("GOOGLETRANSLATE(B2834, ""es"", ""en"")"),"A horror !!! I did not like anything nothing !!! Even expensive for what they are !!!!! Crappy quality finishes and all ... let's have returned")</f>
        <v>A horror !!! I did not like anything nothing !!! Even expensive for what they are !!!!! Crappy quality finishes and all ... let's have returned</v>
      </c>
    </row>
    <row r="2835">
      <c r="A2835" s="1">
        <v>1.0</v>
      </c>
      <c r="B2835" s="1" t="s">
        <v>2820</v>
      </c>
      <c r="C2835" t="str">
        <f>IFERROR(__xludf.DUMMYFUNCTION("GOOGLETRANSLATE(B2835, ""es"", ""en"")"),"Very poor quality The first day I dismantled everything, but good at the least as I arrived late made me a refund and I was free")</f>
        <v>Very poor quality The first day I dismantled everything, but good at the least as I arrived late made me a refund and I was free</v>
      </c>
    </row>
    <row r="2836">
      <c r="A2836" s="1">
        <v>1.0</v>
      </c>
      <c r="B2836" s="1" t="s">
        <v>2821</v>
      </c>
      <c r="C2836" t="str">
        <f>IFERROR(__xludf.DUMMYFUNCTION("GOOGLETRANSLATE(B2836, ""es"", ""en"")"),"They are false are false. Do not come or box. He went to the store and checked, was for a gift and was fatal. I would not pay more than € 20 for them. 20 € more I bought the original. They should warn that are a copy.")</f>
        <v>They are false are false. Do not come or box. He went to the store and checked, was for a gift and was fatal. I would not pay more than € 20 for them. 20 € more I bought the original. They should warn that are a copy.</v>
      </c>
    </row>
    <row r="2837">
      <c r="A2837" s="1">
        <v>4.0</v>
      </c>
      <c r="B2837" s="1" t="s">
        <v>2822</v>
      </c>
      <c r="C2837" t="str">
        <f>IFERROR(__xludf.DUMMYFUNCTION("GOOGLETRANSLATE(B2837, ""es"", ""en"")"),"I wear them almost every day I had already tasted the size but in another color. I wanted them burgundy and luckily I found them on Amazon. Calentitas so are not suitable for summer. SUPER comfortable!")</f>
        <v>I wear them almost every day I had already tasted the size but in another color. I wanted them burgundy and luckily I found them on Amazon. Calentitas so are not suitable for summer. SUPER comfortable!</v>
      </c>
    </row>
    <row r="2838">
      <c r="A2838" s="1">
        <v>4.0</v>
      </c>
      <c r="B2838" s="1" t="s">
        <v>2823</v>
      </c>
      <c r="C2838" t="str">
        <f>IFERROR(__xludf.DUMMYFUNCTION("GOOGLETRANSLATE(B2838, ""es"", ""en"")"),"Pretty good are pretty good. Comes with a chord of each color is the same as the stick (less purple, purple no rope q). But in reality there are 30 gigas.")</f>
        <v>Pretty good are pretty good. Comes with a chord of each color is the same as the stick (less purple, purple no rope q). But in reality there are 30 gigas.</v>
      </c>
    </row>
    <row r="2839">
      <c r="A2839" s="1">
        <v>4.0</v>
      </c>
      <c r="B2839" s="1" t="s">
        <v>2824</v>
      </c>
      <c r="C2839" t="str">
        <f>IFERROR(__xludf.DUMMYFUNCTION("GOOGLETRANSLATE(B2839, ""es"", ""en"")"),"Good product The pad is phenomenal, I do not get it 5 * because you can not remove the cover for washing. It covers the entire back and shoulders, is very soft and gives warmth in winter it comes in handy.")</f>
        <v>Good product The pad is phenomenal, I do not get it 5 * because you can not remove the cover for washing. It covers the entire back and shoulders, is very soft and gives warmth in winter it comes in handy.</v>
      </c>
    </row>
    <row r="2840">
      <c r="A2840" s="1">
        <v>4.0</v>
      </c>
      <c r="B2840" s="1" t="s">
        <v>2825</v>
      </c>
      <c r="C2840" t="str">
        <f>IFERROR(__xludf.DUMMYFUNCTION("GOOGLETRANSLATE(B2840, ""es"", ""en"")"),"The comfort I lacked practice for sizes. It is comfortable shopping with you. Graciad")</f>
        <v>The comfort I lacked practice for sizes. It is comfortable shopping with you. Graciad</v>
      </c>
    </row>
    <row r="2841">
      <c r="A2841" s="1">
        <v>5.0</v>
      </c>
      <c r="B2841" s="1" t="s">
        <v>2826</v>
      </c>
      <c r="C2841" t="str">
        <f>IFERROR(__xludf.DUMMYFUNCTION("GOOGLETRANSLATE(B2841, ""es"", ""en"")"),"A gift that fulfills Just as it seems")</f>
        <v>A gift that fulfills Just as it seems</v>
      </c>
    </row>
    <row r="2842">
      <c r="A2842" s="1">
        <v>5.0</v>
      </c>
      <c r="B2842" s="1" t="s">
        <v>2827</v>
      </c>
      <c r="C2842" t="str">
        <f>IFERROR(__xludf.DUMMYFUNCTION("GOOGLETRANSLATE(B2842, ""es"", ""en"")"),"Fast. One of the best memories USB 3.0, has a high transfer rate. The USB is hidden within himself.")</f>
        <v>Fast. One of the best memories USB 3.0, has a high transfer rate. The USB is hidden within himself.</v>
      </c>
    </row>
    <row r="2843">
      <c r="A2843" s="1">
        <v>5.0</v>
      </c>
      <c r="B2843" s="1" t="s">
        <v>2828</v>
      </c>
      <c r="C2843" t="str">
        <f>IFERROR(__xludf.DUMMYFUNCTION("GOOGLETRANSLATE(B2843, ""es"", ""en"")"),"They are amazing !! I love. I use them to make phone calls, listen to music, you can use with your oareja, each with an earpiece and listen to both music or a phone call. To save them directly enter the charging mode, so you always have to the 100x100. Du"&amp;"ran 4 hours call. And music at a normal volume about 6 hours.")</f>
        <v>They are amazing !! I love. I use them to make phone calls, listen to music, you can use with your oareja, each with an earpiece and listen to both music or a phone call. To save them directly enter the charging mode, so you always have to the 100x100. Duran 4 hours call. And music at a normal volume about 6 hours.</v>
      </c>
    </row>
    <row r="2844">
      <c r="A2844" s="1">
        <v>5.0</v>
      </c>
      <c r="B2844" s="1" t="s">
        <v>2829</v>
      </c>
      <c r="C2844" t="str">
        <f>IFERROR(__xludf.DUMMYFUNCTION("GOOGLETRANSLATE(B2844, ""es"", ""en"")"),"Highly recommended The presentation is excellent. The earrings have a pretty good quality and come as they appear in the photos.")</f>
        <v>Highly recommended The presentation is excellent. The earrings have a pretty good quality and come as they appear in the photos.</v>
      </c>
    </row>
    <row r="2845">
      <c r="A2845" s="1">
        <v>5.0</v>
      </c>
      <c r="B2845" s="1" t="s">
        <v>2830</v>
      </c>
      <c r="C2845" t="str">
        <f>IFERROR(__xludf.DUMMYFUNCTION("GOOGLETRANSLATE(B2845, ""es"", ""en"")"),"Excellent grip double-sided tape, ideal to hold the artificial turf")</f>
        <v>Excellent grip double-sided tape, ideal to hold the artificial turf</v>
      </c>
    </row>
    <row r="2846">
      <c r="A2846" s="1">
        <v>5.0</v>
      </c>
      <c r="B2846" s="1" t="s">
        <v>2831</v>
      </c>
      <c r="C2846" t="str">
        <f>IFERROR(__xludf.DUMMYFUNCTION("GOOGLETRANSLATE(B2846, ""es"", ""en"")"),"Perfect For now is as described on the publucacion, hopefully it stays lasting.")</f>
        <v>Perfect For now is as described on the publucacion, hopefully it stays lasting.</v>
      </c>
    </row>
    <row r="2847">
      <c r="A2847" s="1">
        <v>5.0</v>
      </c>
      <c r="B2847" s="1" t="s">
        <v>2832</v>
      </c>
      <c r="C2847" t="str">
        <f>IFERROR(__xludf.DUMMYFUNCTION("GOOGLETRANSLATE(B2847, ""es"", ""en"")"),"well, it was expected. Very good shoe, as described in the announcement. The only problem is I have not received the bill.")</f>
        <v>well, it was expected. Very good shoe, as described in the announcement. The only problem is I have not received the bill.</v>
      </c>
    </row>
    <row r="2848">
      <c r="A2848" s="1">
        <v>5.0</v>
      </c>
      <c r="B2848" s="1" t="s">
        <v>2833</v>
      </c>
      <c r="C2848" t="str">
        <f>IFERROR(__xludf.DUMMYFUNCTION("GOOGLETRANSLATE(B2848, ""es"", ""en"")"),"Excellent excellent as all bottles of the brand. In addition the colors are very nice and cordes with photo")</f>
        <v>Excellent excellent as all bottles of the brand. In addition the colors are very nice and cordes with photo</v>
      </c>
    </row>
    <row r="2849">
      <c r="A2849" s="1">
        <v>5.0</v>
      </c>
      <c r="B2849" s="1" t="s">
        <v>2834</v>
      </c>
      <c r="C2849" t="str">
        <f>IFERROR(__xludf.DUMMYFUNCTION("GOOGLETRANSLATE(B2849, ""es"", ""en"")"),"Practical and powerful The mixer fulfills its function very well. Liquefying the filter greatly reduces the ability of the glass, so there you go making several batches.")</f>
        <v>Practical and powerful The mixer fulfills its function very well. Liquefying the filter greatly reduces the ability of the glass, so there you go making several batches.</v>
      </c>
    </row>
    <row r="2850">
      <c r="A2850" s="1">
        <v>5.0</v>
      </c>
      <c r="B2850" s="1" t="s">
        <v>2835</v>
      </c>
      <c r="C2850" t="str">
        <f>IFERROR(__xludf.DUMMYFUNCTION("GOOGLETRANSLATE(B2850, ""es"", ""en"")"),"Useful and easy to use has the shape of a pencil and weighs very little and is thick like a pair of bolis.Es a detail that brings and put the AAA battery you need so nothing else could receive it a try. Top Remove the USB I put in my pc, nothing was insta"&amp;"lled just connect without anything. After turning the ignition he could already use it. The main buttons are for pp presentations on very interesting screen button to signal laser points anywhere in the room.")</f>
        <v>Useful and easy to use has the shape of a pencil and weighs very little and is thick like a pair of bolis.Es a detail that brings and put the AAA battery you need so nothing else could receive it a try. Top Remove the USB I put in my pc, nothing was installed just connect without anything. After turning the ignition he could already use it. The main buttons are for pp presentations on very interesting screen button to signal laser points anywhere in the room.</v>
      </c>
    </row>
    <row r="2851">
      <c r="A2851" s="1">
        <v>5.0</v>
      </c>
      <c r="B2851" s="1" t="s">
        <v>2836</v>
      </c>
      <c r="C2851" t="str">
        <f>IFERROR(__xludf.DUMMYFUNCTION("GOOGLETRANSLATE(B2851, ""es"", ""en"")"),"Good buy. Very pleased with areas of acquisition, for its caracteirsticas and its construction serves me totalmaente to connect to my iPhone without removing the protective cover. So totally recommended.")</f>
        <v>Good buy. Very pleased with areas of acquisition, for its caracteirsticas and its construction serves me totalmaente to connect to my iPhone without removing the protective cover. So totally recommended.</v>
      </c>
    </row>
    <row r="2852">
      <c r="A2852" s="1">
        <v>5.0</v>
      </c>
      <c r="B2852" s="1" t="s">
        <v>2837</v>
      </c>
      <c r="C2852" t="str">
        <f>IFERROR(__xludf.DUMMYFUNCTION("GOOGLETRANSLATE(B2852, ""es"", ""en"")"),"Very intelligent robot makes my whole house in 1 hour. Very fast and rarely it gets caught. sometimes you lost some time in the corners of the house, but no concern! Recommend, only got there a month, so far there are problems.")</f>
        <v>Very intelligent robot makes my whole house in 1 hour. Very fast and rarely it gets caught. sometimes you lost some time in the corners of the house, but no concern! Recommend, only got there a month, so far there are problems.</v>
      </c>
    </row>
    <row r="2853">
      <c r="A2853" s="1">
        <v>5.0</v>
      </c>
      <c r="B2853" s="1" t="s">
        <v>2838</v>
      </c>
      <c r="C2853" t="str">
        <f>IFERROR(__xludf.DUMMYFUNCTION("GOOGLETRANSLATE(B2853, ""es"", ""en"")"),"All right!!! All right, I chose white with black stripe, are very nice, comfortable and sizing is appropriate to its size.")</f>
        <v>All right!!! All right, I chose white with black stripe, are very nice, comfortable and sizing is appropriate to its size.</v>
      </c>
    </row>
    <row r="2854">
      <c r="A2854" s="1">
        <v>5.0</v>
      </c>
      <c r="B2854" s="1" t="s">
        <v>2839</v>
      </c>
      <c r="C2854" t="str">
        <f>IFERROR(__xludf.DUMMYFUNCTION("GOOGLETRANSLATE(B2854, ""es"", ""en"")"),"A 49 € is great Good product.")</f>
        <v>A 49 € is great Good product.</v>
      </c>
    </row>
    <row r="2855">
      <c r="A2855" s="1">
        <v>5.0</v>
      </c>
      <c r="B2855" s="1" t="s">
        <v>2840</v>
      </c>
      <c r="C2855" t="str">
        <f>IFERROR(__xludf.DUMMYFUNCTION("GOOGLETRANSLATE(B2855, ""es"", ""en"")"),"Good micro at a good price I dare say that today is the best choice for money, have good quality, and it sounds like much more expensive. I highly recommend it")</f>
        <v>Good micro at a good price I dare say that today is the best choice for money, have good quality, and it sounds like much more expensive. I highly recommend it</v>
      </c>
    </row>
    <row r="2856">
      <c r="A2856" s="1">
        <v>5.0</v>
      </c>
      <c r="B2856" s="1" t="s">
        <v>2841</v>
      </c>
      <c r="C2856" t="str">
        <f>IFERROR(__xludf.DUMMYFUNCTION("GOOGLETRANSLATE(B2856, ""es"", ""en"")"),"PERFECT are very comfortable, light, are fully expected.")</f>
        <v>PERFECT are very comfortable, light, are fully expected.</v>
      </c>
    </row>
    <row r="2857">
      <c r="A2857" s="1">
        <v>5.0</v>
      </c>
      <c r="B2857" s="1" t="s">
        <v>2842</v>
      </c>
      <c r="C2857" t="str">
        <f>IFERROR(__xludf.DUMMYFUNCTION("GOOGLETRANSLATE(B2857, ""es"", ""en"")"),"good good")</f>
        <v>good good</v>
      </c>
    </row>
    <row r="2858">
      <c r="A2858" s="1">
        <v>5.0</v>
      </c>
      <c r="B2858" s="1" t="s">
        <v>2843</v>
      </c>
      <c r="C2858" t="str">
        <f>IFERROR(__xludf.DUMMYFUNCTION("GOOGLETRANSLATE(B2858, ""es"", ""en"")"),"Genial very good quality, arrived very quickly")</f>
        <v>Genial very good quality, arrived very quickly</v>
      </c>
    </row>
    <row r="2859">
      <c r="A2859" s="1">
        <v>5.0</v>
      </c>
      <c r="B2859" s="1" t="s">
        <v>2844</v>
      </c>
      <c r="C2859" t="str">
        <f>IFERROR(__xludf.DUMMYFUNCTION("GOOGLETRANSLATE(B2859, ""es"", ""en"")"),"Price / quality ratio I gave it to a friend as a joke and the truth that has liked more than any other gift, lol. It comes in a very discreet black box inside the appliance, with his command, charging cable and velvet pouch to keep it. There are 12 modes "&amp;"of vibration, battery is charged through a small hole on one side. The quality is good, I do not think it's the typical breaking into a few uses.")</f>
        <v>Price / quality ratio I gave it to a friend as a joke and the truth that has liked more than any other gift, lol. It comes in a very discreet black box inside the appliance, with his command, charging cable and velvet pouch to keep it. There are 12 modes of vibration, battery is charged through a small hole on one side. The quality is good, I do not think it's the typical breaking into a few uses.</v>
      </c>
    </row>
    <row r="2860">
      <c r="A2860" s="1">
        <v>2.0</v>
      </c>
      <c r="B2860" s="1" t="s">
        <v>2845</v>
      </c>
      <c r="C2860" t="str">
        <f>IFERROR(__xludf.DUMMYFUNCTION("GOOGLETRANSLATE(B2860, ""es"", ""en"")"),"Too earrings pekes")</f>
        <v>Too earrings pekes</v>
      </c>
    </row>
    <row r="2861">
      <c r="A2861" s="1">
        <v>3.0</v>
      </c>
      <c r="B2861" s="1" t="s">
        <v>2846</v>
      </c>
      <c r="C2861" t="str">
        <f>IFERROR(__xludf.DUMMYFUNCTION("GOOGLETRANSLATE(B2861, ""es"", ""en"")"),"nice but ok. but for the price to buy a better brand outlet. I had to return because they were fair.")</f>
        <v>nice but ok. but for the price to buy a better brand outlet. I had to return because they were fair.</v>
      </c>
    </row>
    <row r="2862">
      <c r="A2862" s="1">
        <v>3.0</v>
      </c>
      <c r="B2862" s="1" t="s">
        <v>2847</v>
      </c>
      <c r="C2862" t="str">
        <f>IFERROR(__xludf.DUMMYFUNCTION("GOOGLETRANSLATE(B2862, ""es"", ""en"")"),"Okay, but hold well and support the foot is correct, the overall quality Nike normal, but ... I ordered the same size as other Nike have and these are somewhat narrower, after a few days of carrying some have adapted but do not quite fit. Another issue is"&amp;" that, perhaps for the material and shape, not perspire too well, you put it colloquially ""cook (something)"" feet. As for the order processing and shipping all right")</f>
        <v>Okay, but hold well and support the foot is correct, the overall quality Nike normal, but ... I ordered the same size as other Nike have and these are somewhat narrower, after a few days of carrying some have adapted but do not quite fit. Another issue is that, perhaps for the material and shape, not perspire too well, you put it colloquially "cook (something)" feet. As for the order processing and shipping all right</v>
      </c>
    </row>
    <row r="2863">
      <c r="A2863" s="1">
        <v>1.0</v>
      </c>
      <c r="B2863" s="1" t="s">
        <v>2848</v>
      </c>
      <c r="C2863" t="str">
        <f>IFERROR(__xludf.DUMMYFUNCTION("GOOGLETRANSLATE(B2863, ""es"", ""en"")"),"Very poor quality flimsy")</f>
        <v>Very poor quality flimsy</v>
      </c>
    </row>
    <row r="2864">
      <c r="A2864" s="1">
        <v>1.0</v>
      </c>
      <c r="B2864" s="1" t="s">
        <v>2849</v>
      </c>
      <c r="C2864" t="str">
        <f>IFERROR(__xludf.DUMMYFUNCTION("GOOGLETRANSLATE(B2864, ""es"", ""en"")"),"recording speed is the worst I've ever had. A film 3GB starts at 22,000 and 20 ""can get down to 5000KB. Total, 15 min thrown away, and I'm not kidding, about eating a file. As for reading, is phenomenal. But USB is for grabrar data (later read). A ruin.")</f>
        <v>recording speed is the worst I've ever had. A film 3GB starts at 22,000 and 20 "can get down to 5000KB. Total, 15 min thrown away, and I'm not kidding, about eating a file. As for reading, is phenomenal. But USB is for grabrar data (later read). A ruin.</v>
      </c>
    </row>
    <row r="2865">
      <c r="A2865" s="1">
        <v>4.0</v>
      </c>
      <c r="B2865" s="1" t="s">
        <v>2850</v>
      </c>
      <c r="C2865" t="str">
        <f>IFERROR(__xludf.DUMMYFUNCTION("GOOGLETRANSLATE(B2865, ""es"", ""en"")"),"Meets correct specifications seller")</f>
        <v>Meets correct specifications seller</v>
      </c>
    </row>
    <row r="2866">
      <c r="A2866" s="1">
        <v>4.0</v>
      </c>
      <c r="B2866" s="1" t="s">
        <v>2851</v>
      </c>
      <c r="C2866" t="str">
        <f>IFERROR(__xludf.DUMMYFUNCTION("GOOGLETRANSLATE(B2866, ""es"", ""en"")"),"very nice I thought it was bigger, but still is very good for the price you offer. Very nice for a detail.")</f>
        <v>very nice I thought it was bigger, but still is very good for the price you offer. Very nice for a detail.</v>
      </c>
    </row>
    <row r="2867">
      <c r="A2867" s="1">
        <v>4.0</v>
      </c>
      <c r="B2867" s="1" t="s">
        <v>2852</v>
      </c>
      <c r="C2867" t="str">
        <f>IFERROR(__xludf.DUMMYFUNCTION("GOOGLETRANSLATE(B2867, ""es"", ""en"")"),"Construction quality")</f>
        <v>Construction quality</v>
      </c>
    </row>
    <row r="2868">
      <c r="A2868" s="1">
        <v>4.0</v>
      </c>
      <c r="B2868" s="1" t="s">
        <v>2853</v>
      </c>
      <c r="C2868" t="str">
        <f>IFERROR(__xludf.DUMMYFUNCTION("GOOGLETRANSLATE(B2868, ""es"", ""en"")"),"Good product quality and I am satisfied with the purchase of this hard drive is small and large storage making it ideal for carrying travel. I would definitely buy.")</f>
        <v>Good product quality and I am satisfied with the purchase of this hard drive is small and large storage making it ideal for carrying travel. I would definitely buy.</v>
      </c>
    </row>
    <row r="2869">
      <c r="A2869" s="1">
        <v>4.0</v>
      </c>
      <c r="B2869" s="1" t="s">
        <v>2854</v>
      </c>
      <c r="C2869" t="str">
        <f>IFERROR(__xludf.DUMMYFUNCTION("GOOGLETRANSLATE(B2869, ""es"", ""en"")"),"1 I arrive in good condition, recommended product")</f>
        <v>1 I arrive in good condition, recommended product</v>
      </c>
    </row>
    <row r="2870">
      <c r="A2870" s="1">
        <v>5.0</v>
      </c>
      <c r="B2870" s="1" t="s">
        <v>2855</v>
      </c>
      <c r="C2870" t="str">
        <f>IFERROR(__xludf.DUMMYFUNCTION("GOOGLETRANSLATE(B2870, ""es"", ""en"")"),"Blue Yeti Microphone The microphone came in the estimated time, I have no complaint. In size, it is quite large, I did not expect it was, but I have no complaints. By putting some would say it takes much sound but will you put the ""gain"" to the minimum,"&amp;" so you have to use it in a quiet environment. 4 modes work perfectly: omni-directional, uni-directional, bi-directional and stereo, which gives you many utilities to the microphone beyond music as a podcast, etc. ASMR The recording quality is unquestiona"&amp;"ble, very good. You add a couple of effects and looks professional studio. Overall, I'm very happy.")</f>
        <v>Blue Yeti Microphone The microphone came in the estimated time, I have no complaint. In size, it is quite large, I did not expect it was, but I have no complaints. By putting some would say it takes much sound but will you put the "gain" to the minimum, so you have to use it in a quiet environment. 4 modes work perfectly: omni-directional, uni-directional, bi-directional and stereo, which gives you many utilities to the microphone beyond music as a podcast, etc. ASMR The recording quality is unquestionable, very good. You add a couple of effects and looks professional studio. Overall, I'm very happy.</v>
      </c>
    </row>
    <row r="2871">
      <c r="A2871" s="1">
        <v>5.0</v>
      </c>
      <c r="B2871" s="1" t="s">
        <v>2856</v>
      </c>
      <c r="C2871" t="str">
        <f>IFERROR(__xludf.DUMMYFUNCTION("GOOGLETRANSLATE(B2871, ""es"", ""en"")"),"Incredible quality / price adequately perform their function for more than competitive price. I recommend buying.")</f>
        <v>Incredible quality / price adequately perform their function for more than competitive price. I recommend buying.</v>
      </c>
    </row>
    <row r="2872">
      <c r="A2872" s="1">
        <v>5.0</v>
      </c>
      <c r="B2872" s="1" t="s">
        <v>2857</v>
      </c>
      <c r="C2872" t="str">
        <f>IFERROR(__xludf.DUMMYFUNCTION("GOOGLETRANSLATE(B2872, ""es"", ""en"")"),"Okay works.")</f>
        <v>Okay works.</v>
      </c>
    </row>
    <row r="2873">
      <c r="A2873" s="1">
        <v>5.0</v>
      </c>
      <c r="B2873" s="1" t="s">
        <v>2858</v>
      </c>
      <c r="C2873" t="str">
        <f>IFERROR(__xludf.DUMMYFUNCTION("GOOGLETRANSLATE(B2873, ""es"", ""en"")"),"happy happy")</f>
        <v>happy happy</v>
      </c>
    </row>
    <row r="2874">
      <c r="A2874" s="1">
        <v>5.0</v>
      </c>
      <c r="B2874" s="1" t="s">
        <v>2859</v>
      </c>
      <c r="C2874" t="str">
        <f>IFERROR(__xludf.DUMMYFUNCTION("GOOGLETRANSLATE(B2874, ""es"", ""en"")"),"So comfortable and good quality great purchase.")</f>
        <v>So comfortable and good quality great purchase.</v>
      </c>
    </row>
    <row r="2875">
      <c r="A2875" s="1">
        <v>5.0</v>
      </c>
      <c r="B2875" s="1" t="s">
        <v>2860</v>
      </c>
      <c r="C2875" t="str">
        <f>IFERROR(__xludf.DUMMYFUNCTION("GOOGLETRANSLATE(B2875, ""es"", ""en"")"),"Value can not say much about headphones. They do their role, and I think a very good buy Value")</f>
        <v>Value can not say much about headphones. They do their role, and I think a very good buy Value</v>
      </c>
    </row>
    <row r="2876">
      <c r="A2876" s="1">
        <v>5.0</v>
      </c>
      <c r="B2876" s="1" t="s">
        <v>2861</v>
      </c>
      <c r="C2876" t="str">
        <f>IFERROR(__xludf.DUMMYFUNCTION("GOOGLETRANSLATE(B2876, ""es"", ""en"")"),"Comfortable but a big little super comfortable, I ordered size 37 and I are a little big otherwise well")</f>
        <v>Comfortable but a big little super comfortable, I ordered size 37 and I are a little big otherwise well</v>
      </c>
    </row>
    <row r="2877">
      <c r="A2877" s="1">
        <v>5.0</v>
      </c>
      <c r="B2877" s="1" t="s">
        <v>2862</v>
      </c>
      <c r="C2877" t="str">
        <f>IFERROR(__xludf.DUMMYFUNCTION("GOOGLETRANSLATE(B2877, ""es"", ""en"")"),"Phenomenal great value! I always liked the Avent bottles for quality and comfort, along with the Natural range not give my baby colic. This pack brings 2 bottles of 330ml with Teat fast flow (6m +).")</f>
        <v>Phenomenal great value! I always liked the Avent bottles for quality and comfort, along with the Natural range not give my baby colic. This pack brings 2 bottles of 330ml with Teat fast flow (6m +).</v>
      </c>
    </row>
    <row r="2878">
      <c r="A2878" s="1">
        <v>5.0</v>
      </c>
      <c r="B2878" s="1" t="s">
        <v>2863</v>
      </c>
      <c r="C2878" t="str">
        <f>IFERROR(__xludf.DUMMYFUNCTION("GOOGLETRANSLATE(B2878, ""es"", ""en"")"),"Nice, stylish and very functional Excellent product for the price it has. ideal size, I have very thin wrist and is not excessively large. A larger person doll will be great too. Totally recommended if you want a functional and elegant watch without spend"&amp;"ing much.")</f>
        <v>Nice, stylish and very functional Excellent product for the price it has. ideal size, I have very thin wrist and is not excessively large. A larger person doll will be great too. Totally recommended if you want a functional and elegant watch without spending much.</v>
      </c>
    </row>
    <row r="2879">
      <c r="A2879" s="1">
        <v>5.0</v>
      </c>
      <c r="B2879" s="1" t="s">
        <v>2864</v>
      </c>
      <c r="C2879" t="str">
        <f>IFERROR(__xludf.DUMMYFUNCTION("GOOGLETRANSLATE(B2879, ""es"", ""en"")"),"TOP Sara 🔝🔝 very comfortable, much better than I expected, earn far more in person than in the picture. Recomendables least all the inhabitants of the Baleares because I've 😹😹")</f>
        <v>TOP Sara 🔝🔝 very comfortable, much better than I expected, earn far more in person than in the picture. Recomendables least all the inhabitants of the Baleares because I've 😹😹</v>
      </c>
    </row>
    <row r="2880">
      <c r="A2880" s="1">
        <v>5.0</v>
      </c>
      <c r="B2880" s="1" t="s">
        <v>2865</v>
      </c>
      <c r="C2880" t="str">
        <f>IFERROR(__xludf.DUMMYFUNCTION("GOOGLETRANSLATE(B2880, ""es"", ""en"")"),"Correct Correct Everything goes well for GoPro Hero 4 silver")</f>
        <v>Correct Correct Everything goes well for GoPro Hero 4 silver</v>
      </c>
    </row>
    <row r="2881">
      <c r="A2881" s="1">
        <v>5.0</v>
      </c>
      <c r="B2881" s="1" t="s">
        <v>2866</v>
      </c>
      <c r="C2881" t="str">
        <f>IFERROR(__xludf.DUMMYFUNCTION("GOOGLETRANSLATE(B2881, ""es"", ""en"")"),"Leggins! Buenos leggings. High waist, comfortable, valid for summer, is not for nothing transpires.")</f>
        <v>Leggins! Buenos leggings. High waist, comfortable, valid for summer, is not for nothing transpires.</v>
      </c>
    </row>
    <row r="2882">
      <c r="A2882" s="1">
        <v>5.0</v>
      </c>
      <c r="B2882" s="1" t="s">
        <v>2867</v>
      </c>
      <c r="C2882" t="str">
        <f>IFERROR(__xludf.DUMMYFUNCTION("GOOGLETRANSLATE(B2882, ""es"", ""en"")"),"quite correct functioning properly.")</f>
        <v>quite correct functioning properly.</v>
      </c>
    </row>
    <row r="2883">
      <c r="A2883" s="1">
        <v>5.0</v>
      </c>
      <c r="B2883" s="1" t="s">
        <v>2868</v>
      </c>
      <c r="C2883" t="str">
        <f>IFERROR(__xludf.DUMMYFUNCTION("GOOGLETRANSLATE(B2883, ""es"", ""en"")"),"Very good very good and very fast heating. I use it to heat water to make coffee in the truck. Recommended for sure.")</f>
        <v>Very good very good and very fast heating. I use it to heat water to make coffee in the truck. Recommended for sure.</v>
      </c>
    </row>
    <row r="2884">
      <c r="A2884" s="1">
        <v>5.0</v>
      </c>
      <c r="B2884" s="1" t="s">
        <v>2869</v>
      </c>
      <c r="C2884" t="str">
        <f>IFERROR(__xludf.DUMMYFUNCTION("GOOGLETRANSLATE(B2884, ""es"", ""en"")"),"I like very much!! If I really like going to buy me another one !!!")</f>
        <v>I like very much!! If I really like going to buy me another one !!!</v>
      </c>
    </row>
    <row r="2885">
      <c r="A2885" s="1">
        <v>5.0</v>
      </c>
      <c r="B2885" s="1" t="s">
        <v>2870</v>
      </c>
      <c r="C2885" t="str">
        <f>IFERROR(__xludf.DUMMYFUNCTION("GOOGLETRANSLATE(B2885, ""es"", ""en"")"),"Very good choice very good and very practical to adjust the position of the child. It is very easy for children with this adapter")</f>
        <v>Very good choice very good and very practical to adjust the position of the child. It is very easy for children with this adapter</v>
      </c>
    </row>
    <row r="2886">
      <c r="A2886" s="1">
        <v>5.0</v>
      </c>
      <c r="B2886" s="1" t="s">
        <v>2871</v>
      </c>
      <c r="C2886" t="str">
        <f>IFERROR(__xludf.DUMMYFUNCTION("GOOGLETRANSLATE(B2886, ""es"", ""en"")"),"Portability and speed. It is very comfortable to use Ableton, plug and pay, good weight and portability. Solid construction, from knobs to plastics.")</f>
        <v>Portability and speed. It is very comfortable to use Ableton, plug and pay, good weight and portability. Solid construction, from knobs to plastics.</v>
      </c>
    </row>
    <row r="2887">
      <c r="A2887" s="1">
        <v>5.0</v>
      </c>
      <c r="B2887" s="1" t="s">
        <v>2872</v>
      </c>
      <c r="C2887" t="str">
        <f>IFERROR(__xludf.DUMMYFUNCTION("GOOGLETRANSLATE(B2887, ""es"", ""en"")"),"Similar quality and cost good bag with very good acceptable capacity and the ability to add molle system thanks to the materials and finish both recommended")</f>
        <v>Similar quality and cost good bag with very good acceptable capacity and the ability to add molle system thanks to the materials and finish both recommended</v>
      </c>
    </row>
    <row r="2888">
      <c r="A2888" s="1">
        <v>2.0</v>
      </c>
      <c r="B2888" s="1" t="s">
        <v>2873</v>
      </c>
      <c r="C2888" t="str">
        <f>IFERROR(__xludf.DUMMYFUNCTION("GOOGLETRANSLATE(B2888, ""es"", ""en"")"),"I expected more being weak neodymium magnets. I have other neodymium magnets the same size with much more force but I also came out more expensive. At the end I've used for the fridge there if you are able to fasten tickets")</f>
        <v>I expected more being weak neodymium magnets. I have other neodymium magnets the same size with much more force but I also came out more expensive. At the end I've used for the fridge there if you are able to fasten tickets</v>
      </c>
    </row>
    <row r="2889">
      <c r="A2889" s="1">
        <v>3.0</v>
      </c>
      <c r="B2889" s="1" t="s">
        <v>2874</v>
      </c>
      <c r="C2889" t="str">
        <f>IFERROR(__xludf.DUMMYFUNCTION("GOOGLETRANSLATE(B2889, ""es"", ""en"")"),"It goes well but as you can put yourself in the ass stick works well I have left working hours and not broken, has endurance. But if you use it on long trips to the end is the motorcillos ... you dig a little uncomfortable if you're using it for many hour"&amp;"s. Saludos.marc")</f>
        <v>It goes well but as you can put yourself in the ass stick works well I have left working hours and not broken, has endurance. But if you use it on long trips to the end is the motorcillos ... you dig a little uncomfortable if you're using it for many hours. Saludos.marc</v>
      </c>
    </row>
    <row r="2890">
      <c r="A2890" s="1">
        <v>3.0</v>
      </c>
      <c r="B2890" s="1" t="s">
        <v>2875</v>
      </c>
      <c r="C2890" t="str">
        <f>IFERROR(__xludf.DUMMYFUNCTION("GOOGLETRANSLATE(B2890, ""es"", ""en"")"),"ENORMOUS sabots, ANTI-AESTHETIC, THE LAST SMALL IS THERE A NUMBER TO ASK WHY BE OVER USA Use THE number 42, I asked for that number, I remained rather small ..... and yet seemed Pulgarcito WITH ZUECOS OF 7 Leguas ..... ..... they were huge returned them")</f>
        <v>ENORMOUS sabots, ANTI-AESTHETIC, THE LAST SMALL IS THERE A NUMBER TO ASK WHY BE OVER USA Use THE number 42, I asked for that number, I remained rather small ..... and yet seemed Pulgarcito WITH ZUECOS OF 7 Leguas ..... ..... they were huge returned them</v>
      </c>
    </row>
    <row r="2891">
      <c r="A2891" s="1">
        <v>1.0</v>
      </c>
      <c r="B2891" s="1" t="s">
        <v>2876</v>
      </c>
      <c r="C2891" t="str">
        <f>IFERROR(__xludf.DUMMYFUNCTION("GOOGLETRANSLATE(B2891, ""es"", ""en"")"),"Super wide !!! Shame expected more from the product. They were very wide even as my very very loose number.")</f>
        <v>Super wide !!! Shame expected more from the product. They were very wide even as my very very loose number.</v>
      </c>
    </row>
    <row r="2892">
      <c r="A2892" s="1">
        <v>1.0</v>
      </c>
      <c r="B2892" s="1" t="s">
        <v>2877</v>
      </c>
      <c r="C2892" t="str">
        <f>IFERROR(__xludf.DUMMYFUNCTION("GOOGLETRANSLATE(B2892, ""es"", ""en"")"),"Very ugly very poor quality")</f>
        <v>Very ugly very poor quality</v>
      </c>
    </row>
    <row r="2893">
      <c r="A2893" s="1">
        <v>4.0</v>
      </c>
      <c r="B2893" s="1" t="s">
        <v>2878</v>
      </c>
      <c r="C2893" t="str">
        <f>IFERROR(__xludf.DUMMYFUNCTION("GOOGLETRANSLATE(B2893, ""es"", ""en"")"),"manolo I have bought to give it away. The person who was destined has liked him. I hope you like enough to be satisfied")</f>
        <v>manolo I have bought to give it away. The person who was destined has liked him. I hope you like enough to be satisfied</v>
      </c>
    </row>
    <row r="2894">
      <c r="A2894" s="1">
        <v>4.0</v>
      </c>
      <c r="B2894" s="1" t="s">
        <v>2879</v>
      </c>
      <c r="C2894" t="str">
        <f>IFERROR(__xludf.DUMMYFUNCTION("GOOGLETRANSLATE(B2894, ""es"", ""en"")"),"Well Pretty good")</f>
        <v>Well Pretty good</v>
      </c>
    </row>
    <row r="2895">
      <c r="A2895" s="1">
        <v>4.0</v>
      </c>
      <c r="B2895" s="1" t="s">
        <v>2880</v>
      </c>
      <c r="C2895" t="str">
        <f>IFERROR(__xludf.DUMMYFUNCTION("GOOGLETRANSLATE(B2895, ""es"", ""en"")"),"Basic but good watch very nice")</f>
        <v>Basic but good watch very nice</v>
      </c>
    </row>
    <row r="2896">
      <c r="A2896" s="1">
        <v>4.0</v>
      </c>
      <c r="B2896" s="1" t="s">
        <v>2881</v>
      </c>
      <c r="C2896" t="str">
        <f>IFERROR(__xludf.DUMMYFUNCTION("GOOGLETRANSLATE(B2896, ""es"", ""en"")"),"Compliant but without further comment I have a crucial in a nuc. I implemented a desktop with this. I thought I saw more quickly and surely has. But then you already know another ssd SSD not much surprises you. I've chosen my best start Windows. Obviously"&amp;" must have its other benefits that only technically known reading")</f>
        <v>Compliant but without further comment I have a crucial in a nuc. I implemented a desktop with this. I thought I saw more quickly and surely has. But then you already know another ssd SSD not much surprises you. I've chosen my best start Windows. Obviously must have its other benefits that only technically known reading</v>
      </c>
    </row>
    <row r="2897">
      <c r="A2897" s="1">
        <v>4.0</v>
      </c>
      <c r="B2897" s="1" t="s">
        <v>2882</v>
      </c>
      <c r="C2897" t="str">
        <f>IFERROR(__xludf.DUMMYFUNCTION("GOOGLETRANSLATE(B2897, ""es"", ""en"")"),"Delighted with recommended buying bottles that mark, the first bought my son a pharmacy for my granddaughter and do not change for anything")</f>
        <v>Delighted with recommended buying bottles that mark, the first bought my son a pharmacy for my granddaughter and do not change for anything</v>
      </c>
    </row>
    <row r="2898">
      <c r="A2898" s="1">
        <v>5.0</v>
      </c>
      <c r="B2898" s="1" t="s">
        <v>2883</v>
      </c>
      <c r="C2898" t="str">
        <f>IFERROR(__xludf.DUMMYFUNCTION("GOOGLETRANSLATE(B2898, ""es"", ""en"")"),"Great for sports very correct Headphones price you have. The price / quality ratio is very good. I was surprised that the bass is pretty good at this type of device. Happy with purchase. I have paired with the phone without problem and with Tomtom runner2"&amp;", and go perfectly.")</f>
        <v>Great for sports very correct Headphones price you have. The price / quality ratio is very good. I was surprised that the bass is pretty good at this type of device. Happy with purchase. I have paired with the phone without problem and with Tomtom runner2, and go perfectly.</v>
      </c>
    </row>
    <row r="2899">
      <c r="A2899" s="1">
        <v>5.0</v>
      </c>
      <c r="B2899" s="1" t="s">
        <v>2884</v>
      </c>
      <c r="C2899" t="str">
        <f>IFERROR(__xludf.DUMMYFUNCTION("GOOGLETRANSLATE(B2899, ""es"", ""en"")"),"Very good buy Labcalidad of the sound is lovely, it was for my son a gift and since we arrived not remove it. The battery lasts a lot is easy and quick to recharge. Also they arrived ahead of schedule. Very happy with the purchase")</f>
        <v>Very good buy Labcalidad of the sound is lovely, it was for my son a gift and since we arrived not remove it. The battery lasts a lot is easy and quick to recharge. Also they arrived ahead of schedule. Very happy with the purchase</v>
      </c>
    </row>
    <row r="2900">
      <c r="A2900" s="1">
        <v>5.0</v>
      </c>
      <c r="B2900" s="1" t="s">
        <v>2885</v>
      </c>
      <c r="C2900" t="str">
        <f>IFERROR(__xludf.DUMMYFUNCTION("GOOGLETRANSLATE(B2900, ""es"", ""en"")"),"Good reach and easy to use I'm using it in class daily, the others I had not much I could ward off the computer and with this I have much more scope besides being quite comfortable to carry and to use both. highly recommended")</f>
        <v>Good reach and easy to use I'm using it in class daily, the others I had not much I could ward off the computer and with this I have much more scope besides being quite comfortable to carry and to use both. highly recommended</v>
      </c>
    </row>
    <row r="2901">
      <c r="A2901" s="1">
        <v>5.0</v>
      </c>
      <c r="B2901" s="1" t="s">
        <v>2886</v>
      </c>
      <c r="C2901" t="str">
        <f>IFERROR(__xludf.DUMMYFUNCTION("GOOGLETRANSLATE(B2901, ""es"", ""en"")"),"There is a good quality price relation. Pants are soft and practical has used my son to basketball practice and to be at home because they were very comfortable. While others have bought the same.")</f>
        <v>There is a good quality price relation. Pants are soft and practical has used my son to basketball practice and to be at home because they were very comfortable. While others have bought the same.</v>
      </c>
    </row>
    <row r="2902">
      <c r="A2902" s="1">
        <v>5.0</v>
      </c>
      <c r="B2902" s="1" t="s">
        <v>2887</v>
      </c>
      <c r="C2902" t="str">
        <f>IFERROR(__xludf.DUMMYFUNCTION("GOOGLETRANSLATE(B2902, ""es"", ""en"")"),"They seem resistance quality. Comfortable and durable")</f>
        <v>They seem resistance quality. Comfortable and durable</v>
      </c>
    </row>
    <row r="2903">
      <c r="A2903" s="1">
        <v>5.0</v>
      </c>
      <c r="B2903" s="1" t="s">
        <v>2888</v>
      </c>
      <c r="C2903" t="str">
        <f>IFERROR(__xludf.DUMMYFUNCTION("GOOGLETRANSLATE(B2903, ""es"", ""en"")"),"Very good insulation, can listen to music in the office without my bother anyone :-) My office is super loud, is the reason I was looking for good headphones that would allow me to listen to music and simultaneously isolate the noise generated by my aroun"&amp;"d. Because of this, I knew from the start that I needed a tapasen whole ear. The main problem of this type of headphones that are often uncomfortable to take much time followed (by weight) and increasing the temperature of the ear. This model is not the m"&amp;"ost comfortable I've ever had, but being made of plastic materials light enough can take several hours without problems (maybe 8 hours straight would be too), in terms of temperature have not noticed anything unusual, but in my office there is conditioned"&amp;" air. A great detail is that the part that touches the ear is soft texture and comfortable. With a duration of battery refente I can attest that lasts many hours (more wired than Bluetooth). I could not say exactly how, but I worked several days without h"&amp;"aving to recharge. Regarding the bluetooth there are different versions, with the 5.0 the latest and highest quality, for those with a computer (or music player) with an older version of Bluetooth (which will give them a quality of very low sound) I recom"&amp;"mend using a cable directly. I tried both (I have bluetooth 5.0 on the pc) and what I like most are the calided of low (something you notice because of the size of the speakers). When storage is the expectations of the highest level, it brings a hard case"&amp;" in which to keep them without fear of blows that might damage. Generally I can emphasize with great value for money, although obviously would not be the most suitable option for audifilos, gamming professional (using bluethooth, at least. Wired I think w"&amp;"ould go well). They are suitable headphones for most users.")</f>
        <v>Very good insulation, can listen to music in the office without my bother anyone :-) My office is super loud, is the reason I was looking for good headphones that would allow me to listen to music and simultaneously isolate the noise generated by my around. Because of this, I knew from the start that I needed a tapasen whole ear. The main problem of this type of headphones that are often uncomfortable to take much time followed (by weight) and increasing the temperature of the ear. This model is not the most comfortable I've ever had, but being made of plastic materials light enough can take several hours without problems (maybe 8 hours straight would be too), in terms of temperature have not noticed anything unusual, but in my office there is conditioned air. A great detail is that the part that touches the ear is soft texture and comfortable. With a duration of battery refente I can attest that lasts many hours (more wired than Bluetooth). I could not say exactly how, but I worked several days without having to recharge. Regarding the bluetooth there are different versions, with the 5.0 the latest and highest quality, for those with a computer (or music player) with an older version of Bluetooth (which will give them a quality of very low sound) I recommend using a cable directly. I tried both (I have bluetooth 5.0 on the pc) and what I like most are the calided of low (something you notice because of the size of the speakers). When storage is the expectations of the highest level, it brings a hard case in which to keep them without fear of blows that might damage. Generally I can emphasize with great value for money, although obviously would not be the most suitable option for audifilos, gamming professional (using bluethooth, at least. Wired I think would go well). They are suitable headphones for most users.</v>
      </c>
    </row>
    <row r="2904">
      <c r="A2904" s="1">
        <v>5.0</v>
      </c>
      <c r="B2904" s="1" t="s">
        <v>2889</v>
      </c>
      <c r="C2904" t="str">
        <f>IFERROR(__xludf.DUMMYFUNCTION("GOOGLETRANSLATE(B2904, ""es"", ""en"")"),"Good Very simple elegant and comfortable")</f>
        <v>Good Very simple elegant and comfortable</v>
      </c>
    </row>
    <row r="2905">
      <c r="A2905" s="1">
        <v>5.0</v>
      </c>
      <c r="B2905" s="1" t="s">
        <v>2890</v>
      </c>
      <c r="C2905" t="str">
        <f>IFERROR(__xludf.DUMMYFUNCTION("GOOGLETRANSLATE(B2905, ""es"", ""en"")"),"Ideally what I wanted. Size as indicated.")</f>
        <v>Ideally what I wanted. Size as indicated.</v>
      </c>
    </row>
    <row r="2906">
      <c r="A2906" s="1">
        <v>5.0</v>
      </c>
      <c r="B2906" s="1" t="s">
        <v>2891</v>
      </c>
      <c r="C2906" t="str">
        <f>IFERROR(__xludf.DUMMYFUNCTION("GOOGLETRANSLATE(B2906, ""es"", ""en"")"),"I put a key ring is perfect. Factory gives 14,8GB and includes a pair of security applications inside. Although prays USB 2 and 3 package, memory is USB 2. You can use a USB 3 also port but the speed will be identical to that of USB 2. It is the smallest "&amp;"ever created pendrive. Almost only it occupies the connector itself, is perfectly concealed put it where you put it, when you want to remove it costs a little since have virtually no where to grab him but I put a keychain and is perfect.")</f>
        <v>I put a key ring is perfect. Factory gives 14,8GB and includes a pair of security applications inside. Although prays USB 2 and 3 package, memory is USB 2. You can use a USB 3 also port but the speed will be identical to that of USB 2. It is the smallest ever created pendrive. Almost only it occupies the connector itself, is perfectly concealed put it where you put it, when you want to remove it costs a little since have virtually no where to grab him but I put a keychain and is perfect.</v>
      </c>
    </row>
    <row r="2907">
      <c r="A2907" s="1">
        <v>5.0</v>
      </c>
      <c r="B2907" s="1" t="s">
        <v>2892</v>
      </c>
      <c r="C2907" t="str">
        <f>IFERROR(__xludf.DUMMYFUNCTION("GOOGLETRANSLATE(B2907, ""es"", ""en"")"),"Never Fail !!! It is known that a shoe is not the most stylish, but the colors have helped a lot. The crocs are very comfortable when you spend the day standing, either standing or walking and then not legs hurt me. I started buying me myself and already "&amp;"has a couple every member of my family! Definitely a good investment!")</f>
        <v>Never Fail !!! It is known that a shoe is not the most stylish, but the colors have helped a lot. The crocs are very comfortable when you spend the day standing, either standing or walking and then not legs hurt me. I started buying me myself and already has a couple every member of my family! Definitely a good investment!</v>
      </c>
    </row>
    <row r="2908">
      <c r="A2908" s="1">
        <v>5.0</v>
      </c>
      <c r="B2908" s="1" t="s">
        <v>2893</v>
      </c>
      <c r="C2908" t="str">
        <f>IFERROR(__xludf.DUMMYFUNCTION("GOOGLETRANSLATE(B2908, ""es"", ""en"")"),"It meets its mission perfectly correct, grief that light does not illuminate the whole sphere, it does so only on the digital display")</f>
        <v>It meets its mission perfectly correct, grief that light does not illuminate the whole sphere, it does so only on the digital display</v>
      </c>
    </row>
    <row r="2909">
      <c r="A2909" s="1">
        <v>5.0</v>
      </c>
      <c r="B2909" s="1" t="s">
        <v>2894</v>
      </c>
      <c r="C2909" t="str">
        <f>IFERROR(__xludf.DUMMYFUNCTION("GOOGLETRANSLATE(B2909, ""es"", ""en"")"),"good performance SD card storage use photography, with normal operation for these devices")</f>
        <v>good performance SD card storage use photography, with normal operation for these devices</v>
      </c>
    </row>
    <row r="2910">
      <c r="A2910" s="1">
        <v>5.0</v>
      </c>
      <c r="B2910" s="1" t="s">
        <v>2895</v>
      </c>
      <c r="C2910" t="str">
        <f>IFERROR(__xludf.DUMMYFUNCTION("GOOGLETRANSLATE(B2910, ""es"", ""en"")"),"Perfect is very well finished and fits very well, I am very happy with it.")</f>
        <v>Perfect is very well finished and fits very well, I am very happy with it.</v>
      </c>
    </row>
    <row r="2911">
      <c r="A2911" s="1">
        <v>5.0</v>
      </c>
      <c r="B2911" s="1" t="s">
        <v>2896</v>
      </c>
      <c r="C2911" t="str">
        <f>IFERROR(__xludf.DUMMYFUNCTION("GOOGLETRANSLATE(B2911, ""es"", ""en"")"),"Very happy Good shoes, comfortable, good material manufacturing and beautifully finished, it is true that following the advice of comments from other customers ordered a size smaller because they give a lot of size, I chock 43 and ordered a 42, I hit full"&amp;", they are also very comfortable. Had never used this brand has been a great discovery for me, plus I bought on sale so I can not ask for more, buy this brand again without a doubt.")</f>
        <v>Very happy Good shoes, comfortable, good material manufacturing and beautifully finished, it is true that following the advice of comments from other customers ordered a size smaller because they give a lot of size, I chock 43 and ordered a 42, I hit full, they are also very comfortable. Had never used this brand has been a great discovery for me, plus I bought on sale so I can not ask for more, buy this brand again without a doubt.</v>
      </c>
    </row>
    <row r="2912">
      <c r="A2912" s="1">
        <v>5.0</v>
      </c>
      <c r="B2912" s="1" t="s">
        <v>2897</v>
      </c>
      <c r="C2912" t="str">
        <f>IFERROR(__xludf.DUMMYFUNCTION("GOOGLETRANSLATE(B2912, ""es"", ""en"")"),"The best bottles! I'm a fan of Philips Avent! The quality of products is second to none! Use bottles for 2 drinks of different ages and have tried many more expensive brands but I'll take Avent.Mis children have not had colic with these bottles! Bottles o"&amp;"f very good quality, easy to screw, silicone nipples and various sizes depending on the age of the baby. Highly recommended!")</f>
        <v>The best bottles! I'm a fan of Philips Avent! The quality of products is second to none! Use bottles for 2 drinks of different ages and have tried many more expensive brands but I'll take Avent.Mis children have not had colic with these bottles! Bottles of very good quality, easy to screw, silicone nipples and various sizes depending on the age of the baby. Highly recommended!</v>
      </c>
    </row>
    <row r="2913">
      <c r="A2913" s="1">
        <v>5.0</v>
      </c>
      <c r="B2913" s="1" t="s">
        <v>2898</v>
      </c>
      <c r="C2913" t="str">
        <f>IFERROR(__xludf.DUMMYFUNCTION("GOOGLETRANSLATE(B2913, ""es"", ""en"")"),"An indestructible classic. A classic virtually indestructible model. It is not very nice, but has its charm. If you need a watch to accompany you whenever you do not need any ""glamor"" but perfectly resists any inclemency, this is for you.")</f>
        <v>An indestructible classic. A classic virtually indestructible model. It is not very nice, but has its charm. If you need a watch to accompany you whenever you do not need any "glamor" but perfectly resists any inclemency, this is for you.</v>
      </c>
    </row>
    <row r="2914">
      <c r="A2914" s="1">
        <v>5.0</v>
      </c>
      <c r="B2914" s="1" t="s">
        <v>2899</v>
      </c>
      <c r="C2914" t="str">
        <f>IFERROR(__xludf.DUMMYFUNCTION("GOOGLETRANSLATE(B2914, ""es"", ""en"")"),"10 As in every way Russell Hobbs has been crowned with this product range, retro style, encompassing from whisks, glass, and rods, toasters, coffee makers, kettles and snapper etc. The variability of this product range is very extensive, and quality, at l"&amp;"east I've had a chance to try, great. This time we have a mixer vessel in deep red, with a lever located at the bottom of its base with which we can regulate the intensity of the mixer to achieve a more or less homogeneous texture. Glass, glass screen pri"&amp;"nted volumes, a robust and heavy glass, is complemented with a black lid that sealingly positioned to prevent a beating / shred foods splashing and smearing. That very top, it has a small opening in the center / top if we require to take the ingredients g"&amp;"radually and we avoided completely remove the lid if it were stained, avoid spilling the contents, and in turn, makes meter . In short, a product with a design Vintage, very accomplished and aesthetically very appealing, but that not only in the aesthetic"&amp;", if not functional level has more than enough power, which will make us from milkshakes to gazpacho, or that what covers your imagination. Fully recommended !!")</f>
        <v>10 As in every way Russell Hobbs has been crowned with this product range, retro style, encompassing from whisks, glass, and rods, toasters, coffee makers, kettles and snapper etc. The variability of this product range is very extensive, and quality, at least I've had a chance to try, great. This time we have a mixer vessel in deep red, with a lever located at the bottom of its base with which we can regulate the intensity of the mixer to achieve a more or less homogeneous texture. Glass, glass screen printed volumes, a robust and heavy glass, is complemented with a black lid that sealingly positioned to prevent a beating / shred foods splashing and smearing. That very top, it has a small opening in the center / top if we require to take the ingredients gradually and we avoided completely remove the lid if it were stained, avoid spilling the contents, and in turn, makes meter . In short, a product with a design Vintage, very accomplished and aesthetically very appealing, but that not only in the aesthetic, if not functional level has more than enough power, which will make us from milkshakes to gazpacho, or that what covers your imagination. Fully recommended !!</v>
      </c>
    </row>
    <row r="2915">
      <c r="A2915" s="1">
        <v>5.0</v>
      </c>
      <c r="B2915" s="1" t="s">
        <v>2900</v>
      </c>
      <c r="C2915" t="str">
        <f>IFERROR(__xludf.DUMMYFUNCTION("GOOGLETRANSLATE(B2915, ""es"", ""en"")"),"Comfortable, convenient and good price almodilla Great is the gave my sister and was fascinated. Self-timer, not nailed to the sleep on, and heats well. Comfortable, convenient and good value / price.")</f>
        <v>Comfortable, convenient and good price almodilla Great is the gave my sister and was fascinated. Self-timer, not nailed to the sleep on, and heats well. Comfortable, convenient and good value / price.</v>
      </c>
    </row>
    <row r="2916">
      <c r="A2916" s="1">
        <v>5.0</v>
      </c>
      <c r="B2916" s="1" t="s">
        <v>2901</v>
      </c>
      <c r="C2916" t="str">
        <f>IFERROR(__xludf.DUMMYFUNCTION("GOOGLETRANSLATE(B2916, ""es"", ""en"")"),"Maria Mare shoes corresponds with the requested size. Very nice, good quality")</f>
        <v>Maria Mare shoes corresponds with the requested size. Very nice, good quality</v>
      </c>
    </row>
    <row r="2917">
      <c r="A2917" s="1">
        <v>2.0</v>
      </c>
      <c r="B2917" s="1" t="s">
        <v>2902</v>
      </c>
      <c r="C2917" t="str">
        <f>IFERROR(__xludf.DUMMYFUNCTION("GOOGLETRANSLATE(B2917, ""es"", ""en"")"),"Mui small are nice, but for a girl. I personally do not like so small. I did not expect so small. The I'll give.")</f>
        <v>Mui small are nice, but for a girl. I personally do not like so small. I did not expect so small. The I'll give.</v>
      </c>
    </row>
    <row r="2918">
      <c r="A2918" s="1">
        <v>3.0</v>
      </c>
      <c r="B2918" s="1" t="s">
        <v>2903</v>
      </c>
      <c r="C2918" t="str">
        <f>IFERROR(__xludf.DUMMYFUNCTION("GOOGLETRANSLATE(B2918, ""es"", ""en"")"),"Dan Dan size size of shoe if you spend 39 calls for a 38. always a number less than the usually spend. Regards.")</f>
        <v>Dan Dan size size of shoe if you spend 39 calls for a 38. always a number less than the usually spend. Regards.</v>
      </c>
    </row>
    <row r="2919">
      <c r="A2919" s="1">
        <v>1.0</v>
      </c>
      <c r="B2919" s="1" t="s">
        <v>2904</v>
      </c>
      <c r="C2919" t="str">
        <f>IFERROR(__xludf.DUMMYFUNCTION("GOOGLETRANSLATE(B2919, ""es"", ""en"")"),"Size shoes that sent me seemed used. The label was not hung on them as normal if he was not alone inside the box. And the sole back under the heel was a bit stained. Pity it did not know you could send them a photo. The big change because I left. This bra"&amp;"nd have to buy one size smaller than you wear. Well, in my case.")</f>
        <v>Size shoes that sent me seemed used. The label was not hung on them as normal if he was not alone inside the box. And the sole back under the heel was a bit stained. Pity it did not know you could send them a photo. The big change because I left. This brand have to buy one size smaller than you wear. Well, in my case.</v>
      </c>
    </row>
    <row r="2920">
      <c r="A2920" s="1">
        <v>1.0</v>
      </c>
      <c r="B2920" s="1" t="s">
        <v>2905</v>
      </c>
      <c r="C2920" t="str">
        <f>IFERROR(__xludf.DUMMYFUNCTION("GOOGLETRANSLATE(B2920, ""es"", ""en"")"),"They are not leather lie because in the description says Laa shoes are leather and I have come a cloth. A fraud.")</f>
        <v>They are not leather lie because in the description says Laa shoes are leather and I have come a cloth. A fraud.</v>
      </c>
    </row>
    <row r="2921">
      <c r="A2921" s="1">
        <v>4.0</v>
      </c>
      <c r="B2921" s="1" t="s">
        <v>2906</v>
      </c>
      <c r="C2921" t="str">
        <f>IFERROR(__xludf.DUMMYFUNCTION("GOOGLETRANSLATE(B2921, ""es"", ""en"")"),"Lightweight, small footprint and acceptable results First, indicate that the packaging of the product to the reach is good enough to not get damaged to your home, but yes, I recommend indicate when ordering the product is gift as a way to add an extra lay"&amp;"er of reinforcement in the form of ""Amazon box"" to the original box of the product, because otherwise it will be fully visible for everyone to see that you purchased (including messaging). The mixer is nice with this vintage minimalist finish (available"&amp;" in three pastel colors: green, blue or cream) and relatively small compared to others on the market of this type. This fact also is added its way to store, allowing catch the blender cup and fit face down on the mixer body, which occupies half the space "&amp;"occupied while mounted. Once engaged the vessel, the lid is placed on top of the assembly, turning ¼ turn which is the part placed normally fit into the mixer body. Its weight is also very content, since it is small and abundant as the plastic material us"&amp;"ed in its components. In fact, the glass and lid are made entirely of plastic. At first glance seem good quality and hopefully using surface will not degrade as small scratches. It is recommended to scrub with the soft part of the sponge of any scourer, b"&amp;"ecause if it is given with part rougher surely ruin the surface of the glass. When using it, fit the glass requires no more than align two small tabs on two similar notches body minimally blender and turn it clockwise. The main problem comes with the top "&amp;"of the top. Instructions on the product (wrong in my view) is indicated to be the cover and make a little twist to close: it is false. Place requires little learning and test mode in trial and error. After tasting several times believe that the best way t"&amp;"o close the lid is fit it a little part of the vessel in which you verterías the batter, and then fit the opposite some side, and go gradually tightening each side until it engages. The cap carries a flange which engages the handle of the cup with a ""cli"&amp;"ck"" when it is perfectly placed. This tab is the same plastic as the cover, and similar to that of the mixer body color. I think this should have been metal tab to ensure durability. So far I have not had any problems, but is perhaps part of the mixer wh"&amp;"ich have more reservations about its durability. Once finished churning, remove the cover also requires very careful not you get it fired. My advice is to remove the cover while it is still mounted the vessel in the body of the mixer, to have greater cont"&amp;"rol over the whole (helps maintain the stability of the four small suction cups that is the base of the mixer. To remove the cover must move a small sliding part and then carefully go disengaging the cap from the top of the vessel Lo said. carefully with "&amp;"this step the operation of the mixer is very simple addition to a position of ""pulses"" to the turn.. the dial left and functions as a turbo while holding dial rotated (to the release returns to the 0 position), its normal use is summarized using two dif"&amp;"ferent speeds, that you will use depending on the product you are beating. in my house, we usually start speed 1 and passed quickly to speed 2. the result of the batter is right. Coming to use a food that costs more than 10 times the price of this mixer c"&amp;"an not get what ecting the results, but they will not be as fine as food processors. I can not give opinion regarding purees because we have not tried. Keeping turning into something less than a minute over strawberries, banana, apple, on a liquid yogurt "&amp;"or milk, is quite likely to find a piece of fruit without beating. Surely if you increase the mixing time this effect is reduced, but do not know why I get the feeling it's not a blender to have it running many minutes. The noise level is acceptable for a"&amp;" mixer, but not silent. The blades are attached to the glass, so it can not be detached from it. I guess it is possible, if you ever wear change, removing the nut there in the back, but I do not know if that task can do for yourself (do not know if they s"&amp;"ell the replacement of loose blades) or necessary change the whole glass or the change in service. Cleaning the glass, and lid blades is very simple. While indicating that you can put the dishwasher has not yet been necessary. Simply rinse the glass with "&amp;"water and cover it goes almost all the remains, so then is quite simple and quick to finish cleaning with a sponge and soap dishes. It is true that, depending on the product you shake beech, may be some other area of ​​the vessel below the blades and requ"&amp;"ire more skill to remove it (happened with traces of blueberries), but the final out. Cleanability depends on product usage and small appliance tritures with this, but I dare say that in any case will be simple. What I recommend is that if used with acid "&amp;"products (tomato, orange, etc.) quickly clean the glass, because maybe the plastic which is made could catch some shade or smell. But I have to say this own assumptions are not based on my experience. In general, and for the price of the product, is a nic"&amp;"e mixer, small footprint and allows you to quickly shakes delicious (the use that we at home) without having to then think of processes tedious cleaning . It is a product that I recommend.")</f>
        <v>Lightweight, small footprint and acceptable results First, indicate that the packaging of the product to the reach is good enough to not get damaged to your home, but yes, I recommend indicate when ordering the product is gift as a way to add an extra layer of reinforcement in the form of "Amazon box" to the original box of the product, because otherwise it will be fully visible for everyone to see that you purchased (including messaging). The mixer is nice with this vintage minimalist finish (available in three pastel colors: green, blue or cream) and relatively small compared to others on the market of this type. This fact also is added its way to store, allowing catch the blender cup and fit face down on the mixer body, which occupies half the space occupied while mounted. Once engaged the vessel, the lid is placed on top of the assembly, turning ¼ turn which is the part placed normally fit into the mixer body. Its weight is also very content, since it is small and abundant as the plastic material used in its components. In fact, the glass and lid are made entirely of plastic. At first glance seem good quality and hopefully using surface will not degrade as small scratches. It is recommended to scrub with the soft part of the sponge of any scourer, because if it is given with part rougher surely ruin the surface of the glass. When using it, fit the glass requires no more than align two small tabs on two similar notches body minimally blender and turn it clockwise. The main problem comes with the top of the top. Instructions on the product (wrong in my view) is indicated to be the cover and make a little twist to close: it is false. Place requires little learning and test mode in trial and error. After tasting several times believe that the best way to close the lid is fit it a little part of the vessel in which you verterías the batter, and then fit the opposite some side, and go gradually tightening each side until it engages. The cap carries a flange which engages the handle of the cup with a "click" when it is perfectly placed. This tab is the same plastic as the cover, and similar to that of the mixer body color. I think this should have been metal tab to ensure durability. So far I have not had any problems, but is perhaps part of the mixer which have more reservations about its durability. Once finished churning, remove the cover also requires very careful not you get it fired. My advice is to remove the cover while it is still mounted the vessel in the body of the mixer, to have greater control over the whole (helps maintain the stability of the four small suction cups that is the base of the mixer. To remove the cover must move a small sliding part and then carefully go disengaging the cap from the top of the vessel Lo said. carefully with this step the operation of the mixer is very simple addition to a position of "pulses" to the turn.. the dial left and functions as a turbo while holding dial rotated (to the release returns to the 0 position), its normal use is summarized using two different speeds, that you will use depending on the product you are beating. in my house, we usually start speed 1 and passed quickly to speed 2. the result of the batter is right. Coming to use a food that costs more than 10 times the price of this mixer can not get what ecting the results, but they will not be as fine as food processors. I can not give opinion regarding purees because we have not tried. Keeping turning into something less than a minute over strawberries, banana, apple, on a liquid yogurt or milk, is quite likely to find a piece of fruit without beating. Surely if you increase the mixing time this effect is reduced, but do not know why I get the feeling it's not a blender to have it running many minutes. The noise level is acceptable for a mixer, but not silent. The blades are attached to the glass, so it can not be detached from it. I guess it is possible, if you ever wear change, removing the nut there in the back, but I do not know if that task can do for yourself (do not know if they sell the replacement of loose blades) or necessary change the whole glass or the change in service. Cleaning the glass, and lid blades is very simple. While indicating that you can put the dishwasher has not yet been necessary. Simply rinse the glass with water and cover it goes almost all the remains, so then is quite simple and quick to finish cleaning with a sponge and soap dishes. It is true that, depending on the product you shake beech, may be some other area of ​​the vessel below the blades and require more skill to remove it (happened with traces of blueberries), but the final out. Cleanability depends on product usage and small appliance tritures with this, but I dare say that in any case will be simple. What I recommend is that if used with acid products (tomato, orange, etc.) quickly clean the glass, because maybe the plastic which is made could catch some shade or smell. But I have to say this own assumptions are not based on my experience. In general, and for the price of the product, is a nice mixer, small footprint and allows you to quickly shakes delicious (the use that we at home) without having to then think of processes tedious cleaning . It is a product that I recommend.</v>
      </c>
    </row>
    <row r="2922">
      <c r="A2922" s="1">
        <v>4.0</v>
      </c>
      <c r="B2922" s="1" t="s">
        <v>2907</v>
      </c>
      <c r="C2922" t="str">
        <f>IFERROR(__xludf.DUMMYFUNCTION("GOOGLETRANSLATE(B2922, ""es"", ""en"")"),"Good blender is very complete, work well their accesoriios, responds well to speeds when used, and not use it splashes the power ..")</f>
        <v>Good blender is very complete, work well their accesoriios, responds well to speeds when used, and not use it splashes the power ..</v>
      </c>
    </row>
    <row r="2923">
      <c r="A2923" s="1">
        <v>4.0</v>
      </c>
      <c r="B2923" s="1" t="s">
        <v>2908</v>
      </c>
      <c r="C2923" t="str">
        <f>IFERROR(__xludf.DUMMYFUNCTION("GOOGLETRANSLATE(B2923, ""es"", ""en"")"),"Good value I chose the product because I found it very well priced and the reviews were good in general. It is true that need phantom power, but my sound card has it and it works perfectly !! Good choice!")</f>
        <v>Good value I chose the product because I found it very well priced and the reviews were good in general. It is true that need phantom power, but my sound card has it and it works perfectly !! Good choice!</v>
      </c>
    </row>
    <row r="2924">
      <c r="A2924" s="1">
        <v>4.0</v>
      </c>
      <c r="B2924" s="1" t="s">
        <v>2909</v>
      </c>
      <c r="C2924" t="str">
        <f>IFERROR(__xludf.DUMMYFUNCTION("GOOGLETRANSLATE(B2924, ""es"", ""en"")"),"Good product When using these smells a bit burnt")</f>
        <v>Good product When using these smells a bit burnt</v>
      </c>
    </row>
    <row r="2925">
      <c r="A2925" s="1">
        <v>5.0</v>
      </c>
      <c r="B2925" s="1" t="s">
        <v>2910</v>
      </c>
      <c r="C2925" t="str">
        <f>IFERROR(__xludf.DUMMYFUNCTION("GOOGLETRANSLATE(B2925, ""es"", ""en"")"),"Glass bottle always much better than plastic bottles have used glass from the beginning, they are much more hygienic than any plastic. The downside is that you have to be more careful because you can break the fall. Nuk recommend to avoid much less colic "&amp;"to the letting in air through a hole in one side. Very satisfied")</f>
        <v>Glass bottle always much better than plastic bottles have used glass from the beginning, they are much more hygienic than any plastic. The downside is that you have to be more careful because you can break the fall. Nuk recommend to avoid much less colic to the letting in air through a hole in one side. Very satisfied</v>
      </c>
    </row>
    <row r="2926">
      <c r="A2926" s="1">
        <v>5.0</v>
      </c>
      <c r="B2926" s="1" t="s">
        <v>2911</v>
      </c>
      <c r="C2926" t="str">
        <f>IFERROR(__xludf.DUMMYFUNCTION("GOOGLETRANSLATE(B2926, ""es"", ""en"")"),"ZODIACSIGN Very nice")</f>
        <v>ZODIACSIGN Very nice</v>
      </c>
    </row>
    <row r="2927">
      <c r="A2927" s="1">
        <v>5.0</v>
      </c>
      <c r="B2927" s="1" t="s">
        <v>2912</v>
      </c>
      <c r="C2927" t="str">
        <f>IFERROR(__xludf.DUMMYFUNCTION("GOOGLETRANSLATE(B2927, ""es"", ""en"")"),"Total beauty'm more than happy with this blender. I'm a big fan of everything nice, and this apparatus before anything else is beautiful, with a capital. Its retro design could not be more right for a product like this, so in that sense has won me complet"&amp;"ely. Then there is the functionality. Its 800 watts allow us to crush everything, including ice, no problem. There Blenders with a higher power but honestly, I do not see the need for any site. With 800 watts have plenty to get fruit smoothies, sauces, ga"&amp;"zpacho, cold soups or whatever comes to mind at a time, totally homogeneous, without having to be holding the device or by holding down the button as with blenders hand. On the other hand, cleaning is very simple. What is the basis simply needs to be a da"&amp;"mp cloth and pass is perfect. And the pitcher is a matter of separate unit of the blades (which I loved because another blender cup that had long ago, that do not could) and wash each piece by without leaving any residue not we can see. In the instruction"&amp;" book also are specified parts that can be put in the dishwasher. Another thing that you love me if only for aesthetics, is the lever of the speed control and indicator needle shows the speed of the blades in revolutions per minute. The truth is that all "&amp;"I can say about this device are good things. Perhaps the only thing that should be taken into account when deciding its acquisition is that it has a fairly generous dimensions, which is heavy (the pitcher is thick glass with a capacity of 1.5 l.) And do n"&amp;"ot need a mixer so great, maybe it can resultarnos somewhat cumbersome to handle. But that, in my opinion, is all that could be a negative because the rest think it's a wonderful product. I recommend a thousand times your purchase.")</f>
        <v>Total beauty'm more than happy with this blender. I'm a big fan of everything nice, and this apparatus before anything else is beautiful, with a capital. Its retro design could not be more right for a product like this, so in that sense has won me completely. Then there is the functionality. Its 800 watts allow us to crush everything, including ice, no problem. There Blenders with a higher power but honestly, I do not see the need for any site. With 800 watts have plenty to get fruit smoothies, sauces, gazpacho, cold soups or whatever comes to mind at a time, totally homogeneous, without having to be holding the device or by holding down the button as with blenders hand. On the other hand, cleaning is very simple. What is the basis simply needs to be a damp cloth and pass is perfect. And the pitcher is a matter of separate unit of the blades (which I loved because another blender cup that had long ago, that do not could) and wash each piece by without leaving any residue not we can see. In the instruction book also are specified parts that can be put in the dishwasher. Another thing that you love me if only for aesthetics, is the lever of the speed control and indicator needle shows the speed of the blades in revolutions per minute. The truth is that all I can say about this device are good things. Perhaps the only thing that should be taken into account when deciding its acquisition is that it has a fairly generous dimensions, which is heavy (the pitcher is thick glass with a capacity of 1.5 l.) And do not need a mixer so great, maybe it can resultarnos somewhat cumbersome to handle. But that, in my opinion, is all that could be a negative because the rest think it's a wonderful product. I recommend a thousand times your purchase.</v>
      </c>
    </row>
    <row r="2928">
      <c r="A2928" s="1">
        <v>5.0</v>
      </c>
      <c r="B2928" s="1" t="s">
        <v>2913</v>
      </c>
      <c r="C2928" t="str">
        <f>IFERROR(__xludf.DUMMYFUNCTION("GOOGLETRANSLATE(B2928, ""es"", ""en"")"),"Good product arrived on time and in good condition, good quality, durable after folding")</f>
        <v>Good product arrived on time and in good condition, good quality, durable after folding</v>
      </c>
    </row>
    <row r="2929">
      <c r="A2929" s="1">
        <v>5.0</v>
      </c>
      <c r="B2929" s="1" t="s">
        <v>2914</v>
      </c>
      <c r="C2929" t="str">
        <f>IFERROR(__xludf.DUMMYFUNCTION("GOOGLETRANSLATE(B2929, ""es"", ""en"")"),"The only use for photo honestly did not need that speed of writing, but for the price he preferred to invest in the future is not concerteza if I do not do something video, or timelapses, or bursts. To me it will be excellent in the FUJI XT2, I have not t"&amp;"ested megapixel cameras with sony A7R type ... I never failed me. Asique 5 stars.")</f>
        <v>The only use for photo honestly did not need that speed of writing, but for the price he preferred to invest in the future is not concerteza if I do not do something video, or timelapses, or bursts. To me it will be excellent in the FUJI XT2, I have not tested megapixel cameras with sony A7R type ... I never failed me. Asique 5 stars.</v>
      </c>
    </row>
    <row r="2930">
      <c r="A2930" s="1">
        <v>5.0</v>
      </c>
      <c r="B2930" s="1" t="s">
        <v>2915</v>
      </c>
      <c r="C2930" t="str">
        <f>IFERROR(__xludf.DUMMYFUNCTION("GOOGLETRANSLATE(B2930, ""es"", ""en"")"),"Super comfort comfortable and stretchy 100% cecomendable")</f>
        <v>Super comfort comfortable and stretchy 100% cecomendable</v>
      </c>
    </row>
    <row r="2931">
      <c r="A2931" s="1">
        <v>5.0</v>
      </c>
      <c r="B2931" s="1" t="s">
        <v>2916</v>
      </c>
      <c r="C2931" t="str">
        <f>IFERROR(__xludf.DUMMYFUNCTION("GOOGLETRANSLATE(B2931, ""es"", ""en"")"),"Good Very good quality")</f>
        <v>Good Very good quality</v>
      </c>
    </row>
    <row r="2932">
      <c r="A2932" s="1">
        <v>5.0</v>
      </c>
      <c r="B2932" s="1" t="s">
        <v>2917</v>
      </c>
      <c r="C2932" t="str">
        <f>IFERROR(__xludf.DUMMYFUNCTION("GOOGLETRANSLATE(B2932, ""es"", ""en"")"),"Beautiful!!! The necklace is lovely, delicate, elegant, has a small teddy bear :) closing the pendant is very nice, it stands far is glass with silver edges. I love it and carries Tous bag and certificate of guarantee. I am very happy :)")</f>
        <v>Beautiful!!! The necklace is lovely, delicate, elegant, has a small teddy bear :) closing the pendant is very nice, it stands far is glass with silver edges. I love it and carries Tous bag and certificate of guarantee. I am very happy :)</v>
      </c>
    </row>
    <row r="2933">
      <c r="A2933" s="1">
        <v>5.0</v>
      </c>
      <c r="B2933" s="1" t="s">
        <v>2918</v>
      </c>
      <c r="C2933" t="str">
        <f>IFERROR(__xludf.DUMMYFUNCTION("GOOGLETRANSLATE(B2933, ""es"", ""en"")"),"An honest opinion, highly recommended at this price Buy at the price of € 4.43 each, can not ask for more at this price, along with the SD adapter supplied and an important brand like Kingston. The camera used in Xiaomi action and are perfect. The velocit"&amp;"y is proportional to the product class (HC I - Class 10). Photos and movies recorded without slowing down or shoot. I recommend this card, at this price there is nothing better. I'm sorry if I do not write very well in Spanish but I'm Italian. This review"&amp;" is only the result of personal experience, as I have personally trained these cards and no one sent for free to write a positive review (s verified purchase). Therefore, if somehow I've helped in the purchase, indicate this review as helpful by clicking "&amp;"the button.")</f>
        <v>An honest opinion, highly recommended at this price Buy at the price of € 4.43 each, can not ask for more at this price, along with the SD adapter supplied and an important brand like Kingston. The camera used in Xiaomi action and are perfect. The velocity is proportional to the product class (HC I - Class 10). Photos and movies recorded without slowing down or shoot. I recommend this card, at this price there is nothing better. I'm sorry if I do not write very well in Spanish but I'm Italian. This review is only the result of personal experience, as I have personally trained these cards and no one sent for free to write a positive review (s verified purchase). Therefore, if somehow I've helped in the purchase, indicate this review as helpful by clicking the button.</v>
      </c>
    </row>
    <row r="2934">
      <c r="A2934" s="1">
        <v>5.0</v>
      </c>
      <c r="B2934" s="1" t="s">
        <v>2919</v>
      </c>
      <c r="C2934" t="str">
        <f>IFERROR(__xludf.DUMMYFUNCTION("GOOGLETRANSLATE(B2934, ""es"", ""en"")"),"Good presentation I love !! Buenisima quality price")</f>
        <v>Good presentation I love !! Buenisima quality price</v>
      </c>
    </row>
    <row r="2935">
      <c r="A2935" s="1">
        <v>5.0</v>
      </c>
      <c r="B2935" s="1" t="s">
        <v>2920</v>
      </c>
      <c r="C2935" t="str">
        <f>IFERROR(__xludf.DUMMYFUNCTION("GOOGLETRANSLATE(B2935, ""es"", ""en"")"),"Highly recommended for cold days is the best solution, you warm hands, bed and is great for any dolorcillo.El price and quality are great.")</f>
        <v>Highly recommended for cold days is the best solution, you warm hands, bed and is great for any dolorcillo.El price and quality are great.</v>
      </c>
    </row>
    <row r="2936">
      <c r="A2936" s="1">
        <v>5.0</v>
      </c>
      <c r="B2936" s="1" t="s">
        <v>2921</v>
      </c>
      <c r="C2936" t="str">
        <f>IFERROR(__xludf.DUMMYFUNCTION("GOOGLETRANSLATE(B2936, ""es"", ""en"")"),"Such high speed as described by the seller speed is excellent which is the main and goes perfectly on my Xiaomi mi8 so I am very happy.")</f>
        <v>Such high speed as described by the seller speed is excellent which is the main and goes perfectly on my Xiaomi mi8 so I am very happy.</v>
      </c>
    </row>
    <row r="2937">
      <c r="A2937" s="1">
        <v>5.0</v>
      </c>
      <c r="B2937" s="1" t="s">
        <v>2922</v>
      </c>
      <c r="C2937" t="str">
        <f>IFERROR(__xludf.DUMMYFUNCTION("GOOGLETRANSLATE(B2937, ""es"", ""en"")"),"Well does the job. Quality good price. Sound good. I recommend it")</f>
        <v>Well does the job. Quality good price. Sound good. I recommend it</v>
      </c>
    </row>
    <row r="2938">
      <c r="A2938" s="1">
        <v>5.0</v>
      </c>
      <c r="B2938" s="1" t="s">
        <v>2923</v>
      </c>
      <c r="C2938" t="str">
        <f>IFERROR(__xludf.DUMMYFUNCTION("GOOGLETRANSLATE(B2938, ""es"", ""en"")"),"Contenta with pruduct has a lot of space and capacity is not the first to buy and buy more and are very well")</f>
        <v>Contenta with pruduct has a lot of space and capacity is not the first to buy and buy more and are very well</v>
      </c>
    </row>
    <row r="2939">
      <c r="A2939" s="1">
        <v>5.0</v>
      </c>
      <c r="B2939" s="1" t="s">
        <v>2924</v>
      </c>
      <c r="C2939" t="str">
        <f>IFERROR(__xludf.DUMMYFUNCTION("GOOGLETRANSLATE(B2939, ""es"", ""en"")"),"Indispensable for money for my work eva rubber to give a perfect finish, I arrived earlier than expected and was able to complete the work and deliver sooner than expected")</f>
        <v>Indispensable for money for my work eva rubber to give a perfect finish, I arrived earlier than expected and was able to complete the work and deliver sooner than expected</v>
      </c>
    </row>
    <row r="2940">
      <c r="A2940" s="1">
        <v>5.0</v>
      </c>
      <c r="B2940" s="1" t="s">
        <v>2925</v>
      </c>
      <c r="C2940" t="str">
        <f>IFERROR(__xludf.DUMMYFUNCTION("GOOGLETRANSLATE(B2940, ""es"", ""en"")"),"perfect perfect")</f>
        <v>perfect perfect</v>
      </c>
    </row>
    <row r="2941">
      <c r="A2941" s="1">
        <v>5.0</v>
      </c>
      <c r="B2941" s="1" t="s">
        <v>2926</v>
      </c>
      <c r="C2941" t="str">
        <f>IFERROR(__xludf.DUMMYFUNCTION("GOOGLETRANSLATE(B2941, ""es"", ""en"")"),"How correctly described, satisfied")</f>
        <v>How correctly described, satisfied</v>
      </c>
    </row>
    <row r="2942">
      <c r="A2942" s="1">
        <v>5.0</v>
      </c>
      <c r="B2942" s="1" t="s">
        <v>2927</v>
      </c>
      <c r="C2942" t="str">
        <f>IFERROR(__xludf.DUMMYFUNCTION("GOOGLETRANSLATE(B2942, ""es"", ""en"")"),"Perfect!!! Very fast shipping and in perfect condition, it fulfills its mission and gives a superior quality audio, 1.5mm is more than enough for a lounge ""average"", with 2,5mm you risk not between good on you connectors ... speak for Logitech Z906.")</f>
        <v>Perfect!!! Very fast shipping and in perfect condition, it fulfills its mission and gives a superior quality audio, 1.5mm is more than enough for a lounge "average", with 2,5mm you risk not between good on you connectors ... speak for Logitech Z906.</v>
      </c>
    </row>
    <row r="2943">
      <c r="A2943" s="1">
        <v>5.0</v>
      </c>
      <c r="B2943" s="1" t="s">
        <v>2928</v>
      </c>
      <c r="C2943" t="str">
        <f>IFERROR(__xludf.DUMMYFUNCTION("GOOGLETRANSLATE(B2943, ""es"", ""en"")"),"A classic. I already had a watch like this with the black dial in my younger days and had the whim to have one again. It is perfect for women and very light. The size of the belt can be easily adjusted. The color of the dial and the combination with silve"&amp;"r belt I like a lot. I would buy")</f>
        <v>A classic. I already had a watch like this with the black dial in my younger days and had the whim to have one again. It is perfect for women and very light. The size of the belt can be easily adjusted. The color of the dial and the combination with silver belt I like a lot. I would buy</v>
      </c>
    </row>
    <row r="2944">
      <c r="A2944" s="1">
        <v>2.0</v>
      </c>
      <c r="B2944" s="1" t="s">
        <v>2929</v>
      </c>
      <c r="C2944" t="str">
        <f>IFERROR(__xludf.DUMMYFUNCTION("GOOGLETRANSLATE(B2944, ""es"", ""en"")"),"In conversation I did not hear very comfortable and plenty of battery life but in my case was not heard in the calls. I do not know if it will fail mine. But I returned him quickly and without problem. Very happy with the service received.")</f>
        <v>In conversation I did not hear very comfortable and plenty of battery life but in my case was not heard in the calls. I do not know if it will fail mine. But I returned him quickly and without problem. Very happy with the service received.</v>
      </c>
    </row>
    <row r="2945">
      <c r="A2945" s="1">
        <v>3.0</v>
      </c>
      <c r="B2945" s="1" t="s">
        <v>2930</v>
      </c>
      <c r="C2945" t="str">
        <f>IFERROR(__xludf.DUMMYFUNCTION("GOOGLETRANSLATE(B2945, ""es"", ""en"")"),"The small size is too small to carve that take into account normal shoe 37, grab one 39. Moreover the shoe is very cool")</f>
        <v>The small size is too small to carve that take into account normal shoe 37, grab one 39. Moreover the shoe is very cool</v>
      </c>
    </row>
    <row r="2946">
      <c r="A2946" s="1">
        <v>3.0</v>
      </c>
      <c r="B2946" s="1" t="s">
        <v>2931</v>
      </c>
      <c r="C2946" t="str">
        <f>IFERROR(__xludf.DUMMYFUNCTION("GOOGLETRANSLATE(B2946, ""es"", ""en"")"),"Very small are very tiny, to the wear them seem a mole")</f>
        <v>Very small are very tiny, to the wear them seem a mole</v>
      </c>
    </row>
    <row r="2947">
      <c r="A2947" s="1">
        <v>1.0</v>
      </c>
      <c r="B2947" s="1" t="s">
        <v>2932</v>
      </c>
      <c r="C2947" t="str">
        <f>IFERROR(__xludf.DUMMYFUNCTION("GOOGLETRANSLATE(B2947, ""es"", ""en"")"),"They break two months without great demands. Slippers very cool .... but are broken in two months, working as a professional driver means that they have not suffered much. No I'll buy this brand because they are of poor quality.")</f>
        <v>They break two months without great demands. Slippers very cool .... but are broken in two months, working as a professional driver means that they have not suffered much. No I'll buy this brand because they are of poor quality.</v>
      </c>
    </row>
    <row r="2948">
      <c r="A2948" s="1">
        <v>1.0</v>
      </c>
      <c r="B2948" s="1" t="s">
        <v>2933</v>
      </c>
      <c r="C2948" t="str">
        <f>IFERROR(__xludf.DUMMYFUNCTION("GOOGLETRANSLATE(B2948, ""es"", ""en"")"),"very small are small")</f>
        <v>very small are small</v>
      </c>
    </row>
    <row r="2949">
      <c r="A2949" s="1">
        <v>4.0</v>
      </c>
      <c r="B2949" s="1" t="s">
        <v>2934</v>
      </c>
      <c r="C2949" t="str">
        <f>IFERROR(__xludf.DUMMYFUNCTION("GOOGLETRANSLATE(B2949, ""es"", ""en"")"),"Pretty kettle The kettle works very nice and luxurious, the bad is that it takes me a couple of days longer than he owed, as it was premium.")</f>
        <v>Pretty kettle The kettle works very nice and luxurious, the bad is that it takes me a couple of days longer than he owed, as it was premium.</v>
      </c>
    </row>
    <row r="2950">
      <c r="A2950" s="1">
        <v>4.0</v>
      </c>
      <c r="B2950" s="1" t="s">
        <v>2935</v>
      </c>
      <c r="C2950" t="str">
        <f>IFERROR(__xludf.DUMMYFUNCTION("GOOGLETRANSLATE(B2950, ""es"", ""en"")"),"David Its value is optimal. Good adjustability, keeps moisture and sole behaves nobly on slippery surfaces. Durability surely be short. Since they have to withstand very extreme conditions (permanent moisture, continued movement and demanding, and saltpet"&amp;"er), but given my experience with this type of footwear, comfort and reliability is above durability. And its price compensates not have a very long life.")</f>
        <v>David Its value is optimal. Good adjustability, keeps moisture and sole behaves nobly on slippery surfaces. Durability surely be short. Since they have to withstand very extreme conditions (permanent moisture, continued movement and demanding, and saltpeter), but given my experience with this type of footwear, comfort and reliability is above durability. And its price compensates not have a very long life.</v>
      </c>
    </row>
    <row r="2951">
      <c r="A2951" s="1">
        <v>4.0</v>
      </c>
      <c r="B2951" s="1" t="s">
        <v>2936</v>
      </c>
      <c r="C2951" t="str">
        <f>IFERROR(__xludf.DUMMYFUNCTION("GOOGLETRANSLATE(B2951, ""es"", ""en"")"),"Muito bom bom Relógio muito.")</f>
        <v>Muito bom bom Relógio muito.</v>
      </c>
    </row>
    <row r="2952">
      <c r="A2952" s="1">
        <v>4.0</v>
      </c>
      <c r="B2952" s="1" t="s">
        <v>2937</v>
      </c>
      <c r="C2952" t="str">
        <f>IFERROR(__xludf.DUMMYFUNCTION("GOOGLETRANSLATE(B2952, ""es"", ""en"")"),"I love beautiful, the only but are a bit narrow in the toe for great rest, reference say that I walk the fine.")</f>
        <v>I love beautiful, the only but are a bit narrow in the toe for great rest, reference say that I walk the fine.</v>
      </c>
    </row>
    <row r="2953">
      <c r="A2953" s="1">
        <v>4.0</v>
      </c>
      <c r="B2953" s="1" t="s">
        <v>2938</v>
      </c>
      <c r="C2953" t="str">
        <f>IFERROR(__xludf.DUMMYFUNCTION("GOOGLETRANSLATE(B2953, ""es"", ""en"")"),"Highly recommended Since I received I have not had problems with noise level. The capacity is a little lower and all storage devices, but very good quality. And in my opinion, another point in its favor is the price. I recommend it.")</f>
        <v>Highly recommended Since I received I have not had problems with noise level. The capacity is a little lower and all storage devices, but very good quality. And in my opinion, another point in its favor is the price. I recommend it.</v>
      </c>
    </row>
    <row r="2954">
      <c r="A2954" s="1">
        <v>5.0</v>
      </c>
      <c r="B2954" s="1" t="s">
        <v>2939</v>
      </c>
      <c r="C2954" t="str">
        <f>IFERROR(__xludf.DUMMYFUNCTION("GOOGLETRANSLATE(B2954, ""es"", ""en"")"),"This massager lifting effect helps my penetrating creams, relax my muscles and relieves me a headache. I put it in the refrigerator before using.")</f>
        <v>This massager lifting effect helps my penetrating creams, relax my muscles and relieves me a headache. I put it in the refrigerator before using.</v>
      </c>
    </row>
    <row r="2955">
      <c r="A2955" s="1">
        <v>5.0</v>
      </c>
      <c r="B2955" s="1" t="s">
        <v>2940</v>
      </c>
      <c r="C2955" t="str">
        <f>IFERROR(__xludf.DUMMYFUNCTION("GOOGLETRANSLATE(B2955, ""es"", ""en"")"),"Fast delivery (earlier than expected) and correct product The product received corresponds to the displayed image. The size was expected according to size (large or small). Delivery was fast ... arriving sooner than expected.")</f>
        <v>Fast delivery (earlier than expected) and correct product The product received corresponds to the displayed image. The size was expected according to size (large or small). Delivery was fast ... arriving sooner than expected.</v>
      </c>
    </row>
    <row r="2956">
      <c r="A2956" s="1">
        <v>5.0</v>
      </c>
      <c r="B2956" s="1" t="s">
        <v>2941</v>
      </c>
      <c r="C2956" t="str">
        <f>IFERROR(__xludf.DUMMYFUNCTION("GOOGLETRANSLATE(B2956, ""es"", ""en"")"),"I loved and not me alone .... hehe ..... It's very cool to be clear way .... excellent quality ... buy the size that is what l use in other garments and perfect. ... comfortable ... dry very fast ... I stopped one of better quality than is ..... if you ha"&amp;"ve body wear it you will not regret ..... this really beautiful ...")</f>
        <v>I loved and not me alone .... hehe ..... It's very cool to be clear way .... excellent quality ... buy the size that is what l use in other garments and perfect. ... comfortable ... dry very fast ... I stopped one of better quality than is ..... if you have body wear it you will not regret ..... this really beautiful ...</v>
      </c>
    </row>
    <row r="2957">
      <c r="A2957" s="1">
        <v>5.0</v>
      </c>
      <c r="B2957" s="1" t="s">
        <v>2942</v>
      </c>
      <c r="C2957" t="str">
        <f>IFERROR(__xludf.DUMMYFUNCTION("GOOGLETRANSLATE(B2957, ""es"", ""en"")"),"Oscar is better than I expected I was surprised much more room price product quality recommend worth")</f>
        <v>Oscar is better than I expected I was surprised much more room price product quality recommend worth</v>
      </c>
    </row>
    <row r="2958">
      <c r="A2958" s="1">
        <v>5.0</v>
      </c>
      <c r="B2958" s="1" t="s">
        <v>2943</v>
      </c>
      <c r="C2958" t="str">
        <f>IFERROR(__xludf.DUMMYFUNCTION("GOOGLETRANSLATE(B2958, ""es"", ""en"")"),"Is everything as I bought it look good, they are good quality and taste my price even good enough to be bought in Spain. (I then seen the Gibraltar cheaper but ...) box is original, perfectly come individually wrapped with padding on the toe. Good buy.")</f>
        <v>Is everything as I bought it look good, they are good quality and taste my price even good enough to be bought in Spain. (I then seen the Gibraltar cheaper but ...) box is original, perfectly come individually wrapped with padding on the toe. Good buy.</v>
      </c>
    </row>
    <row r="2959">
      <c r="A2959" s="1">
        <v>5.0</v>
      </c>
      <c r="B2959" s="1" t="s">
        <v>2944</v>
      </c>
      <c r="C2959" t="str">
        <f>IFERROR(__xludf.DUMMYFUNCTION("GOOGLETRANSLATE(B2959, ""es"", ""en"")"),"Eco friendly 100%. 3 units very useful. Great! They come 3; 2 with the perfect size to put inside a shoe for ventilation and one for the room. I like everything natural and I feel great this invention to clean the air base bamboo charcoal. Even the exteri"&amp;"or material is natural. It is ""recharged"" by sunlight and says to throw him in the garden when you have finished your life: 100% eco friendly!")</f>
        <v>Eco friendly 100%. 3 units very useful. Great! They come 3; 2 with the perfect size to put inside a shoe for ventilation and one for the room. I like everything natural and I feel great this invention to clean the air base bamboo charcoal. Even the exterior material is natural. It is "recharged" by sunlight and says to throw him in the garden when you have finished your life: 100% eco friendly!</v>
      </c>
    </row>
    <row r="2960">
      <c r="A2960" s="1">
        <v>5.0</v>
      </c>
      <c r="B2960" s="1" t="s">
        <v>2945</v>
      </c>
      <c r="C2960" t="str">
        <f>IFERROR(__xludf.DUMMYFUNCTION("GOOGLETRANSLATE(B2960, ""es"", ""en"")"),"Perfect headset child. They arrived perfect. They are very pretty. nice touch. They are very lightweight and comfortable. As advertised. They are resistant to the way they have. They fit very well. The colors are attractive to children.")</f>
        <v>Perfect headset child. They arrived perfect. They are very pretty. nice touch. They are very lightweight and comfortable. As advertised. They are resistant to the way they have. They fit very well. The colors are attractive to children.</v>
      </c>
    </row>
    <row r="2961">
      <c r="A2961" s="1">
        <v>5.0</v>
      </c>
      <c r="B2961" s="1" t="s">
        <v>2946</v>
      </c>
      <c r="C2961" t="str">
        <f>IFERROR(__xludf.DUMMYFUNCTION("GOOGLETRANSLATE(B2961, ""es"", ""en"")"),"Good Rapido, all perfect")</f>
        <v>Good Rapido, all perfect</v>
      </c>
    </row>
    <row r="2962">
      <c r="A2962" s="1">
        <v>5.0</v>
      </c>
      <c r="B2962" s="1" t="s">
        <v>2947</v>
      </c>
      <c r="C2962" t="str">
        <f>IFERROR(__xludf.DUMMYFUNCTION("GOOGLETRANSLATE(B2962, ""es"", ""en"")"),"T-shirt to wear to gym doing sport. is well adjusted to the body, it is flexible and breathable. You can machine wash. Look at the table with measures to know what size to order.")</f>
        <v>T-shirt to wear to gym doing sport. is well adjusted to the body, it is flexible and breathable. You can machine wash. Look at the table with measures to know what size to order.</v>
      </c>
    </row>
    <row r="2963">
      <c r="A2963" s="1">
        <v>5.0</v>
      </c>
      <c r="B2963" s="1" t="s">
        <v>2948</v>
      </c>
      <c r="C2963" t="str">
        <f>IFERROR(__xludf.DUMMYFUNCTION("GOOGLETRANSLATE(B2963, ""es"", ""en"")"),"Very quiet For the price you have, it is fine. It is easy to use and has 7 colors each mode in bright and dim. I bought another humidifier very similar, with the most powerful lights, but it was water bubbles noise. This makes no noise, it seems a good bu"&amp;"y. Yes, to see how long it lasts, I have it for a week.")</f>
        <v>Very quiet For the price you have, it is fine. It is easy to use and has 7 colors each mode in bright and dim. I bought another humidifier very similar, with the most powerful lights, but it was water bubbles noise. This makes no noise, it seems a good buy. Yes, to see how long it lasts, I have it for a week.</v>
      </c>
    </row>
    <row r="2964">
      <c r="A2964" s="1">
        <v>5.0</v>
      </c>
      <c r="B2964" s="1" t="s">
        <v>2949</v>
      </c>
      <c r="C2964" t="str">
        <f>IFERROR(__xludf.DUMMYFUNCTION("GOOGLETRANSLATE(B2964, ""es"", ""en"")"),"White Album 22,5x22,5 I loved the album. It has 50 sheets for 200 photos 10x15 to insert into plastics. At the end dell all, a bag to put a CD. As negative perhaps (although it has not mattered to me) is that tapas are not very rigid and the inner leaves "&amp;"of the cases are somewhat soft as well.")</f>
        <v>White Album 22,5x22,5 I loved the album. It has 50 sheets for 200 photos 10x15 to insert into plastics. At the end dell all, a bag to put a CD. As negative perhaps (although it has not mattered to me) is that tapas are not very rigid and the inner leaves of the cases are somewhat soft as well.</v>
      </c>
    </row>
    <row r="2965">
      <c r="A2965" s="1">
        <v>5.0</v>
      </c>
      <c r="B2965" s="1" t="s">
        <v>2950</v>
      </c>
      <c r="C2965" t="str">
        <f>IFERROR(__xludf.DUMMYFUNCTION("GOOGLETRANSLATE(B2965, ""es"", ""en"")"),"A great quality, like all products of the brand I am a lover of teas and infusions, so this product seems like a maravilla.Y I have to admit I'm everything impartial as I can, but I love the products of this brand, so I have some difficulties because I'm "&amp;"quite a fan. In the box the product came the following: - Electric Kettle - Base with power cable - User Manual - Warranty Card This kettle or electric kettle, is made of stainless steel with heat insulating handle. The truth is that aesthetically has a s"&amp;"imple and discreet design, yet elegant, is in black with black. Has a capacity more than worthy of 1.7 liters with an output of 2400 vatios.Tiene measuring approximately 23,2x21,6x17,8 centimeters, it is somewhat smaller than I had and have the same capac"&amp;"ity water . The power button is right under the handle and a small lever with a red flag when in operation. Its use is very simple: connect the base to the outlet, fill the kettle with water until the amount need (always looking line not exceed ""max"", t"&amp;"hat is the 1.7 liter), we place on the base and press the power button to start heating. I love the detail of not having to be aware of the teapot, because once the water is hot and switches itself off. A positive point is that we can heat water for one c"&amp;"up, and indeed has a meter to heat water for two to three cups (a little red meter is located inside). Water for one cup heats in less than a minute. In addition, also has the positive point of the filter carrying the nozzle is removable and washable. I l"&amp;"oved the truth, although it is true that perhaps is a bit expensive for what it is, but the truth is that all I have this brand has great quality, and the final quality and beautiful design are paid.")</f>
        <v>A great quality, like all products of the brand I am a lover of teas and infusions, so this product seems like a maravilla.Y I have to admit I'm everything impartial as I can, but I love the products of this brand, so I have some difficulties because I'm quite a fan. In the box the product came the following: - Electric Kettle - Base with power cable - User Manual - Warranty Card This kettle or electric kettle, is made of stainless steel with heat insulating handle. The truth is that aesthetically has a simple and discreet design, yet elegant, is in black with black. Has a capacity more than worthy of 1.7 liters with an output of 2400 vatios.Tiene measuring approximately 23,2x21,6x17,8 centimeters, it is somewhat smaller than I had and have the same capacity water . The power button is right under the handle and a small lever with a red flag when in operation. Its use is very simple: connect the base to the outlet, fill the kettle with water until the amount need (always looking line not exceed "max", that is the 1.7 liter), we place on the base and press the power button to start heating. I love the detail of not having to be aware of the teapot, because once the water is hot and switches itself off. A positive point is that we can heat water for one cup, and indeed has a meter to heat water for two to three cups (a little red meter is located inside). Water for one cup heats in less than a minute. In addition, also has the positive point of the filter carrying the nozzle is removable and washable. I loved the truth, although it is true that perhaps is a bit expensive for what it is, but the truth is that all I have this brand has great quality, and the final quality and beautiful design are paid.</v>
      </c>
    </row>
    <row r="2966">
      <c r="A2966" s="1">
        <v>5.0</v>
      </c>
      <c r="B2966" s="1" t="s">
        <v>2951</v>
      </c>
      <c r="C2966" t="str">
        <f>IFERROR(__xludf.DUMMYFUNCTION("GOOGLETRANSLATE(B2966, ""es"", ""en"")"),"I like very much is expected, the classic CASIO watch. Very nice and works great at the moment I've bathed him without problems. I hope that as some stamina bathrooms pool because I want to use every day without take it off. The only downside I see is the"&amp;" size is a bit small, more style watches women, but it's like what we had in those days")</f>
        <v>I like very much is expected, the classic CASIO watch. Very nice and works great at the moment I've bathed him without problems. I hope that as some stamina bathrooms pool because I want to use every day without take it off. The only downside I see is the size is a bit small, more style watches women, but it's like what we had in those days</v>
      </c>
    </row>
    <row r="2967">
      <c r="A2967" s="1">
        <v>5.0</v>
      </c>
      <c r="B2967" s="1" t="s">
        <v>2952</v>
      </c>
      <c r="C2967" t="str">
        <f>IFERROR(__xludf.DUMMYFUNCTION("GOOGLETRANSLATE(B2967, ""es"", ""en"")"),"Good quality good quality and very practical, perfect for cooking quick and effortless")</f>
        <v>Good quality good quality and very practical, perfect for cooking quick and effortless</v>
      </c>
    </row>
    <row r="2968">
      <c r="A2968" s="1">
        <v>5.0</v>
      </c>
      <c r="B2968" s="1" t="s">
        <v>2953</v>
      </c>
      <c r="C2968" t="str">
        <f>IFERROR(__xludf.DUMMYFUNCTION("GOOGLETRANSLATE(B2968, ""es"", ""en"")"),"Just as I imagined all ok")</f>
        <v>Just as I imagined all ok</v>
      </c>
    </row>
    <row r="2969">
      <c r="A2969" s="1">
        <v>5.0</v>
      </c>
      <c r="B2969" s="1" t="s">
        <v>2954</v>
      </c>
      <c r="C2969" t="str">
        <f>IFERROR(__xludf.DUMMYFUNCTION("GOOGLETRANSLATE(B2969, ""es"", ""en"")"),"Good value is smaller and lighter than I thought. I have examined a program and its capacity is a Tera, as he had bought, and usage status is good. I think the price is very good and my son has been satisfied with the purchase")</f>
        <v>Good value is smaller and lighter than I thought. I have examined a program and its capacity is a Tera, as he had bought, and usage status is good. I think the price is very good and my son has been satisfied with the purchase</v>
      </c>
    </row>
    <row r="2970">
      <c r="A2970" s="1">
        <v>5.0</v>
      </c>
      <c r="B2970" s="1" t="s">
        <v>2955</v>
      </c>
      <c r="C2970" t="str">
        <f>IFERROR(__xludf.DUMMYFUNCTION("GOOGLETRANSLATE(B2970, ""es"", ""en"")"),"Very good adhesive glue high quality. And the packaging is undoubtedly the best of the market. It never is going to be obstructing big hole. The brush is lo.mejor. A product 10.")</f>
        <v>Very good adhesive glue high quality. And the packaging is undoubtedly the best of the market. It never is going to be obstructing big hole. The brush is lo.mejor. A product 10.</v>
      </c>
    </row>
    <row r="2971">
      <c r="A2971" s="1">
        <v>5.0</v>
      </c>
      <c r="B2971" s="1" t="s">
        <v>2956</v>
      </c>
      <c r="C2971" t="str">
        <f>IFERROR(__xludf.DUMMYFUNCTION("GOOGLETRANSLATE(B2971, ""es"", ""en"")"),"Very comfortable. They not released. Powerful sound. I bought them, after trying two other models, to play tennis. While others were falling all the time, they do not. IMPORTANT: If you adjust the small hook wires connecting the two just below your face a"&amp;"nd get a firmer subject to sudden head movements. The sound, as I read in other reviews, it's fucking serious, but sound great. What I have done is to purchase an app equalizer 10 tracks with adjustable bass and treble and much more (Poweramp) for 4 euros"&amp;" more, but worth it, although there are free too, as they insist that the sound it is serious and if you will use all the time and not just for sports for a while, it can be a bit annoying. The location of the buttons on the right ear is intuitive, simple"&amp;" to use and connects easily and quickly to bluetooth. Bring sponge pads, which although initially thought it would be more comfortable, at the end I left the rubber sponges bring default headphones. A few months ago I bought a Sennheiser CX 3.0 (cable) an"&amp;"d the truth is that these headphones MPOW give them many turns and a couple of euros less. I recommend purchase at 100%.")</f>
        <v>Very comfortable. They not released. Powerful sound. I bought them, after trying two other models, to play tennis. While others were falling all the time, they do not. IMPORTANT: If you adjust the small hook wires connecting the two just below your face and get a firmer subject to sudden head movements. The sound, as I read in other reviews, it's fucking serious, but sound great. What I have done is to purchase an app equalizer 10 tracks with adjustable bass and treble and much more (Poweramp) for 4 euros more, but worth it, although there are free too, as they insist that the sound it is serious and if you will use all the time and not just for sports for a while, it can be a bit annoying. The location of the buttons on the right ear is intuitive, simple to use and connects easily and quickly to bluetooth. Bring sponge pads, which although initially thought it would be more comfortable, at the end I left the rubber sponges bring default headphones. A few months ago I bought a Sennheiser CX 3.0 (cable) and the truth is that these headphones MPOW give them many turns and a couple of euros less. I recommend purchase at 100%.</v>
      </c>
    </row>
    <row r="2972">
      <c r="A2972" s="1">
        <v>2.0</v>
      </c>
      <c r="B2972" s="1" t="s">
        <v>2957</v>
      </c>
      <c r="C2972" t="str">
        <f>IFERROR(__xludf.DUMMYFUNCTION("GOOGLETRANSLATE(B2972, ""es"", ""en"")"),"Poor poor quality ""look"" curtres, thin ... plasticosas")</f>
        <v>Poor poor quality "look" curtres, thin ... plasticosas</v>
      </c>
    </row>
    <row r="2973">
      <c r="A2973" s="1">
        <v>3.0</v>
      </c>
      <c r="B2973" s="1" t="s">
        <v>2958</v>
      </c>
      <c r="C2973" t="str">
        <f>IFERROR(__xludf.DUMMYFUNCTION("GOOGLETRANSLATE(B2973, ""es"", ""en"")"),"Right Corrwcta considering the price either can not expect much more. I bought a small, no longer works after a week. The large works well, heated sufficiently and uniformly.")</f>
        <v>Right Corrwcta considering the price either can not expect much more. I bought a small, no longer works after a week. The large works well, heated sufficiently and uniformly.</v>
      </c>
    </row>
    <row r="2974">
      <c r="A2974" s="1">
        <v>3.0</v>
      </c>
      <c r="B2974" s="1" t="s">
        <v>2959</v>
      </c>
      <c r="C2974" t="str">
        <f>IFERROR(__xludf.DUMMYFUNCTION("GOOGLETRANSLATE(B2974, ""es"", ""en"")"),"It is not as optimal enough to have to make it look as you do at 2 or 3 washes remains a stain that is not readable name. and if some brands do not last many washings as saying.")</f>
        <v>It is not as optimal enough to have to make it look as you do at 2 or 3 washes remains a stain that is not readable name. and if some brands do not last many washings as saying.</v>
      </c>
    </row>
    <row r="2975">
      <c r="A2975" s="1">
        <v>1.0</v>
      </c>
      <c r="B2975" s="1" t="s">
        <v>2960</v>
      </c>
      <c r="C2975" t="str">
        <f>IFERROR(__xludf.DUMMYFUNCTION("GOOGLETRANSLATE(B2975, ""es"", ""en"")"),"BUY IT AS 5 star quality relationship IS NOT THAT I WISH I HAD QUALITY OF THIS PRODCTO, THE SCENT IS VERY LOW AND MIXING PONTECIA also very low")</f>
        <v>BUY IT AS 5 star quality relationship IS NOT THAT I WISH I HAD QUALITY OF THIS PRODCTO, THE SCENT IS VERY LOW AND MIXING PONTECIA also very low</v>
      </c>
    </row>
    <row r="2976">
      <c r="A2976" s="1">
        <v>1.0</v>
      </c>
      <c r="B2976" s="1" t="s">
        <v>2961</v>
      </c>
      <c r="C2976" t="str">
        <f>IFERROR(__xludf.DUMMYFUNCTION("GOOGLETRANSLATE(B2976, ""es"", ""en"")"),"It broke after sleazy used for 1 month only. Poor quality")</f>
        <v>It broke after sleazy used for 1 month only. Poor quality</v>
      </c>
    </row>
    <row r="2977">
      <c r="A2977" s="1">
        <v>1.0</v>
      </c>
      <c r="B2977" s="1" t="s">
        <v>2962</v>
      </c>
      <c r="C2977" t="str">
        <f>IFERROR(__xludf.DUMMYFUNCTION("GOOGLETRANSLATE(B2977, ""es"", ""en"")"),"Bag has not liked anything is like for girls")</f>
        <v>Bag has not liked anything is like for girls</v>
      </c>
    </row>
    <row r="2978">
      <c r="A2978" s="1">
        <v>4.0</v>
      </c>
      <c r="B2978" s="1" t="s">
        <v>2963</v>
      </c>
      <c r="C2978" t="str">
        <f>IFERROR(__xludf.DUMMYFUNCTION("GOOGLETRANSLATE(B2978, ""es"", ""en"")"),"Gift was a gift that had asked me and gladly. The color is like the photo and touch is nice. good capacity")</f>
        <v>Gift was a gift that had asked me and gladly. The color is like the photo and touch is nice. good capacity</v>
      </c>
    </row>
    <row r="2979">
      <c r="A2979" s="1">
        <v>4.0</v>
      </c>
      <c r="B2979" s="1" t="s">
        <v>2964</v>
      </c>
      <c r="C2979" t="str">
        <f>IFERROR(__xludf.DUMMYFUNCTION("GOOGLETRANSLATE(B2979, ""es"", ""en"")"),"Pick a size or height and a half Carve very fair, I took one more number and still are justitas. An average size for me and would have been ideal.")</f>
        <v>Pick a size or height and a half Carve very fair, I took one more number and still are justitas. An average size for me and would have been ideal.</v>
      </c>
    </row>
    <row r="2980">
      <c r="A2980" s="1">
        <v>4.0</v>
      </c>
      <c r="B2980" s="1" t="s">
        <v>2965</v>
      </c>
      <c r="C2980" t="str">
        <f>IFERROR(__xludf.DUMMYFUNCTION("GOOGLETRANSLATE(B2980, ""es"", ""en"")"),"Good design Very nice watch, the only downside is that the numbers being black screen is not much appreciated, otherwise perfect")</f>
        <v>Good design Very nice watch, the only downside is that the numbers being black screen is not much appreciated, otherwise perfect</v>
      </c>
    </row>
    <row r="2981">
      <c r="A2981" s="1">
        <v>4.0</v>
      </c>
      <c r="B2981" s="1" t="s">
        <v>2966</v>
      </c>
      <c r="C2981" t="str">
        <f>IFERROR(__xludf.DUMMYFUNCTION("GOOGLETRANSLATE(B2981, ""es"", ""en"")"),"Good juicer. This is a good juicer and very powerful. Only fault I find is that you need a fastening system that does not leave honking when working.")</f>
        <v>Good juicer. This is a good juicer and very powerful. Only fault I find is that you need a fastening system that does not leave honking when working.</v>
      </c>
    </row>
    <row r="2982">
      <c r="A2982" s="1">
        <v>4.0</v>
      </c>
      <c r="B2982" s="1" t="s">
        <v>2967</v>
      </c>
      <c r="C2982" t="str">
        <f>IFERROR(__xludf.DUMMYFUNCTION("GOOGLETRANSLATE(B2982, ""es"", ""en"")"),"Nice and good quality belt is a little tight for a ancha.Viene wrist with several sections to shorten and closing is safe and comfortable in finished steel. The pins are very fair, so I put the four stars .if it is true that brings parts and the presentat"&amp;"ion is good, but beware if you have a doll of 21 (which is mine) because there's nothing left")</f>
        <v>Nice and good quality belt is a little tight for a ancha.Viene wrist with several sections to shorten and closing is safe and comfortable in finished steel. The pins are very fair, so I put the four stars .if it is true that brings parts and the presentation is good, but beware if you have a doll of 21 (which is mine) because there's nothing left</v>
      </c>
    </row>
    <row r="2983">
      <c r="A2983" s="1">
        <v>5.0</v>
      </c>
      <c r="B2983" s="1" t="s">
        <v>2968</v>
      </c>
      <c r="C2983" t="str">
        <f>IFERROR(__xludf.DUMMYFUNCTION("GOOGLETRANSLATE(B2983, ""es"", ""en"")"),"Value Well done, and comfortable, weigh a little but very well")</f>
        <v>Value Well done, and comfortable, weigh a little but very well</v>
      </c>
    </row>
    <row r="2984">
      <c r="A2984" s="1">
        <v>5.0</v>
      </c>
      <c r="B2984" s="1" t="s">
        <v>2969</v>
      </c>
      <c r="C2984" t="str">
        <f>IFERROR(__xludf.DUMMYFUNCTION("GOOGLETRANSLATE(B2984, ""es"", ""en"")"),"Good service and fast Very nice design very practical and heats the water super fast shipping all very well")</f>
        <v>Good service and fast Very nice design very practical and heats the water super fast shipping all very well</v>
      </c>
    </row>
    <row r="2985">
      <c r="A2985" s="1">
        <v>5.0</v>
      </c>
      <c r="B2985" s="1" t="s">
        <v>2970</v>
      </c>
      <c r="C2985" t="str">
        <f>IFERROR(__xludf.DUMMYFUNCTION("GOOGLETRANSLATE(B2985, ""es"", ""en"")"),"There are very comfortable and are very comfortable")</f>
        <v>There are very comfortable and are very comfortable</v>
      </c>
    </row>
    <row r="2986">
      <c r="A2986" s="1">
        <v>5.0</v>
      </c>
      <c r="B2986" s="1" t="s">
        <v>2971</v>
      </c>
      <c r="C2986" t="str">
        <f>IFERROR(__xludf.DUMMYFUNCTION("GOOGLETRANSLATE(B2986, ""es"", ""en"")"),"Better than expected Q x the price so affordable I've bought my nephew and I xa Q You will love it. It works very well and is very intuitive and easy fun. See Q I just get the gift jijijiji")</f>
        <v>Better than expected Q x the price so affordable I've bought my nephew and I xa Q You will love it. It works very well and is very intuitive and easy fun. See Q I just get the gift jijijiji</v>
      </c>
    </row>
    <row r="2987">
      <c r="A2987" s="1">
        <v>5.0</v>
      </c>
      <c r="B2987" s="1" t="s">
        <v>2972</v>
      </c>
      <c r="C2987" t="str">
        <f>IFERROR(__xludf.DUMMYFUNCTION("GOOGLETRANSLATE(B2987, ""es"", ""en"")"),"Comfortable and warm, even use it to dress comfortable and warm, I use it to dress even")</f>
        <v>Comfortable and warm, even use it to dress comfortable and warm, I use it to dress even</v>
      </c>
    </row>
    <row r="2988">
      <c r="A2988" s="1">
        <v>5.0</v>
      </c>
      <c r="B2988" s="1" t="s">
        <v>2973</v>
      </c>
      <c r="C2988" t="str">
        <f>IFERROR(__xludf.DUMMYFUNCTION("GOOGLETRANSLATE(B2988, ""es"", ""en"")"),"time The set of options")</f>
        <v>time The set of options</v>
      </c>
    </row>
    <row r="2989">
      <c r="A2989" s="1">
        <v>5.0</v>
      </c>
      <c r="B2989" s="1" t="s">
        <v>2974</v>
      </c>
      <c r="C2989" t="str">
        <f>IFERROR(__xludf.DUMMYFUNCTION("GOOGLETRANSLATE(B2989, ""es"", ""en"")"),"Cool! Cool, super elastic, warm and comfortable. They give the exact size. I recommend it 100%. I'll buy clothing brand eata insurance.")</f>
        <v>Cool! Cool, super elastic, warm and comfortable. They give the exact size. I recommend it 100%. I'll buy clothing brand eata insurance.</v>
      </c>
    </row>
    <row r="2990">
      <c r="A2990" s="1">
        <v>5.0</v>
      </c>
      <c r="B2990" s="1" t="s">
        <v>2975</v>
      </c>
      <c r="C2990" t="str">
        <f>IFERROR(__xludf.DUMMYFUNCTION("GOOGLETRANSLATE(B2990, ""es"", ""en"")"),"Hit all with your purchase One of the best watches that I have in my collection for their incredible value. I recommend purchase for whom it is thinking.")</f>
        <v>Hit all with your purchase One of the best watches that I have in my collection for their incredible value. I recommend purchase for whom it is thinking.</v>
      </c>
    </row>
    <row r="2991">
      <c r="A2991" s="1">
        <v>5.0</v>
      </c>
      <c r="B2991" s="1" t="s">
        <v>2976</v>
      </c>
      <c r="C2991" t="str">
        <f>IFERROR(__xludf.DUMMYFUNCTION("GOOGLETRANSLATE(B2991, ""es"", ""en"")"),"Very good quality at a good price Incredibles, the sound is flat and crisp, buy it to use it with a Fiio-M3K and the couple is doing great. Includes a very stylish case in black, although perhaps just Pelin for size headphones, cables included are of very"&amp;" good quality and connection system with headphones is super effective for not disconnecting on yanking without want. Highly recommended.")</f>
        <v>Very good quality at a good price Incredibles, the sound is flat and crisp, buy it to use it with a Fiio-M3K and the couple is doing great. Includes a very stylish case in black, although perhaps just Pelin for size headphones, cables included are of very good quality and connection system with headphones is super effective for not disconnecting on yanking without want. Highly recommended.</v>
      </c>
    </row>
    <row r="2992">
      <c r="A2992" s="1">
        <v>5.0</v>
      </c>
      <c r="B2992" s="1" t="s">
        <v>2977</v>
      </c>
      <c r="C2992" t="str">
        <f>IFERROR(__xludf.DUMMYFUNCTION("GOOGLETRANSLATE(B2992, ""es"", ""en"")"),"Buy two beautiful ring as this one for my daughter and one for my daughter two contentisimas recommend buying such a nice ring")</f>
        <v>Buy two beautiful ring as this one for my daughter and one for my daughter two contentisimas recommend buying such a nice ring</v>
      </c>
    </row>
    <row r="2993">
      <c r="A2993" s="1">
        <v>5.0</v>
      </c>
      <c r="B2993" s="1" t="s">
        <v>2978</v>
      </c>
      <c r="C2993" t="str">
        <f>IFERROR(__xludf.DUMMYFUNCTION("GOOGLETRANSLATE(B2993, ""es"", ""en"")"),"Upgrade to having it in front quite honestly improvement to have him ahead. Sphere proper and elegant design. There is a good quality price relation. Strap good quality water-resistant, tested.")</f>
        <v>Upgrade to having it in front quite honestly improvement to have him ahead. Sphere proper and elegant design. There is a good quality price relation. Strap good quality water-resistant, tested.</v>
      </c>
    </row>
    <row r="2994">
      <c r="A2994" s="1">
        <v>5.0</v>
      </c>
      <c r="B2994" s="1" t="s">
        <v>2979</v>
      </c>
      <c r="C2994" t="str">
        <f>IFERROR(__xludf.DUMMYFUNCTION("GOOGLETRANSLATE(B2994, ""es"", ""en"")"),"Great watch is just what I needed, a robust clock to give me confidence to do cuakquier physical activity without concern that the clock broke, as I ran with others. It is true that the LED light does not illuminate the panel degital but the needles are p"&amp;"erfectly visible.")</f>
        <v>Great watch is just what I needed, a robust clock to give me confidence to do cuakquier physical activity without concern that the clock broke, as I ran with others. It is true that the LED light does not illuminate the panel degital but the needles are perfectly visible.</v>
      </c>
    </row>
    <row r="2995">
      <c r="A2995" s="1">
        <v>5.0</v>
      </c>
      <c r="B2995" s="1" t="s">
        <v>2980</v>
      </c>
      <c r="C2995" t="str">
        <f>IFERROR(__xludf.DUMMYFUNCTION("GOOGLETRANSLATE(B2995, ""es"", ""en"")"),"Victoria All right. I use to play paddle and do not move like those of other brands. I will repeat next.")</f>
        <v>Victoria All right. I use to play paddle and do not move like those of other brands. I will repeat next.</v>
      </c>
    </row>
    <row r="2996">
      <c r="A2996" s="1">
        <v>5.0</v>
      </c>
      <c r="B2996" s="1" t="s">
        <v>2981</v>
      </c>
      <c r="C2996" t="str">
        <f>IFERROR(__xludf.DUMMYFUNCTION("GOOGLETRANSLATE(B2996, ""es"", ""en"")"),"I used it a success for the candy bar baptism of my son and there was not one. I filled them with white anisitos and put them in a decorated wooden box. It was very nice.")</f>
        <v>I used it a success for the candy bar baptism of my son and there was not one. I filled them with white anisitos and put them in a decorated wooden box. It was very nice.</v>
      </c>
    </row>
    <row r="2997">
      <c r="A2997" s="1">
        <v>5.0</v>
      </c>
      <c r="B2997" s="1" t="s">
        <v>2982</v>
      </c>
      <c r="C2997" t="str">
        <f>IFERROR(__xludf.DUMMYFUNCTION("GOOGLETRANSLATE(B2997, ""es"", ""en"")"),"Value for money Ideal to make a nice gift. It is very smart and has a lot of stone that brings brightness")</f>
        <v>Value for money Ideal to make a nice gift. It is very smart and has a lot of stone that brings brightness</v>
      </c>
    </row>
    <row r="2998">
      <c r="A2998" s="1">
        <v>5.0</v>
      </c>
      <c r="B2998" s="1" t="s">
        <v>2983</v>
      </c>
      <c r="C2998" t="str">
        <f>IFERROR(__xludf.DUMMYFUNCTION("GOOGLETRANSLATE(B2998, ""es"", ""en"")"),"mouse mat I think this is not very good quality life for my taste a little thin")</f>
        <v>mouse mat I think this is not very good quality life for my taste a little thin</v>
      </c>
    </row>
    <row r="2999">
      <c r="A2999" s="1">
        <v>5.0</v>
      </c>
      <c r="B2999" s="1" t="s">
        <v>2984</v>
      </c>
      <c r="C2999" t="str">
        <f>IFERROR(__xludf.DUMMYFUNCTION("GOOGLETRANSLATE(B2999, ""es"", ""en"")"),"Ideal Ideal")</f>
        <v>Ideal Ideal</v>
      </c>
    </row>
    <row r="3000">
      <c r="A3000" s="1">
        <v>5.0</v>
      </c>
      <c r="B3000" s="1" t="s">
        <v>2985</v>
      </c>
      <c r="C3000" t="str">
        <f>IFERROR(__xludf.DUMMYFUNCTION("GOOGLETRANSLATE(B3000, ""es"", ""en"")"),"Blender with accessories and bowls. Hand mixer that comes with bowls, very comfortable to make the biscuit dough or whipping eggs or making juice for children.")</f>
        <v>Blender with accessories and bowls. Hand mixer that comes with bowls, very comfortable to make the biscuit dough or whipping eggs or making juice for children.</v>
      </c>
    </row>
    <row r="3001">
      <c r="A3001" s="1">
        <v>5.0</v>
      </c>
      <c r="B3001" s="1" t="s">
        <v>2986</v>
      </c>
      <c r="C3001" t="str">
        <f>IFERROR(__xludf.DUMMYFUNCTION("GOOGLETRANSLATE(B3001, ""es"", ""en"")"),"Slippers The product looks good, I tried it but the size is very fair so I chose to buy another pair and make the return, recommend ordering more numbers that you use")</f>
        <v>Slippers The product looks good, I tried it but the size is very fair so I chose to buy another pair and make the return, recommend ordering more numbers that you use</v>
      </c>
    </row>
    <row r="3002">
      <c r="A3002" s="1">
        <v>2.0</v>
      </c>
      <c r="B3002" s="1" t="s">
        <v>2987</v>
      </c>
      <c r="C3002" t="str">
        <f>IFERROR(__xludf.DUMMYFUNCTION("GOOGLETRANSLATE(B3002, ""es"", ""en"")"),"Small The photo does not it suggests that small.")</f>
        <v>Small The photo does not it suggests that small.</v>
      </c>
    </row>
    <row r="3003">
      <c r="A3003" s="1">
        <v>3.0</v>
      </c>
      <c r="B3003" s="1" t="s">
        <v>2988</v>
      </c>
      <c r="C3003" t="str">
        <f>IFERROR(__xludf.DUMMYFUNCTION("GOOGLETRANSLATE(B3003, ""es"", ""en"")"),"Rodemaca@gmail.com is a gift for someone you think will give very useful for his love of singing. The opinion must be given by that person when you have a chance to try.")</f>
        <v>Rodemaca@gmail.com is a gift for someone you think will give very useful for his love of singing. The opinion must be given by that person when you have a chance to try.</v>
      </c>
    </row>
    <row r="3004">
      <c r="A3004" s="1">
        <v>3.0</v>
      </c>
      <c r="B3004" s="1" t="s">
        <v>2989</v>
      </c>
      <c r="C3004" t="str">
        <f>IFERROR(__xludf.DUMMYFUNCTION("GOOGLETRANSLATE(B3004, ""es"", ""en"")"),"Elegant, strong and good quality watch is elegant and strong quality I give it 3 stars because the guarantee is not sealed")</f>
        <v>Elegant, strong and good quality watch is elegant and strong quality I give it 3 stars because the guarantee is not sealed</v>
      </c>
    </row>
    <row r="3005">
      <c r="A3005" s="1">
        <v>1.0</v>
      </c>
      <c r="B3005" s="1" t="s">
        <v>2990</v>
      </c>
      <c r="C3005" t="str">
        <f>IFERROR(__xludf.DUMMYFUNCTION("GOOGLETRANSLATE(B3005, ""es"", ""en"")"),"Material Barato Although I meet what I needed, the material is of poor quality and does not function calculator.")</f>
        <v>Material Barato Although I meet what I needed, the material is of poor quality and does not function calculator.</v>
      </c>
    </row>
    <row r="3006">
      <c r="A3006" s="1">
        <v>1.0</v>
      </c>
      <c r="B3006" s="1" t="s">
        <v>2991</v>
      </c>
      <c r="C3006" t="str">
        <f>IFERROR(__xludf.DUMMYFUNCTION("GOOGLETRANSLATE(B3006, ""es"", ""en"")"),"Poor quality for that price Big disappointment when received. They come in a plastic bag with Chinese letters, no box. When I had on hand they are plastic and smell it ... no skin. At the junction of the boot with the sole glue looked, I am convinced q I "&amp;"would have taken off a week and zipper snagged. Too bad ... I have I returned, and I tried them. good design, poor quality.")</f>
        <v>Poor quality for that price Big disappointment when received. They come in a plastic bag with Chinese letters, no box. When I had on hand they are plastic and smell it ... no skin. At the junction of the boot with the sole glue looked, I am convinced q I would have taken off a week and zipper snagged. Too bad ... I have I returned, and I tried them. good design, poor quality.</v>
      </c>
    </row>
    <row r="3007">
      <c r="A3007" s="1">
        <v>4.0</v>
      </c>
      <c r="B3007" s="1" t="s">
        <v>2992</v>
      </c>
      <c r="C3007" t="str">
        <f>IFERROR(__xludf.DUMMYFUNCTION("GOOGLETRANSLATE(B3007, ""es"", ""en"")"),"OK The metal is a bit dark. but they are comfortable.")</f>
        <v>OK The metal is a bit dark. but they are comfortable.</v>
      </c>
    </row>
    <row r="3008">
      <c r="A3008" s="1">
        <v>4.0</v>
      </c>
      <c r="B3008" s="1" t="s">
        <v>2993</v>
      </c>
      <c r="C3008" t="str">
        <f>IFERROR(__xludf.DUMMYFUNCTION("GOOGLETRANSLATE(B3008, ""es"", ""en"")"),"Operation meets the requirement does the job. On occasion it costs a little but convenient to connect to incorporate the camera wifi")</f>
        <v>Operation meets the requirement does the job. On occasion it costs a little but convenient to connect to incorporate the camera wifi</v>
      </c>
    </row>
    <row r="3009">
      <c r="A3009" s="1">
        <v>4.0</v>
      </c>
      <c r="B3009" s="1" t="s">
        <v>2994</v>
      </c>
      <c r="C3009" t="str">
        <f>IFERROR(__xludf.DUMMYFUNCTION("GOOGLETRANSLATE(B3009, ""es"", ""en"")"),"I like it comfortable, lightweight and meets expectations. The switch with long cable is fine to have it in bed. It desenfudable and the cover can be washed makes it more comfortable.")</f>
        <v>I like it comfortable, lightweight and meets expectations. The switch with long cable is fine to have it in bed. It desenfudable and the cover can be washed makes it more comfortable.</v>
      </c>
    </row>
    <row r="3010">
      <c r="A3010" s="1">
        <v>4.0</v>
      </c>
      <c r="B3010" s="1" t="s">
        <v>2995</v>
      </c>
      <c r="C3010" t="str">
        <f>IFERROR(__xludf.DUMMYFUNCTION("GOOGLETRANSLATE(B3010, ""es"", ""en"")"),"Pantall I use it for motorcycle microphone intercominicador")</f>
        <v>Pantall I use it for motorcycle microphone intercominicador</v>
      </c>
    </row>
    <row r="3011">
      <c r="A3011" s="1">
        <v>4.0</v>
      </c>
      <c r="B3011" s="1" t="s">
        <v>2996</v>
      </c>
      <c r="C3011" t="str">
        <f>IFERROR(__xludf.DUMMYFUNCTION("GOOGLETRANSLATE(B3011, ""es"", ""en"")"),"I like I like it, is like the picture, has a zipper protection or clavartelo not do you any chafe")</f>
        <v>I like I like it, is like the picture, has a zipper protection or clavartelo not do you any chafe</v>
      </c>
    </row>
    <row r="3012">
      <c r="A3012" s="1">
        <v>5.0</v>
      </c>
      <c r="B3012" s="1" t="s">
        <v>2997</v>
      </c>
      <c r="C3012" t="str">
        <f>IFERROR(__xludf.DUMMYFUNCTION("GOOGLETRANSLATE(B3012, ""es"", ""en"")"),"I recommend it has come too soon, it looks good and fits sizes.")</f>
        <v>I recommend it has come too soon, it looks good and fits sizes.</v>
      </c>
    </row>
    <row r="3013">
      <c r="A3013" s="1">
        <v>5.0</v>
      </c>
      <c r="B3013" s="1" t="s">
        <v>2998</v>
      </c>
      <c r="C3013" t="str">
        <f>IFERROR(__xludf.DUMMYFUNCTION("GOOGLETRANSLATE(B3013, ""es"", ""en"")"),"Fantastico I like it weighs little. gets no noise and when the water just turns itself I have it all night and going great")</f>
        <v>Fantastico I like it weighs little. gets no noise and when the water just turns itself I have it all night and going great</v>
      </c>
    </row>
    <row r="3014">
      <c r="A3014" s="1">
        <v>5.0</v>
      </c>
      <c r="B3014" s="1" t="s">
        <v>2999</v>
      </c>
      <c r="C3014" t="str">
        <f>IFERROR(__xludf.DUMMYFUNCTION("GOOGLETRANSLATE(B3014, ""es"", ""en"")"),"All right is the first time we use at home a device like this. And I was pleasantly surprised. It takes very little in boiling water. A ten")</f>
        <v>All right is the first time we use at home a device like this. And I was pleasantly surprised. It takes very little in boiling water. A ten</v>
      </c>
    </row>
    <row r="3015">
      <c r="A3015" s="1">
        <v>5.0</v>
      </c>
      <c r="B3015" s="1" t="s">
        <v>3000</v>
      </c>
      <c r="C3015" t="str">
        <f>IFERROR(__xludf.DUMMYFUNCTION("GOOGLETRANSLATE(B3015, ""es"", ""en"")"),"Anita sports bra is not the first time I buy Anita. The best brand bra big chest par. The sport is very comfortable for sports, sleep, take at home.")</f>
        <v>Anita sports bra is not the first time I buy Anita. The best brand bra big chest par. The sport is very comfortable for sports, sleep, take at home.</v>
      </c>
    </row>
    <row r="3016">
      <c r="A3016" s="1">
        <v>5.0</v>
      </c>
      <c r="B3016" s="1" t="s">
        <v>3001</v>
      </c>
      <c r="C3016" t="str">
        <f>IFERROR(__xludf.DUMMYFUNCTION("GOOGLETRANSLATE(B3016, ""es"", ""en"")"),"Magnifica value restaurant Coming from in-ear headphones, using a closed diadem has a certain adaptation process, once past few days from start to wonder why not use bought them before. The sound given is of very good quality, with good bass and crisp, th"&amp;"e foam is very comfortable and does not cause much fatigue to the after about 2 hours of use, the packaging is very right, with three wires of various lengths and bag transportation skin. A highly recommendable purchase")</f>
        <v>Magnifica value restaurant Coming from in-ear headphones, using a closed diadem has a certain adaptation process, once past few days from start to wonder why not use bought them before. The sound given is of very good quality, with good bass and crisp, the foam is very comfortable and does not cause much fatigue to the after about 2 hours of use, the packaging is very right, with three wires of various lengths and bag transportation skin. A highly recommendable purchase</v>
      </c>
    </row>
    <row r="3017">
      <c r="A3017" s="1">
        <v>5.0</v>
      </c>
      <c r="B3017" s="1" t="s">
        <v>3002</v>
      </c>
      <c r="C3017" t="str">
        <f>IFERROR(__xludf.DUMMYFUNCTION("GOOGLETRANSLATE(B3017, ""es"", ""en"")"),"Good quality and price Very nice buy for my granddaughter de5 years")</f>
        <v>Good quality and price Very nice buy for my granddaughter de5 years</v>
      </c>
    </row>
    <row r="3018">
      <c r="A3018" s="1">
        <v>5.0</v>
      </c>
      <c r="B3018" s="1" t="s">
        <v>3003</v>
      </c>
      <c r="C3018" t="str">
        <f>IFERROR(__xludf.DUMMYFUNCTION("GOOGLETRANSLATE(B3018, ""es"", ""en"")"),"Perfect just wants this bottle, and being Crystal is great.")</f>
        <v>Perfect just wants this bottle, and being Crystal is great.</v>
      </c>
    </row>
    <row r="3019">
      <c r="A3019" s="1">
        <v>5.0</v>
      </c>
      <c r="B3019" s="1" t="s">
        <v>3004</v>
      </c>
      <c r="C3019" t="str">
        <f>IFERROR(__xludf.DUMMYFUNCTION("GOOGLETRANSLATE(B3019, ""es"", ""en"")"),"Very good sweatshirt sweatshirt great price very good, well appreciated finish and quality, in addition to carrying a layer sheltering inside. The sizing in my perfect case Mido 1.76 and weight 77 kg and height M me is perfect.")</f>
        <v>Very good sweatshirt sweatshirt great price very good, well appreciated finish and quality, in addition to carrying a layer sheltering inside. The sizing in my perfect case Mido 1.76 and weight 77 kg and height M me is perfect.</v>
      </c>
    </row>
    <row r="3020">
      <c r="A3020" s="1">
        <v>5.0</v>
      </c>
      <c r="B3020" s="1" t="s">
        <v>3005</v>
      </c>
      <c r="C3020" t="str">
        <f>IFERROR(__xludf.DUMMYFUNCTION("GOOGLETRANSLATE(B3020, ""es"", ""en"")"),"Finishes, comfortable price and very warm jacket, with hair on the side of chest and back. It's nice and well finished and not seen to be of low quality, I liked it and I'm picky about clothes. Regarding the sizes, I measure 1.82 and weight 85kg, build st"&amp;"rong and no tummy, I usually use an L and here 3XL me is perfect a olgadita Pelin ideal for cycling without actually stretching sleeves and without being too big .")</f>
        <v>Finishes, comfortable price and very warm jacket, with hair on the side of chest and back. It's nice and well finished and not seen to be of low quality, I liked it and I'm picky about clothes. Regarding the sizes, I measure 1.82 and weight 85kg, build strong and no tummy, I usually use an L and here 3XL me is perfect a olgadita Pelin ideal for cycling without actually stretching sleeves and without being too big .</v>
      </c>
    </row>
    <row r="3021">
      <c r="A3021" s="1">
        <v>5.0</v>
      </c>
      <c r="B3021" s="1" t="s">
        <v>3006</v>
      </c>
      <c r="C3021" t="str">
        <f>IFERROR(__xludf.DUMMYFUNCTION("GOOGLETRANSLATE(B3021, ""es"", ""en"")"),"good fit and good compression good finish, with good pressure on the instep and ankle areas to help relax the foot and promote blood circulation. With good design. So if you are fine and for some sports like paddle, give a limited grip inside the shoe.")</f>
        <v>good fit and good compression good finish, with good pressure on the instep and ankle areas to help relax the foot and promote blood circulation. With good design. So if you are fine and for some sports like paddle, give a limited grip inside the shoe.</v>
      </c>
    </row>
    <row r="3022">
      <c r="A3022" s="1">
        <v>5.0</v>
      </c>
      <c r="B3022" s="1" t="s">
        <v>3007</v>
      </c>
      <c r="C3022" t="str">
        <f>IFERROR(__xludf.DUMMYFUNCTION("GOOGLETRANSLATE(B3022, ""es"", ""en"")"),"Siscutr Very good watch for, very happy with the price and nice watch, fast shipping hoping that last as long as the other I have")</f>
        <v>Siscutr Very good watch for, very happy with the price and nice watch, fast shipping hoping that last as long as the other I have</v>
      </c>
    </row>
    <row r="3023">
      <c r="A3023" s="1">
        <v>5.0</v>
      </c>
      <c r="B3023" s="1" t="s">
        <v>3008</v>
      </c>
      <c r="C3023" t="str">
        <f>IFERROR(__xludf.DUMMYFUNCTION("GOOGLETRANSLATE(B3023, ""es"", ""en"")"),"I like very much. My daughter is delighted with the book. And ami I find very interesting.")</f>
        <v>I like very much. My daughter is delighted with the book. And ami I find very interesting.</v>
      </c>
    </row>
    <row r="3024">
      <c r="A3024" s="1">
        <v>5.0</v>
      </c>
      <c r="B3024" s="1" t="s">
        <v>3009</v>
      </c>
      <c r="C3024" t="str">
        <f>IFERROR(__xludf.DUMMYFUNCTION("GOOGLETRANSLATE(B3024, ""es"", ""en"")"),"Good Good product")</f>
        <v>Good Good product</v>
      </c>
    </row>
    <row r="3025">
      <c r="A3025" s="1">
        <v>5.0</v>
      </c>
      <c r="B3025" s="1" t="s">
        <v>3010</v>
      </c>
      <c r="C3025" t="str">
        <f>IFERROR(__xludf.DUMMYFUNCTION("GOOGLETRANSLATE(B3025, ""es"", ""en"")"),"All very well design is very nice. Practical and my kids love to become the Colacao every day.")</f>
        <v>All very well design is very nice. Practical and my kids love to become the Colacao every day.</v>
      </c>
    </row>
    <row r="3026">
      <c r="A3026" s="1">
        <v>5.0</v>
      </c>
      <c r="B3026" s="1" t="s">
        <v>3011</v>
      </c>
      <c r="C3026" t="str">
        <f>IFERROR(__xludf.DUMMYFUNCTION("GOOGLETRANSLATE(B3026, ""es"", ""en"")"),"Fantastic! The watch comes perfectly wrapped and protected, with original box, warranty, etc ... It is as shown in the pictures! Maybe even better. It is the second watch brand G-Shock to buy through Amazon and have been delighted.")</f>
        <v>Fantastic! The watch comes perfectly wrapped and protected, with original box, warranty, etc ... It is as shown in the pictures! Maybe even better. It is the second watch brand G-Shock to buy through Amazon and have been delighted.</v>
      </c>
    </row>
    <row r="3027">
      <c r="A3027" s="1">
        <v>5.0</v>
      </c>
      <c r="B3027" s="1" t="s">
        <v>3012</v>
      </c>
      <c r="C3027" t="str">
        <f>IFERROR(__xludf.DUMMYFUNCTION("GOOGLETRANSLATE(B3027, ""es"", ""en"")"),"No fault exactly what it promises. more practical clock and guarantees of the market. He arrived in time and comes with the battery installed. I bought a Casio because I wanted a Casio and Casio is what I got and what I have since.")</f>
        <v>No fault exactly what it promises. more practical clock and guarantees of the market. He arrived in time and comes with the battery installed. I bought a Casio because I wanted a Casio and Casio is what I got and what I have since.</v>
      </c>
    </row>
    <row r="3028">
      <c r="A3028" s="1">
        <v>5.0</v>
      </c>
      <c r="B3028" s="1" t="s">
        <v>3013</v>
      </c>
      <c r="C3028" t="str">
        <f>IFERROR(__xludf.DUMMYFUNCTION("GOOGLETRANSLATE(B3028, ""es"", ""en"")"),"I love. It is perfect and very cómodo.me encantame")</f>
        <v>I love. It is perfect and very cómodo.me encantame</v>
      </c>
    </row>
    <row r="3029">
      <c r="A3029" s="1">
        <v>5.0</v>
      </c>
      <c r="B3029" s="1" t="s">
        <v>3014</v>
      </c>
      <c r="C3029" t="str">
        <f>IFERROR(__xludf.DUMMYFUNCTION("GOOGLETRANSLATE(B3029, ""es"", ""en"")"),"A great product at a great price. SUPER QUALITY, IS BRIGHT AND LASTING PRASTIFICACIÓN. BUT MAY DEPEND ON TYPE OF USE laminator, NOT ALL EQUAL WORK WELL.")</f>
        <v>A great product at a great price. SUPER QUALITY, IS BRIGHT AND LASTING PRASTIFICACIÓN. BUT MAY DEPEND ON TYPE OF USE laminator, NOT ALL EQUAL WORK WELL.</v>
      </c>
    </row>
    <row r="3030">
      <c r="A3030" s="1">
        <v>5.0</v>
      </c>
      <c r="B3030" s="1" t="s">
        <v>3015</v>
      </c>
      <c r="C3030" t="str">
        <f>IFERROR(__xludf.DUMMYFUNCTION("GOOGLETRANSLATE(B3030, ""es"", ""en"")"),"Sizes perfecro I used to tazos and metal gliders and go very well, do not go out and are of good quality")</f>
        <v>Sizes perfecro I used to tazos and metal gliders and go very well, do not go out and are of good quality</v>
      </c>
    </row>
    <row r="3031">
      <c r="A3031" s="1">
        <v>2.0</v>
      </c>
      <c r="B3031" s="1" t="s">
        <v>3016</v>
      </c>
      <c r="C3031" t="str">
        <f>IFERROR(__xludf.DUMMYFUNCTION("GOOGLETRANSLATE(B3031, ""es"", ""en"")"),"Not satisfied've finally had to buy another because with winter clothes and sleeping time was changed easily, the buttons are too sensitive to touch or movement of dolls and / or clothing.")</f>
        <v>Not satisfied've finally had to buy another because with winter clothes and sleeping time was changed easily, the buttons are too sensitive to touch or movement of dolls and / or clothing.</v>
      </c>
    </row>
    <row r="3032">
      <c r="A3032" s="1">
        <v>3.0</v>
      </c>
      <c r="B3032" s="1" t="s">
        <v>3017</v>
      </c>
      <c r="C3032" t="str">
        <f>IFERROR(__xludf.DUMMYFUNCTION("GOOGLETRANSLATE(B3032, ""es"", ""en"")"),"José María Well ... Not bad, expecting different, more like the picture, metal is more homely. But money ... not bad !!!")</f>
        <v>José María Well ... Not bad, expecting different, more like the picture, metal is more homely. But money ... not bad !!!</v>
      </c>
    </row>
    <row r="3033">
      <c r="A3033" s="1">
        <v>3.0</v>
      </c>
      <c r="B3033" s="1" t="s">
        <v>3018</v>
      </c>
      <c r="C3033" t="str">
        <f>IFERROR(__xludf.DUMMYFUNCTION("GOOGLETRANSLATE(B3033, ""es"", ""en"")"),"Well right")</f>
        <v>Well right</v>
      </c>
    </row>
    <row r="3034">
      <c r="A3034" s="1">
        <v>1.0</v>
      </c>
      <c r="B3034" s="1" t="s">
        <v>3019</v>
      </c>
      <c r="C3034" t="str">
        <f>IFERROR(__xludf.DUMMYFUNCTION("GOOGLETRANSLATE(B3034, ""es"", ""en"")"),"BAD LUCK?? Buy one WENT WRONG AND NOW IT SEEMS THAT THIS Or am outraged")</f>
        <v>BAD LUCK?? Buy one WENT WRONG AND NOW IT SEEMS THAT THIS Or am outraged</v>
      </c>
    </row>
    <row r="3035">
      <c r="A3035" s="1">
        <v>1.0</v>
      </c>
      <c r="B3035" s="1" t="s">
        <v>3020</v>
      </c>
      <c r="C3035" t="str">
        <f>IFERROR(__xludf.DUMMYFUNCTION("GOOGLETRANSLATE(B3035, ""es"", ""en"")"),"*** shoddy shoddy, I had to change cartridges being in half.")</f>
        <v>*** shoddy shoddy, I had to change cartridges being in half.</v>
      </c>
    </row>
    <row r="3036">
      <c r="A3036" s="1">
        <v>4.0</v>
      </c>
      <c r="B3036" s="1" t="s">
        <v>3021</v>
      </c>
      <c r="C3036" t="str">
        <f>IFERROR(__xludf.DUMMYFUNCTION("GOOGLETRANSLATE(B3036, ""es"", ""en"")"),"fast good capacity good price for the price it is going very well. It is quite fast and very discreet. the only problem is that surely the system to use a connector or the other end is failing because it seems to be very weak.")</f>
        <v>fast good capacity good price for the price it is going very well. It is quite fast and very discreet. the only problem is that surely the system to use a connector or the other end is failing because it seems to be very weak.</v>
      </c>
    </row>
    <row r="3037">
      <c r="A3037" s="1">
        <v>4.0</v>
      </c>
      <c r="B3037" s="1" t="s">
        <v>3022</v>
      </c>
      <c r="C3037" t="str">
        <f>IFERROR(__xludf.DUMMYFUNCTION("GOOGLETRANSLATE(B3037, ""es"", ""en"")"),"Boots with wedge Perfect !!! Comfort and style together lol")</f>
        <v>Boots with wedge Perfect !!! Comfort and style together lol</v>
      </c>
    </row>
    <row r="3038">
      <c r="A3038" s="1">
        <v>4.0</v>
      </c>
      <c r="B3038" s="1" t="s">
        <v>3023</v>
      </c>
      <c r="C3038" t="str">
        <f>IFERROR(__xludf.DUMMYFUNCTION("GOOGLETRANSLATE(B3038, ""es"", ""en"")"),"I liked the design that I find stylish design. Very easy to connect. Sound very good.")</f>
        <v>I liked the design that I find stylish design. Very easy to connect. Sound very good.</v>
      </c>
    </row>
    <row r="3039">
      <c r="A3039" s="1">
        <v>4.0</v>
      </c>
      <c r="B3039" s="1" t="s">
        <v>3024</v>
      </c>
      <c r="C3039" t="str">
        <f>IFERROR(__xludf.DUMMYFUNCTION("GOOGLETRANSLATE(B3039, ""es"", ""en"")"),"elegant version and daring the DW-5600 A nice version of the popular DW-5600, the most elegant and daring than the original model. Presentation box of metal, is simple and in line with the sporting spirit of the clock. The manual, in several languages, is"&amp;" very fair and terse, but it does. Finally the construction of the clock is correct, but the borders around the edge em Keypads are finished, and cao to wear very tight leash can cause a wound on his wrist. The set is resultón, but all offer and have purc"&amp;"hased something less than 70 €, it still seems a high price for this type of watch. Everything and that's an article well worth having as a classical piece, which appears in both movies (speed, Sgt iron, etc) and photographs from NASA space missions.")</f>
        <v>elegant version and daring the DW-5600 A nice version of the popular DW-5600, the most elegant and daring than the original model. Presentation box of metal, is simple and in line with the sporting spirit of the clock. The manual, in several languages, is very fair and terse, but it does. Finally the construction of the clock is correct, but the borders around the edge em Keypads are finished, and cao to wear very tight leash can cause a wound on his wrist. The set is resultón, but all offer and have purchased something less than 70 €, it still seems a high price for this type of watch. Everything and that's an article well worth having as a classical piece, which appears in both movies (speed, Sgt iron, etc) and photographs from NASA space missions.</v>
      </c>
    </row>
    <row r="3040">
      <c r="A3040" s="1">
        <v>5.0</v>
      </c>
      <c r="B3040" s="1" t="s">
        <v>3025</v>
      </c>
      <c r="C3040" t="str">
        <f>IFERROR(__xludf.DUMMYFUNCTION("GOOGLETRANSLATE(B3040, ""es"", ""en"")"),"Glass baby bottle is very clean i do well by gases")</f>
        <v>Glass baby bottle is very clean i do well by gases</v>
      </c>
    </row>
    <row r="3041">
      <c r="A3041" s="1">
        <v>5.0</v>
      </c>
      <c r="B3041" s="1" t="s">
        <v>3026</v>
      </c>
      <c r="C3041" t="str">
        <f>IFERROR(__xludf.DUMMYFUNCTION("GOOGLETRANSLATE(B3041, ""es"", ""en"")"),"Just what I needed, good quality price and just what I needed, good quality price")</f>
        <v>Just what I needed, good quality price and just what I needed, good quality price</v>
      </c>
    </row>
    <row r="3042">
      <c r="A3042" s="1">
        <v>5.0</v>
      </c>
      <c r="B3042" s="1" t="s">
        <v>3027</v>
      </c>
      <c r="C3042" t="str">
        <f>IFERROR(__xludf.DUMMYFUNCTION("GOOGLETRANSLATE(B3042, ""es"", ""en"")"),"This is the second pair I bought this brand and model sneakers Merrell overall for me the best I've had, in fact I have returned to a buy different color but same model as the previous ones along very agusto, comfortable and durable to the water without g"&amp;"etting moisture out, for me a 10.")</f>
        <v>This is the second pair I bought this brand and model sneakers Merrell overall for me the best I've had, in fact I have returned to a buy different color but same model as the previous ones along very agusto, comfortable and durable to the water without getting moisture out, for me a 10.</v>
      </c>
    </row>
    <row r="3043">
      <c r="A3043" s="1">
        <v>5.0</v>
      </c>
      <c r="B3043" s="1" t="s">
        <v>3028</v>
      </c>
      <c r="C3043" t="str">
        <f>IFERROR(__xludf.DUMMYFUNCTION("GOOGLETRANSLATE(B3043, ""es"", ""en"")"),"Good product, good service. The product according to the description, the size is the same as Converse normally use.")</f>
        <v>Good product, good service. The product according to the description, the size is the same as Converse normally use.</v>
      </c>
    </row>
    <row r="3044">
      <c r="A3044" s="1">
        <v>5.0</v>
      </c>
      <c r="B3044" s="1" t="s">
        <v>3029</v>
      </c>
      <c r="C3044" t="str">
        <f>IFERROR(__xludf.DUMMYFUNCTION("GOOGLETRANSLATE(B3044, ""es"", ""en"")"),"Great, cool")</f>
        <v>Great, cool</v>
      </c>
    </row>
    <row r="3045">
      <c r="A3045" s="1">
        <v>5.0</v>
      </c>
      <c r="B3045" s="1" t="s">
        <v>3030</v>
      </c>
      <c r="C3045" t="str">
        <f>IFERROR(__xludf.DUMMYFUNCTION("GOOGLETRANSLATE(B3045, ""es"", ""en"")"),"As I expected I expected, neither more nor less, looks good quality nice touch. Buy very correct. a greeting")</f>
        <v>As I expected I expected, neither more nor less, looks good quality nice touch. Buy very correct. a greeting</v>
      </c>
    </row>
    <row r="3046">
      <c r="A3046" s="1">
        <v>5.0</v>
      </c>
      <c r="B3046" s="1" t="s">
        <v>3031</v>
      </c>
      <c r="C3046" t="str">
        <f>IFERROR(__xludf.DUMMYFUNCTION("GOOGLETRANSLATE(B3046, ""es"", ""en"")"),"I ordered a size too perfect for the comments but I still bigger, I'm not sorry for what I have left me and n are out. I have el.pie width can someone else will come out fine if you have the walk. They are great, very light and do not hurt your feet. Very"&amp;" happy the recomiendo.😊")</f>
        <v>I ordered a size too perfect for the comments but I still bigger, I'm not sorry for what I have left me and n are out. I have el.pie width can someone else will come out fine if you have the walk. They are great, very light and do not hurt your feet. Very happy the recomiendo.😊</v>
      </c>
    </row>
    <row r="3047">
      <c r="A3047" s="1">
        <v>5.0</v>
      </c>
      <c r="B3047" s="1" t="s">
        <v>3032</v>
      </c>
      <c r="C3047" t="str">
        <f>IFERROR(__xludf.DUMMYFUNCTION("GOOGLETRANSLATE(B3047, ""es"", ""en"")"),"Fits smoothly is a good cover for microphone, fits perfectly without problem, makes use antipop when recording environment.")</f>
        <v>Fits smoothly is a good cover for microphone, fits perfectly without problem, makes use antipop when recording environment.</v>
      </c>
    </row>
    <row r="3048">
      <c r="A3048" s="1">
        <v>5.0</v>
      </c>
      <c r="B3048" s="1" t="s">
        <v>3033</v>
      </c>
      <c r="C3048" t="str">
        <f>IFERROR(__xludf.DUMMYFUNCTION("GOOGLETRANSLATE(B3048, ""es"", ""en"")"),"Very good at the beginning but then it becomes rare is very nice and comfortable")</f>
        <v>Very good at the beginning but then it becomes rare is very nice and comfortable</v>
      </c>
    </row>
    <row r="3049">
      <c r="A3049" s="1">
        <v>5.0</v>
      </c>
      <c r="B3049" s="1" t="s">
        <v>3034</v>
      </c>
      <c r="C3049" t="str">
        <f>IFERROR(__xludf.DUMMYFUNCTION("GOOGLETRANSLATE(B3049, ""es"", ""en"")"),"It is very elegant and shines brightly is very nice")</f>
        <v>It is very elegant and shines brightly is very nice</v>
      </c>
    </row>
    <row r="3050">
      <c r="A3050" s="1">
        <v>5.0</v>
      </c>
      <c r="B3050" s="1" t="s">
        <v>3035</v>
      </c>
      <c r="C3050" t="str">
        <f>IFERROR(__xludf.DUMMYFUNCTION("GOOGLETRANSLATE(B3050, ""es"", ""en"")"),"Full size Excellent value for money.")</f>
        <v>Full size Excellent value for money.</v>
      </c>
    </row>
    <row r="3051">
      <c r="A3051" s="1">
        <v>5.0</v>
      </c>
      <c r="B3051" s="1" t="s">
        <v>3036</v>
      </c>
      <c r="C3051" t="str">
        <f>IFERROR(__xludf.DUMMYFUNCTION("GOOGLETRANSLATE(B3051, ""es"", ""en"")"),"It has exceeded my expectations. It has worked better than expected. He had previously tried other mics slightly inferior quality, but in principle were not bad and always made it a bit of parasite background. I even think it was something of the plate so"&amp;" I had no hopes for a new device. It has exceeded my expectations now recording a Nitica hear form without the tedious parasite background. In my case I'm with a team with the Linux Mint operating system (equivalent to Ubuntu 18.04), so Linux users - at l"&amp;"east in my case - they should work properly. The gizmo is bigger than I expected (somewhat impressed the first time you see it), the weight does have very good stability. For those who move a lot of the same it is not so practical (by weight and volume), "&amp;"but in my case that's unimportant.")</f>
        <v>It has exceeded my expectations. It has worked better than expected. He had previously tried other mics slightly inferior quality, but in principle were not bad and always made it a bit of parasite background. I even think it was something of the plate so I had no hopes for a new device. It has exceeded my expectations now recording a Nitica hear form without the tedious parasite background. In my case I'm with a team with the Linux Mint operating system (equivalent to Ubuntu 18.04), so Linux users - at least in my case - they should work properly. The gizmo is bigger than I expected (somewhat impressed the first time you see it), the weight does have very good stability. For those who move a lot of the same it is not so practical (by weight and volume), but in my case that's unimportant.</v>
      </c>
    </row>
    <row r="3052">
      <c r="A3052" s="1">
        <v>5.0</v>
      </c>
      <c r="B3052" s="1" t="s">
        <v>3037</v>
      </c>
      <c r="C3052" t="str">
        <f>IFERROR(__xludf.DUMMYFUNCTION("GOOGLETRANSLATE(B3052, ""es"", ""en"")"),"Super perfect for my son. Good finishes and proper operation. The truth is that the user is happy with it.")</f>
        <v>Super perfect for my son. Good finishes and proper operation. The truth is that the user is happy with it.</v>
      </c>
    </row>
    <row r="3053">
      <c r="A3053" s="1">
        <v>5.0</v>
      </c>
      <c r="B3053" s="1" t="s">
        <v>3038</v>
      </c>
      <c r="C3053" t="str">
        <f>IFERROR(__xludf.DUMMYFUNCTION("GOOGLETRANSLATE(B3053, ""es"", ""en"")"),"Very beautiful and elegant necklace me a very nice and elegant looking, the truth is that it is the best I've had, the only disadvantage and had is that if you are allergic to bad metals, do not recommend it, because obviously it is no noble metal, but ot"&amp;"herwise 10")</f>
        <v>Very beautiful and elegant necklace me a very nice and elegant looking, the truth is that it is the best I've had, the only disadvantage and had is that if you are allergic to bad metals, do not recommend it, because obviously it is no noble metal, but otherwise 10</v>
      </c>
    </row>
    <row r="3054">
      <c r="A3054" s="1">
        <v>5.0</v>
      </c>
      <c r="B3054" s="1" t="s">
        <v>3039</v>
      </c>
      <c r="C3054" t="str">
        <f>IFERROR(__xludf.DUMMYFUNCTION("GOOGLETRANSLATE(B3054, ""es"", ""en"")"),"Go for it ... or buy it! Definitely my first purchase with Amazon has fulfilled exceeded my expectations, very fast data copy! I'm using it on my Xbox 360 and is ideal for film ... consoles and for a great price!")</f>
        <v>Go for it ... or buy it! Definitely my first purchase with Amazon has fulfilled exceeded my expectations, very fast data copy! I'm using it on my Xbox 360 and is ideal for film ... consoles and for a great price!</v>
      </c>
    </row>
    <row r="3055">
      <c r="A3055" s="1">
        <v>5.0</v>
      </c>
      <c r="B3055" s="1" t="s">
        <v>3040</v>
      </c>
      <c r="C3055" t="str">
        <f>IFERROR(__xludf.DUMMYFUNCTION("GOOGLETRANSLATE(B3055, ""es"", ""en"")"),"pendant fine chain")</f>
        <v>pendant fine chain</v>
      </c>
    </row>
    <row r="3056">
      <c r="A3056" s="1">
        <v>5.0</v>
      </c>
      <c r="B3056" s="1" t="s">
        <v>3041</v>
      </c>
      <c r="C3056" t="str">
        <f>IFERROR(__xludf.DUMMYFUNCTION("GOOGLETRANSLATE(B3056, ""es"", ""en"")"),"As I expected! As is the original that came in the box to buying mobile !!!! Have hands free and I love the piquito having the handset as it is more comfortable than the all round !!! Another advantage? The price !!")</f>
        <v>As I expected! As is the original that came in the box to buying mobile !!!! Have hands free and I love the piquito having the handset as it is more comfortable than the all round !!! Another advantage? The price !!</v>
      </c>
    </row>
    <row r="3057">
      <c r="A3057" s="1">
        <v>5.0</v>
      </c>
      <c r="B3057" s="1" t="s">
        <v>3042</v>
      </c>
      <c r="C3057" t="str">
        <f>IFERROR(__xludf.DUMMYFUNCTION("GOOGLETRANSLATE(B3057, ""es"", ""en"")"),"Very happy and resistant Value are the best I've had (and have tried many since I continually break) and finishing headphones metallic appearance give it a lot. The micro button works well and very comfortable, the audio quality for the price is more than"&amp;" good. Despite not having resistance I can say that I accidentally fell into the washing machine and still work perfectly !! Things that could be improved would be the cable could be like ""cord"" because the truth that closely bundled and also the fact t"&amp;"hat only has one button does not allow volume up and down songs. The official xiaomi the physical store I could find cheaper.")</f>
        <v>Very happy and resistant Value are the best I've had (and have tried many since I continually break) and finishing headphones metallic appearance give it a lot. The micro button works well and very comfortable, the audio quality for the price is more than good. Despite not having resistance I can say that I accidentally fell into the washing machine and still work perfectly !! Things that could be improved would be the cable could be like "cord" because the truth that closely bundled and also the fact that only has one button does not allow volume up and down songs. The official xiaomi the physical store I could find cheaper.</v>
      </c>
    </row>
    <row r="3058">
      <c r="A3058" s="1">
        <v>2.0</v>
      </c>
      <c r="B3058" s="1" t="s">
        <v>3043</v>
      </c>
      <c r="C3058" t="str">
        <f>IFERROR(__xludf.DUMMYFUNCTION("GOOGLETRANSLATE(B3058, ""es"", ""en"")"),"Colors disappear quickly despite having used enough, and I really liked the colors when purchased (months) now I'm realizing that vinyl exposed to outside, and cars and stuff like that, the colors whitish being almost completely off almost colorless, with"&amp;" just two months stuck, a pity the truth, because the price is very good, now I know why")</f>
        <v>Colors disappear quickly despite having used enough, and I really liked the colors when purchased (months) now I'm realizing that vinyl exposed to outside, and cars and stuff like that, the colors whitish being almost completely off almost colorless, with just two months stuck, a pity the truth, because the price is very good, now I know why</v>
      </c>
    </row>
    <row r="3059">
      <c r="A3059" s="1">
        <v>3.0</v>
      </c>
      <c r="B3059" s="1" t="s">
        <v>3044</v>
      </c>
      <c r="C3059" t="str">
        <f>IFERROR(__xludf.DUMMYFUNCTION("GOOGLETRANSLATE(B3059, ""es"", ""en"")"),"Disappointed not going very well and the smell is not very pleasant loose")</f>
        <v>Disappointed not going very well and the smell is not very pleasant loose</v>
      </c>
    </row>
    <row r="3060">
      <c r="A3060" s="1">
        <v>1.0</v>
      </c>
      <c r="B3060" s="1" t="s">
        <v>3045</v>
      </c>
      <c r="C3060" t="str">
        <f>IFERROR(__xludf.DUMMYFUNCTION("GOOGLETRANSLATE(B3060, ""es"", ""en"")"),"Stops working after two months ... hard to reclaim Amazon If you know, I do not buy here. It is the great advantage of buying local physical stores.")</f>
        <v>Stops working after two months ... hard to reclaim Amazon If you know, I do not buy here. It is the great advantage of buying local physical stores.</v>
      </c>
    </row>
    <row r="3061">
      <c r="A3061" s="1">
        <v>1.0</v>
      </c>
      <c r="B3061" s="1" t="s">
        <v>3046</v>
      </c>
      <c r="C3061" t="str">
        <f>IFERROR(__xludf.DUMMYFUNCTION("GOOGLETRANSLATE(B3061, ""es"", ""en"")"),"the casio watch is not what I expected. Open Packaging Packaging get me open, and it was not at all what I expected. I want to return and I will not let")</f>
        <v>the casio watch is not what I expected. Open Packaging Packaging get me open, and it was not at all what I expected. I want to return and I will not let</v>
      </c>
    </row>
    <row r="3062">
      <c r="A3062" s="1">
        <v>4.0</v>
      </c>
      <c r="B3062" s="1" t="s">
        <v>3047</v>
      </c>
      <c r="C3062" t="str">
        <f>IFERROR(__xludf.DUMMYFUNCTION("GOOGLETRANSLATE(B3062, ""es"", ""en"")"),"right it is very good as advertised, well heated, does its function to heat trapeze doing very well, serves for other areas")</f>
        <v>right it is very good as advertised, well heated, does its function to heat trapeze doing very well, serves for other areas</v>
      </c>
    </row>
    <row r="3063">
      <c r="A3063" s="1">
        <v>4.0</v>
      </c>
      <c r="B3063" s="1" t="s">
        <v>3048</v>
      </c>
      <c r="C3063" t="str">
        <f>IFERROR(__xludf.DUMMYFUNCTION("GOOGLETRANSLATE(B3063, ""es"", ""en"")"),"A detail unbeatable price a good presence and well finished, priced very tight.")</f>
        <v>A detail unbeatable price a good presence and well finished, priced very tight.</v>
      </c>
    </row>
    <row r="3064">
      <c r="A3064" s="1">
        <v>4.0</v>
      </c>
      <c r="B3064" s="1" t="s">
        <v>3049</v>
      </c>
      <c r="C3064" t="str">
        <f>IFERROR(__xludf.DUMMYFUNCTION("GOOGLETRANSLATE(B3064, ""es"", ""en"")"),"More durable than others generally in me like this product. I see it more resistant than those in turn (spiral and have had lasted me very little) l. Pegas: Pelin is a more awkward to use and that part to the teats does not serve much longer than having n"&amp;"o brush is not cleaned well. We must insist much to get the dregs of milk are sometimes. In fact for teats brush I use one that I chiquitín.")</f>
        <v>More durable than others generally in me like this product. I see it more resistant than those in turn (spiral and have had lasted me very little) l. Pegas: Pelin is a more awkward to use and that part to the teats does not serve much longer than having no brush is not cleaned well. We must insist much to get the dregs of milk are sometimes. In fact for teats brush I use one that I chiquitín.</v>
      </c>
    </row>
    <row r="3065">
      <c r="A3065" s="1">
        <v>4.0</v>
      </c>
      <c r="B3065" s="1" t="s">
        <v>3050</v>
      </c>
      <c r="C3065" t="str">
        <f>IFERROR(__xludf.DUMMYFUNCTION("GOOGLETRANSLATE(B3065, ""es"", ""en"")"),"Quality is a very strong footwear, waterproof, comfortable and is eternal. It is my third pair, even though previous use their appearance does not look new. RECOMMENDABLE!!!!")</f>
        <v>Quality is a very strong footwear, waterproof, comfortable and is eternal. It is my third pair, even though previous use their appearance does not look new. RECOMMENDABLE!!!!</v>
      </c>
    </row>
    <row r="3066">
      <c r="A3066" s="1">
        <v>4.0</v>
      </c>
      <c r="B3066" s="1" t="s">
        <v>3051</v>
      </c>
      <c r="C3066" t="str">
        <f>IFERROR(__xludf.DUMMYFUNCTION("GOOGLETRANSLATE(B3066, ""es"", ""en"")"),"Happy with the purchase price / quality ratio is very good. The shakes are perfect.")</f>
        <v>Happy with the purchase price / quality ratio is very good. The shakes are perfect.</v>
      </c>
    </row>
    <row r="3067">
      <c r="A3067" s="1">
        <v>5.0</v>
      </c>
      <c r="B3067" s="1" t="s">
        <v>3052</v>
      </c>
      <c r="C3067" t="str">
        <f>IFERROR(__xludf.DUMMYFUNCTION("GOOGLETRANSLATE(B3067, ""es"", ""en"")"),"Very good very good. It looks good quality")</f>
        <v>Very good very good. It looks good quality</v>
      </c>
    </row>
    <row r="3068">
      <c r="A3068" s="1">
        <v>5.0</v>
      </c>
      <c r="B3068" s="1" t="s">
        <v>3053</v>
      </c>
      <c r="C3068" t="str">
        <f>IFERROR(__xludf.DUMMYFUNCTION("GOOGLETRANSLATE(B3068, ""es"", ""en"")"),"Very comfortable, good quality very comfortable shoes. Good materials and finishes in my opinion.")</f>
        <v>Very comfortable, good quality very comfortable shoes. Good materials and finishes in my opinion.</v>
      </c>
    </row>
    <row r="3069">
      <c r="A3069" s="1">
        <v>5.0</v>
      </c>
      <c r="B3069" s="1" t="s">
        <v>3054</v>
      </c>
      <c r="C3069" t="str">
        <f>IFERROR(__xludf.DUMMYFUNCTION("GOOGLETRANSLATE(B3069, ""es"", ""en"")"),"Util used it to label the boxes and cans, packages etc cards")</f>
        <v>Util used it to label the boxes and cans, packages etc cards</v>
      </c>
    </row>
    <row r="3070">
      <c r="A3070" s="1">
        <v>5.0</v>
      </c>
      <c r="B3070" s="1" t="s">
        <v>3055</v>
      </c>
      <c r="C3070" t="str">
        <f>IFERROR(__xludf.DUMMYFUNCTION("GOOGLETRANSLATE(B3070, ""es"", ""en"")"),"Sound spectacular at a bargain price !!!!! Ago while spending headphones come this brand and I can say that are really good. So I decided to try these In-ear Airpod type of Apple and after use I can say that they have nothing to envy Apple headphones. The"&amp;" sound is very very good, perfect bass. It also comes with pads in different sizes to suit your comfort. I said, totally recommend it to anyone who wants a headset with a really great price and an even better sound.")</f>
        <v>Sound spectacular at a bargain price !!!!! Ago while spending headphones come this brand and I can say that are really good. So I decided to try these In-ear Airpod type of Apple and after use I can say that they have nothing to envy Apple headphones. The sound is very very good, perfect bass. It also comes with pads in different sizes to suit your comfort. I said, totally recommend it to anyone who wants a headset with a really great price and an even better sound.</v>
      </c>
    </row>
    <row r="3071">
      <c r="A3071" s="1">
        <v>5.0</v>
      </c>
      <c r="B3071" s="1" t="s">
        <v>3056</v>
      </c>
      <c r="C3071" t="str">
        <f>IFERROR(__xludf.DUMMYFUNCTION("GOOGLETRANSLATE(B3071, ""es"", ""en"")"),"Texture with leaves shakes is best, finite, finite !!! The only thing I did not like was that the recipe book is in French. For nowhere in Castilian or English.")</f>
        <v>Texture with leaves shakes is best, finite, finite !!! The only thing I did not like was that the recipe book is in French. For nowhere in Castilian or English.</v>
      </c>
    </row>
    <row r="3072">
      <c r="A3072" s="1">
        <v>5.0</v>
      </c>
      <c r="B3072" s="1" t="s">
        <v>3057</v>
      </c>
      <c r="C3072" t="str">
        <f>IFERROR(__xludf.DUMMYFUNCTION("GOOGLETRANSLATE(B3072, ""es"", ""en"")"),"Good. Good.")</f>
        <v>Good. Good.</v>
      </c>
    </row>
    <row r="3073">
      <c r="A3073" s="1">
        <v>5.0</v>
      </c>
      <c r="B3073" s="1" t="s">
        <v>3058</v>
      </c>
      <c r="C3073" t="str">
        <f>IFERROR(__xludf.DUMMYFUNCTION("GOOGLETRANSLATE(B3073, ""es"", ""en"")"),"It is worth good quality, I decided on this after making several comparisons and opinions decantarme made me this. I do not regret is just what I wanted and not make any noise and so far have not had any problems. A wise purchase")</f>
        <v>It is worth good quality, I decided on this after making several comparisons and opinions decantarme made me this. I do not regret is just what I wanted and not make any noise and so far have not had any problems. A wise purchase</v>
      </c>
    </row>
    <row r="3074">
      <c r="A3074" s="1">
        <v>5.0</v>
      </c>
      <c r="B3074" s="1" t="s">
        <v>3059</v>
      </c>
      <c r="C3074" t="str">
        <f>IFERROR(__xludf.DUMMYFUNCTION("GOOGLETRANSLATE(B3074, ""es"", ""en"")"),"Good material good material and comfortable place")</f>
        <v>Good material good material and comfortable place</v>
      </c>
    </row>
    <row r="3075">
      <c r="A3075" s="1">
        <v>5.0</v>
      </c>
      <c r="B3075" s="1" t="s">
        <v>3060</v>
      </c>
      <c r="C3075" t="str">
        <f>IFERROR(__xludf.DUMMYFUNCTION("GOOGLETRANSLATE(B3075, ""es"", ""en"")"),"Perfect well. Maybe a little smaller would have been enough. But it's my choice.")</f>
        <v>Perfect well. Maybe a little smaller would have been enough. But it's my choice.</v>
      </c>
    </row>
    <row r="3076">
      <c r="A3076" s="1">
        <v>5.0</v>
      </c>
      <c r="B3076" s="1" t="s">
        <v>3061</v>
      </c>
      <c r="C3076" t="str">
        <f>IFERROR(__xludf.DUMMYFUNCTION("GOOGLETRANSLATE(B3076, ""es"", ""en"")"),"comfortable shoes super comfortable slippers and very nice and weigh nothing seems to be wearing the very good buy shoes set")</f>
        <v>comfortable shoes super comfortable slippers and very nice and weigh nothing seems to be wearing the very good buy shoes set</v>
      </c>
    </row>
    <row r="3077">
      <c r="A3077" s="1">
        <v>5.0</v>
      </c>
      <c r="B3077" s="1" t="s">
        <v>3062</v>
      </c>
      <c r="C3077" t="str">
        <f>IFERROR(__xludf.DUMMYFUNCTION("GOOGLETRANSLATE(B3077, ""es"", ""en"")"),"Very practical The order has arrived perfect and on time. Handle sponges are very practical and we have not been broken, so I recommend!")</f>
        <v>Very practical The order has arrived perfect and on time. Handle sponges are very practical and we have not been broken, so I recommend!</v>
      </c>
    </row>
    <row r="3078">
      <c r="A3078" s="1">
        <v>5.0</v>
      </c>
      <c r="B3078" s="1" t="s">
        <v>3063</v>
      </c>
      <c r="C3078" t="str">
        <f>IFERROR(__xludf.DUMMYFUNCTION("GOOGLETRANSLATE(B3078, ""es"", ""en"")"),"Apple quality helmets 10. The only problem may be the price. But if you do not mind that for these helmets are very good for day to day, nothing professional from my point of view. My sister is the first generation and this year we decided to give them to"&amp;" my father. They seemed bullshit, has more wireless headphones but these are happy.")</f>
        <v>Apple quality helmets 10. The only problem may be the price. But if you do not mind that for these helmets are very good for day to day, nothing professional from my point of view. My sister is the first generation and this year we decided to give them to my father. They seemed bullshit, has more wireless headphones but these are happy.</v>
      </c>
    </row>
    <row r="3079">
      <c r="A3079" s="1">
        <v>5.0</v>
      </c>
      <c r="B3079" s="1" t="s">
        <v>3064</v>
      </c>
      <c r="C3079" t="str">
        <f>IFERROR(__xludf.DUMMYFUNCTION("GOOGLETRANSLATE(B3079, ""es"", ""en"")"),"good minipack I bought to replace a reticule small man. It is very comfortable to wear, enough space to carry, mobile, wallet, accessories, a book or tablet, keys and a sandwich if you want. The materials are of very good quality. Not a backpack, the abil"&amp;"ity think are about 4l. Has many pockets and shoulder type it, with a single handle, makes it more comfortable to wear (to put on and remove). I recommend it if you are carrying backpacks with a single handle, and do not need to be very large.")</f>
        <v>good minipack I bought to replace a reticule small man. It is very comfortable to wear, enough space to carry, mobile, wallet, accessories, a book or tablet, keys and a sandwich if you want. The materials are of very good quality. Not a backpack, the ability think are about 4l. Has many pockets and shoulder type it, with a single handle, makes it more comfortable to wear (to put on and remove). I recommend it if you are carrying backpacks with a single handle, and do not need to be very large.</v>
      </c>
    </row>
    <row r="3080">
      <c r="A3080" s="1">
        <v>5.0</v>
      </c>
      <c r="B3080" s="1" t="s">
        <v>3065</v>
      </c>
      <c r="C3080" t="str">
        <f>IFERROR(__xludf.DUMMYFUNCTION("GOOGLETRANSLATE(B3080, ""es"", ""en"")"),"Just what i was looking for!!! It does exactly what I needed, in any Word document, going from page to page ... or goes down while holding down, which frees you hands like home, to continue playing guitar, while raisins leaf in the score from the pedal, c"&amp;"onnected via Bluetooth, and has not given me a single fault")</f>
        <v>Just what i was looking for!!! It does exactly what I needed, in any Word document, going from page to page ... or goes down while holding down, which frees you hands like home, to continue playing guitar, while raisins leaf in the score from the pedal, connected via Bluetooth, and has not given me a single fault</v>
      </c>
    </row>
    <row r="3081">
      <c r="A3081" s="1">
        <v>5.0</v>
      </c>
      <c r="B3081" s="1" t="s">
        <v>3066</v>
      </c>
      <c r="C3081" t="str">
        <f>IFERROR(__xludf.DUMMYFUNCTION("GOOGLETRANSLATE(B3081, ""es"", ""en"")"),"Good were broken me several more expensive staplers (petrus, ...) due to heavy use with children. It resists this time of bien.y is good material. Price very tight")</f>
        <v>Good were broken me several more expensive staplers (petrus, ...) due to heavy use with children. It resists this time of bien.y is good material. Price very tight</v>
      </c>
    </row>
    <row r="3082">
      <c r="A3082" s="1">
        <v>5.0</v>
      </c>
      <c r="B3082" s="1" t="s">
        <v>3067</v>
      </c>
      <c r="C3082" t="str">
        <f>IFERROR(__xludf.DUMMYFUNCTION("GOOGLETRANSLATE(B3082, ""es"", ""en"")"),"THE QUALITY zapatilllas are as expected, very good quality and superb service. Thank you very much.")</f>
        <v>THE QUALITY zapatilllas are as expected, very good quality and superb service. Thank you very much.</v>
      </c>
    </row>
    <row r="3083">
      <c r="A3083" s="1">
        <v>5.0</v>
      </c>
      <c r="B3083" s="1" t="s">
        <v>3068</v>
      </c>
      <c r="C3083" t="str">
        <f>IFERROR(__xludf.DUMMYFUNCTION("GOOGLETRANSLATE(B3083, ""es"", ""en"")"),"It notes that headphones are quality Spectacular is a wonderful sound they give. Rivaling those of major brands. The sound is amazing, clear and enveloping. Bind very fast. You can talk to them and hear very well.")</f>
        <v>It notes that headphones are quality Spectacular is a wonderful sound they give. Rivaling those of major brands. The sound is amazing, clear and enveloping. Bind very fast. You can talk to them and hear very well.</v>
      </c>
    </row>
    <row r="3084">
      <c r="A3084" s="1">
        <v>5.0</v>
      </c>
      <c r="B3084" s="1" t="s">
        <v>3069</v>
      </c>
      <c r="C3084" t="str">
        <f>IFERROR(__xludf.DUMMYFUNCTION("GOOGLETRANSLATE(B3084, ""es"", ""en"")"),"The power of this good produccto is very good with this offer I got a terrific product at a bargain price. It has many useful for the confectioner appropriate")</f>
        <v>The power of this good produccto is very good with this offer I got a terrific product at a bargain price. It has many useful for the confectioner appropriate</v>
      </c>
    </row>
    <row r="3085">
      <c r="A3085" s="1">
        <v>5.0</v>
      </c>
      <c r="B3085" s="1" t="s">
        <v>3070</v>
      </c>
      <c r="C3085" t="str">
        <f>IFERROR(__xludf.DUMMYFUNCTION("GOOGLETRANSLATE(B3085, ""es"", ""en"")"),"What I was looking &lt;div id = ""video-block-R2N8WC67TNMIZF"" class = ""section a-a-a-spacing-small spacing-top-video mini-block""&gt; &lt;div tabindex = ""0"" class = ""airy airy- svg vmin-unsupported airy-skin-beacon ""style ="" background-color: rgb (0, 0, 0) "&amp;"position: relative; width: 100%; height: 100%; font-size: 0px; overflow: hidden; outline: none; ""&gt; &lt;div class ="" airy-renderer-container ""style ="" position: relative; height: 100%; width: 100%; ""&gt; &lt;video id ="" 15 ""preload ="" auto ""src = ""https:/"&amp;"/m.media-amazon.com/images/I/A1wtGS-lETS.mp4"" style = ""position: absolute; left: 0px; top: 0px; overflow: hidden; height: 1px; width: 1px; ""&gt; &lt;/ video&gt; &lt;/ div&gt; &lt;div id ="" airy-slate-preload ""style ="" background-color: rgb (0, 0, 0); background-image"&amp;": url (&amp; quot; https: // m .media-amazon.com / images / I / 61LYdwDqT1S.png &amp; quot;); background-size: Contain; background-position: center center; background-repeat: no-repeat; position: absolute; top: 0px; left: 0px; visibility: visible; width: 100%; he"&amp;"ight: 100%; ""&gt; &lt;/ div&gt; &lt;iframe scrolling ="" no ""frameborder ="" 0 ""src = ""About: blank"" style = ""display: none;""&gt; &lt;/ iframe&gt; &lt;div tabindex = ""- 1"" class = ""airy-controls-container"" style = ""opacity: 0; visibility: hidden; ""&gt; &lt;div tabindex ="&amp;""" - 1 ""class ="" airy-screen-size-toggle airy-fullscreen ""&gt; &lt;/ div&gt; &lt;div tabindex ="" - 1 ""class ="" airy-container-bottom "" &gt; &lt;div tabindex = ""- 1"" class = ""airy-track-bar-spacer-left"" style = ""width: 11px;""&gt; &lt;/ div&gt; &lt;div tabindex = ""- 1"" cl"&amp;"ass = ""airy-play- airy toggle-play ""style ="" width: 12px; margin-right: 12px; ""&gt; &lt;/ div&gt; &lt;div tabindex ="" - 1 ""class ="" airy-audio-elements ""style ="" float: right; width: 34px; ""&gt; &lt;div tabindex ="" - 1 ""class ="" airy-audio-toggle airy-on ""&gt; &lt;"&amp;"/ div&gt; &lt;div tabindex ="" - 1 ""class ="" airy-audio-container ""style = ""opacity: 0; visibility: hidden; ""&gt; &lt;div tabindex ="" - 1 ""class ="" airy-audio-track-bar ""style ="" height: 80%; ""&gt; &lt;div tabindex ="" - 1 ""class ="" airy-audio- Scrubber-bar """&amp;"style ="" height: 85%; ""&gt; &lt;/ div&gt; &lt;div tabindex ="" - 1 ""class ="" airy-audio-scrubber ""style ="" height: 12px; bottom 85% ""&gt; &lt;/ div&gt; &lt;/ div&gt; &lt;/ div&gt; &lt;/ div&gt; &lt;div tabindex ="" - 1 ""class ="" airy-duration-label ""style ="" float: right; width: 26px; "&amp;"margin-right: 4px; text-align: center; ""&gt; 0:00 &lt;/ div&gt; &lt;div tabindex ="" - 1 ""class ="" airy-track-bar-spacer-right ""style ="" float: right; width: 11px; ""&gt; &lt;/ div&gt; &lt;div tabindex ="" - 1 ""class ="" airy-track-bar-container ""style ="" margin-left: 35"&amp;"px; margin-right: 75px; ""&gt; &lt;div tabindex ="" - 1 ""class ="" airy-airy-track-bar vertically-centering-table ""&gt; &lt;div tabindex ="" - 1 ""class ="" airy-Vertical-centering- table-cell ""&gt; &lt;div tabindex ="" - 1 ""class ="" airy-track-bar-elements ""&gt; &lt;div t"&amp;"abindex ="" - 1 ""class ="" airy-progress-bar ""&gt; &lt;/ div&gt; &lt;div tabindex = ""- 1"" class = ""airy-scrubber-bar""&gt; &lt;/ div&gt; &lt;div tabindex = ""- 1"" class = ""airy-scrubber""&gt; &lt;div tabindex = ""- 1"" class = ""airy-scrubber- icon ""&gt; &lt;/ div&gt; &lt;div tabindex ="""&amp;" - 1 ""class ="" airy-adjusted-AUI-tooltip ""style ="" opacity: 0; visibility: hidden; ""&gt; &lt;div tabindex ="" - 1 ""class ="" airy-adjusted-aui-tooltip-inner ""&gt; &lt;div tabindex ="" - 1 ""class ="" airy-current-time-label ""&gt; 0: 00 &lt;/ div&gt; &lt;/ div&gt; &lt;div tabin"&amp;"dex = ""- 1"" class = ""airy-adjusted-AUI-arrow-border""&gt; &lt;div tabindex = ""- 1"" class = ""airy-adjusted-AUI-arrow"" &gt; &lt;/ div&gt; &lt;/ div&gt; &lt;/ div&gt; &lt;/ div&gt; &lt;/ div&gt; &lt;/ div&gt; &lt;/ div&gt; &lt;/ div&gt; &lt;/ div&gt; &lt;/ div&gt; &lt;div tabindex = ""- 1"" class = ""airy-age-gate airy-st"&amp;"age airy-Vertical-centering-table airy-dialog"" style = ""opacity: 0; visibility: hidden; ""&gt; &lt;div tabindex ="" - 1 ""class ="" airy-age-gate-Vertical-centering-table-cell airy-Vertical-centering-table-cell ""&gt; &lt;div tabindex ="" - 1 ""class = ""airy-Verti"&amp;"cal-centering-wrapper airy-age-gate-elements-wrapper""&gt; &lt;div tabindex = ""- 1"" class = ""airy-age-gate-elements airy-dialog-elements""&gt; &lt;div tabindex = "" -1 ""class ="" airy-age-gate-prompt ""&gt; This video is not Intended for all audiences What date were"&amp;" you born &lt;/ div&gt; &lt;div tabindex =.?"" - 1 ""class ="" airy-age-gate -inputs airy-dialog-inner-elements ""&gt; &lt;select tabindex ="" - 1 ""class ="" airy-age-gate-month ""&gt; &lt;option value ="" 1 ""&gt; January &lt;/ option&gt; &lt;option value ="" 2 ""&gt; February &lt;/ option&gt; "&amp;"&lt;option value ="" 3 ""&gt; March &lt;/ option&gt; &lt;option value ="" 4 ""&gt; April &lt;/ option&gt; &lt;option value ="" 5 ""&gt; May &lt;/ option&gt; &lt;option value = ""6""&gt; June &lt;/ option&gt; &lt;option value = ""7""&gt; July &lt;/ option&gt; &lt;option value = ""8""&gt; August &lt;/ option&gt; &lt;option value ="&amp;" ""9""&gt; September &lt;/ option&gt; &lt;option value = ""10""&gt; October &lt;/ option&gt; &lt;option value = ""11""&gt; November &lt;/ option&gt; &lt;option value = ""12""&gt; December &lt;/ option&gt; &lt;/ select&gt; &lt;select tabindex = ""- 1"" class = ""airy-age-gate-day""&gt; &lt;opti on value = ""1""&gt; 1 "&amp;"&lt;/ option&gt; &lt;option value = ""2""&gt; 2 &lt;/ option&gt; &lt;option value = ""3""&gt; 3 &lt;/ option&gt; &lt;option value = ""4""&gt; 4 &lt;/ option &gt; &lt;option value = ""5""&gt; 5 &lt;/ option&gt; &lt;option value = ""6""&gt; 6 &lt;/ option&gt; &lt;option value = ""7""&gt; 7 &lt;/ option&gt; &lt;option value = ""8""&gt; 8 &lt; "&amp;"/ option&gt; &lt;option value = ""9""&gt; 9 &lt;/ option&gt; &lt;option value = ""10""&gt; 10 &lt;/ option&gt; &lt;option value = ""11""&gt; 11 &lt;/ option&gt; &lt;option value = ""12""&gt; 12 &lt;/ option&gt; &lt;option value = ""13""&gt; 13 &lt;/ option&gt; &lt;option value = ""14""&gt; 14 &lt;/ option&gt; &lt;option value = ""1"&amp;"5""&gt; 15 &lt;/ option&gt; &lt;option value = ""16 ""&gt; 16 &lt;/ option&gt; &lt;option value ="" 17 ""&gt; 17 &lt;/ option&gt; &lt;option value ="" 18 ""&gt; 18 &lt;/ option&gt; &lt;option value ="" 19 ""&gt; 19 &lt;/ option&gt; &lt;option value = ""20""&gt; 20 &lt;/ option&gt; &lt;option value = ""21""&gt; 21 &lt;/ option&gt; &lt;opt"&amp;"ion value = ""22""&gt; 22 &lt;/ option&gt; &lt;option value = ""23""&gt; 23 &lt;/ option&gt; &lt;option value = ""24""&gt; 24 &lt;/ option&gt; &lt;option value = ""25""&gt; 25 &lt;/ option&gt; &lt;option value = ""26""&gt; 26 &lt;/ option&gt; &lt;option value = ""27""&gt; 27 &lt;/ option&gt; &lt;option value = ""28""&gt; 28 &lt;/ o"&amp;"ption&gt; &lt;option value = ""29""&gt; 29 &lt;/ option&gt; &lt;option value = ""30""&gt; 30 &lt;/ option&gt; &lt;option value = ""31""&gt; 31 &lt;/ option&gt; &lt;/ select&gt; &lt;select tabindex = ""- 1"" class = ""airy-age-gate-year""&gt; &lt;option value = ""2019""&gt; 2019 &lt;/ option&gt; &lt; option value = ""201"&amp;"8""&gt; 2018 &lt;/ option&gt; &lt;option value = ""2017""&gt; 2017 &lt;/ option&gt; &lt;option value = ""2016""&gt; ​​2016 &lt;/ option&gt; &lt;option value = ""2015""&gt; 2015 &lt;/ option &gt; &lt;option value = ""2014""&gt; 2014 &lt;/ option&gt; &lt;option value = ""2013""&gt; 2013 &lt;/ option&gt; &lt;option value = ""201"&amp;"2""&gt; 2012 &lt;/ option&gt; &lt;option value = ""2011""&gt; 2011 &lt; / option&gt; &lt;option value = ""2010""&gt; 2010 &lt;/ option&gt; &lt;option value = ""2009""&gt; 2009 &lt;/ option&gt; &lt;option value = ""2008""&gt; 2008 &lt;/ option&gt; &lt;option value = ""2007""&gt; 2007 &lt;/ option&gt; &lt;option value = ""2006"&amp;"""&gt; 2006 &lt;/ option&gt; &lt;option value = ""2005""&gt; 2005 &lt;/ option&gt; &lt;option value = ""2004""&gt; 2004 &lt;/ option&gt; &lt;option value = ""2003 ""&gt; 2003 &lt;/ option&gt; &lt;option value ="" 2002 ""&gt; 2002 &lt;/ option&gt; &lt;option value ="" 2001 ""&gt; 2001 &lt;/ option&gt; &lt;option value ="" 2000"&amp;" ""&gt; 2000 &lt;/ option&gt; &lt;option value = ""1999""&gt; 1999 &lt;/ option&gt; &lt;option value = ""1998""&gt; 1998 &lt;/ option&gt; &lt;option value = ""1997""&gt; 1997 &lt;/ option&gt; &lt;option value = ""1996""&gt; 1996 &lt;/ option&gt; &lt;option value = ""1995""&gt; 1995 &lt;/ option&gt; &lt;option value = ""1994"""&amp;"&gt; 1994 &lt;/ option&gt; &lt;option value = ""1993""&gt; 1993 &lt;/ option&gt; &lt;option value = ""1992""&gt; 1992 &lt;/ option&gt; &lt;option value = ""1991""&gt; 1991 &lt;/ option&gt; &lt;option value = ""1990""&gt; 1990 &lt;/ option&gt; &lt;option value = "" 1989 ""&gt; 1989 &lt;/ option&gt; &lt;option value ="" 1988 """&amp;"&gt; 1988 &lt;/ option&gt; &lt;option value ="" 1987 ""&gt; 1987 &lt;/ option&gt; &lt;option value ="" 1986 ""&gt; 1986 &lt;/ option&gt; &lt;value option = ""1985""&gt; 1985 &lt;/ option&gt; &lt;option value = ""1984""&gt; 1984 &lt;/ option&gt; &lt;option value = ""1983""&gt; 1983 &lt;/ option&gt; &lt;option value = ""1982""&gt;"&amp;" 1982 &lt;/ option&gt; &lt; option value = ""1981""&gt; 1981 &lt;/ option&gt; &lt;option value = ""1980""&gt; 1980 &lt;/ option&gt; &lt;option value = ""1979""&gt; 1979 &lt;/ option&gt; &lt;option value = ""1978""&gt; 1978 &lt;/ option &gt; &lt;option value = ""1977""&gt; 1977 &lt;/ option&gt; &lt;option value = ""1976""&gt; "&amp;"1976 &lt;/ option&gt; &lt;option value = ""1975""&gt; 1975 &lt;/ option&gt; &lt;option value = ""1974""&gt; 1974 &lt; / option&gt; &lt;option value = ""1973""&gt; 1973 &lt;/ option&gt; &lt;option value = ""1972""&gt; 1972 &lt;/ option&gt; &lt;option value = ""1971""&gt; 1971 &lt;/ option&gt; &lt;option value = ""1970""&gt; 19"&amp;"70 &lt;/ option&gt; &lt;option value = ""1969""&gt; 1969 &lt;/ option&gt; &lt;option value = ""1968""&gt; 1968 &lt;/ option&gt; &lt;option value = ""1967""&gt; 1967 &lt;/ option&gt; &lt;option value = ""1966 ""&gt; 1966 &lt;/ option&gt; &lt;option value ="" 1965 ""&gt; 1965 &lt;/ option&gt; &lt;option value ="" 1964 ""&gt; 19"&amp;"64 &lt;/ option&gt; &lt;option value ="" 1963 ""&gt; 1963 &lt;/ option&gt; &lt;option value = ""1962""&gt; 1962 &lt;/ option&gt; &lt;option value = ""1961""&gt; 1961 &lt;/ option&gt; &lt;option value = ""1960""&gt; 1960 &lt;/ op tion&gt; &lt;option value = ""1959""&gt; 1959 &lt;/ option&gt; &lt;option value = ""1958""&gt; 195"&amp;"8 &lt;/ option&gt; &lt;option value = ""1957""&gt; 1957 &lt;/ option&gt; &lt;option value = ""1956""&gt; 1956 &lt;/ option&gt; &lt;option value = ""1955""&gt; 1955 &lt;/ option&gt; &lt;option value = ""1954""&gt; 1954 &lt;/ option&gt; &lt;option value = ""1953""&gt; 1953 &lt;/ option&gt; &lt;option value = ""1952"" &gt; 1952 "&amp;"&lt;/ option&gt; &lt;option value = ""1951""&gt; 1951 &lt;/ option&gt; &lt;option value = ""1950""&gt; 1950 &lt;/ option&gt; &lt;option value = ""1949""&gt; 1949 &lt;/ option&gt; &lt;option value = "" 1948 ""&gt; 1948 &lt;/ option&gt; &lt;option value ="" 1947 ""&gt; 1947 &lt;/ option&gt; &lt;option value ="" 1946 ""&gt; 1946"&amp;" &lt;/ option&gt; &lt;option value ="" 1945 ""&gt; 1945 &lt;/ option&gt; &lt;value option = ""1944""&gt; 1944 &lt;/ option&gt; &lt;option value = ""1943""&gt; 1943 &lt;/ option&gt; &lt;option value = ""1942""&gt; 1942 &lt;/ option&gt; &lt;option value = ""1941""&gt; 1941 &lt;/ option&gt; &lt; option value = ""1940""&gt; 1940 "&amp;"&lt;/ option&gt; &lt;option value = ""1939""&gt; 1939 &lt;/ option&gt; &lt;option value = ""1938""&gt; 1938 &lt;/ option&gt; &lt;option value = ""1937""&gt; 1937 &lt;/ option &gt; &lt;option value = ""1936""&gt; 1936 &lt;/ option&gt; &lt;option value = ""1935""&gt; 1935 &lt;/ option&gt; &lt;option value = ""1934""&gt; 1934 &lt;/"&amp;" option&gt; &lt;option value = ""1933""&gt; 1933 &lt; / option&gt; &lt;option value = ""1932""&gt; 1932 &lt;/ option&gt; &lt;option value = ""1931""&gt; 1931 &lt;/ option&gt; &lt;option v alue = ""1930""&gt; 1930 &lt;/ option&gt; &lt;option value = ""1929""&gt; 1929 &lt;/ option&gt; &lt;option value = ""1928""&gt; 1928 &lt;/ "&amp;"option&gt; &lt;option value = ""1927""&gt; 1927 &lt;/ option&gt; &lt;option value = ""1926""&gt; 1926 &lt;/ option&gt; &lt;option value = ""1925""&gt; 1925 &lt;/ option&gt; &lt;option value = ""1924""&gt; 1924 &lt;/ option&gt; &lt;option value = ""1923""&gt; 1923 &lt;/ option&gt; &lt;option value = ""1922""&gt; 1922 &lt;/ opt"&amp;"ion&gt; &lt;option value = ""1921""&gt; 1921 &lt;/ option&gt; &lt;option value = ""1920""&gt; 1920 &lt;/ option&gt; &lt;option value = ""1919""&gt; 1919 &lt;/ option&gt; &lt;option value = ""1918""&gt; 1918 &lt;/ option&gt; &lt;option value = ""1917""&gt; 1917 &lt;/ option&gt; &lt;option value = ""1916""&gt; 1916 &lt;/ option"&amp;"&gt; &lt;option value = ""1915"" &gt; 1915 &lt;/ option&gt; &lt;option value = ""1914""&gt; 1914 &lt;/ option&gt; &lt;option value = ""1913""&gt; 1913 &lt;/ option&gt; &lt;option value = ""1912""&gt; 1912 &lt;/ option&gt; &lt;option value = "" 1911 ""&gt; 1911 &lt;/ option&gt; &lt;option value ="" 1910 ""&gt; 1910 &lt;/ optio"&amp;"n&gt; &lt;option value ="" 1909 ""&gt; 1909 &lt;/ option&gt; &lt;option value ="" 1908 ""&gt; 1908 &lt;/ option&gt; &lt;value option = ""1907""&gt; 1907 &lt;/ option&gt; &lt;option value = ""1906""&gt; 1906 &lt;/ option&gt; &lt;option value = ""1905""&gt; 1905 &lt;/ option&gt; &lt;option value = ""1904""&gt; 1904 &lt;/ option"&amp;"&gt; &lt; option value = ""1903""&gt; 1903 &lt;/ option&gt; &lt;option value = ""1902""&gt; 1902 &lt;/ option&gt; &lt;option value = ""1901""&gt; 19 01 &lt;/ option&gt; &lt;option value = ""1900""&gt; 1900 &lt;/ option&gt; &lt;/ select&gt; &lt;div tabindex = ""- 1"" class = ""airy-age-gate-submit airy-submit-butto"&amp;"n airy airy-submit- disabled ""&gt; Submit &lt;/ div&gt; &lt;/ div&gt; &lt;/ div&gt; &lt;/ div&gt; &lt;/ div&gt; &lt;/ div&gt; &lt;div tabindex ="" - 1 ""class ="" airy-install-flash-dialog airy-stage airy -vertical-centering-table-dialog airy airy-denied ""style ="" opacity: 0; visibility: hidde"&amp;"n; ""&gt; &lt;div tabindex ="" - 1 ""class ="" airy-install-flash-Vertical-centering-table-cell airy-Vertical-centering-table-cell ""&gt; &lt;div tabindex ="" - 1 ""class = ""airy-Vertical-centering-wrapper airy-install-flash-elements-wrapper""&gt; &lt;div tabindex = ""- 1"&amp;""" class = ""airy-install-flash-elements airy-dialog-elements""&gt; &lt;div tabindex = "" -1 ""class ="" airy-install-flash-prompt ""&gt; Adobe Flash Player is required to watch this video &lt;/ div&gt; &lt;div tabindex =."" - 1 ""class ="" airy-install-flash-button-wrappe"&amp;"r airy -dialog-inner-elements ""&gt; &lt;div tabindex ="" - 1 ""class ="" airy-install-flash-button airy-button ""&gt; install Flash Player &lt;/ div&gt; &lt;/ div&gt; &lt;/ div&gt; &lt;/ div&gt; &lt;/ div&gt; &lt;/ div&gt; &lt;div tabindex = ""- 1"" class = ""airy-video-unsupported-dialog airy-stage a"&amp;"iry-Vertical-centering-table airy-dialog airy-denied"" style = ""opacity: 0; visibility: hidden; ""&gt; &lt;div tabindex ="" - 1 ""class ="" airy-video-unsupported-Vertical-centering-table-cell airy-Vertical-centering-table-cell ""&gt; &lt;div tabindex ="" - 1 ""clas"&amp;"s = ""airy-Vertical-centering-wrapper airy-video-unsupported-elements-wrapper""&gt; &lt;div tabindex = ""- 1"" class = ""airy-video-unsupported-elements airy-dialog-elements""&gt; &lt;div tabindex = "" -1 ""class ="" airy-video-unsupported-prompt ""&gt; &lt;/ div&gt; &lt;/ div&gt; "&amp;"&lt;/ div&gt; &lt;/ div&gt; &lt;/ div&gt; &lt;div tabindex ="" - 1 ""class ="" airy-loading- spinner-stage airy-stage ""&gt; &lt;div tabindex ="" - 1 ""class ="" airy-loading-spinner-Vertical-centering-table-cell airy-Vertical-centering-table-cell ""&gt; &lt;div tabindex ="" - 1 ""class "&amp;"="" airy-loading-spinner-container airy-scalable-hint-container ""&gt; &lt;div tabindex ="" - 1 ""class ="" airy-loading-spinner-dummy airy-scalable-dummy ""&gt; &lt;/ div&gt; &lt; div tabindex = ""- 1"" class = ""airy-loading-spinner airy-hint"" style = ""visibility: hidd"&amp;"en;""&gt; &lt;/ div&gt; &lt;/ div&gt; &lt;/ div&gt; &lt;/ div&gt; &lt;div tabindex = ""- 1 ""class ="" airy-ads-screen-size-toggle airy-screen-size-toggle-fullscreen airy ""style ="" visibility: hidden; ""&gt; &lt;/ div&gt; &lt;div tabindex = ""-1"" class = ""airy-ad-prompt-container"" style = """&amp;"visibility: hidden;""&gt; &lt;div tabindex = ""- 1"" class = ""airy-ad-prompt-Vertical-centering-table-vertically airy centering-table ""&gt; &lt;div tabindex ="" - 1 ""class ="" airy-ad-prompt-Vertical-centering-table-cell airy-Vertical-centering-table-cell ""&gt; &lt;div"&amp;" tabindex ="" - 1 ""class = ""airy-ad-prompt-label""&gt; &lt;/ div&gt; &lt;/ div&gt; &lt;/ div&gt; &lt;/ div&gt; &lt;div tabindex = ""- 1"" class = ""airy-ads-controls-container"" style = ""visibility: hidden; ""&gt; &lt;div tabindex ="" - 1 ""class ="" airy-ads-audio-toggle airy-audio-togg"&amp;"le airy-on ""style ="" visibility: hidden; ""&gt; &lt;/ div&gt; &lt;div tabindex ="" - 1 ""class ="" airy-time-remaining-label-container ""&gt; &lt;div tabindex ="" - 1 ""class ="" airy-time-remaining-Vertical-centering-table airy-Vertical-centering-table ""&gt; &lt;div tabindex"&amp;" = ""- 1"" class = ""airy-time-remaining-Vertical-centering-table-cell airy-Vertical-centering-table-cell""&gt; &lt;div tabindex = ""- 1"" class = ""airy-Vertical-centering-wrapper airy-time-remaining-label-wrapper ""&gt; &lt;div tabindex ="" - 1 ""class ="" airy-tim"&amp;"e-remaining-label ""style ="" visibility: hidden; ""&gt; &lt;/ div&gt; &lt;div tabi ndex = ""- 1"" class = ""airy-ad-skip"" style = ""visibility: hidden;""&gt; &lt;/ div&gt; &lt;div tabindex = ""- 1"" class = ""airy-ad-end"" style = ""visibility: hidden ""&gt; &lt;/ div&gt; &lt;/ div&gt; &lt;/ di"&amp;"v&gt; &lt;/ div&gt; &lt;/ div&gt; &lt;div tabindex ="" - 1 ""class ="" airy-learn-more ""style ="" visibility: hidden; ""&gt; &lt;/ div&gt; &lt;/ div&gt; &lt;div tabindex = ""- 1"" class = ""airy-play-toggle-hint-stage airy-stage airy-cursor""&gt; &lt;div tabindex = ""- 1"" class = ""airy-play -t"&amp;"oggle-hint-Vertical-centering-table-cell airy-Vertical-centering-table-cell airy-cursor ""&gt; &lt;div tabindex ="" - 1 ""class ="" airy-play-toggle-hint-container airy-scalable- Hint-container ""&gt; &lt;div tabindex ="" - 1 ""class ="" airy-play-toggle-hint-dummy a"&amp;"iry-scalable-dummy ""&gt; &lt;/ div&gt; &lt;div tabindex ="" - 1 ""class ="" airy-play -toggle-hint hint airy-airy-play-hint ""style ="" opacity: 1; visibility: visible; ""&gt; &lt;/ div&gt; &lt;/ div&gt; &lt;/ div&gt; &lt;/ div&gt; &lt;div tabindex ="" - 1 ""class ="" airy-replay-hint-stage airy"&amp;"-stage ""style ="" visibility: hidden ; ""&gt; &lt;div tabindex ="" - 1 ""class ="" airy-replay-hint-Vertical-centering-table-cell airy-Vertical-centering-table-cell airy-cursor ""&gt; &lt;div tabindex ="" - 1 ""class = ""airy-replay-hint-container airy-scalable-hint"&amp;"-container""&gt; &lt;div tabindex = ""- 1"" class = ""airy-replay-hint-dummy airy-scalable-dummy""&gt; &lt;/ div&gt; &lt;div tabindex = ""- 1"" class = ""airy-replay-hint airy-hint""&gt; &lt;/ div&gt; &lt;/ div&gt; &lt;/ div&gt; &lt;/ div&gt; &lt;div tabindex = ""- 1"" class = ""airy-autoplay-hint -sta"&amp;"ge airy-stage ""style ="" visibility: hidden; ""&gt; &lt;div tabindex ="" - 1 ""class ="" airy-autoplay-hint-Vertical-centering-table-cell airy-Vertical-centering-table-cell airy- cursor ""&gt; &lt;div tabindex ="" - 1 ""class ="" autoplay airy-airy-hint-container-sc"&amp;"alable-hint-container ""&gt; &lt;div tabindex ="" - 1 ""class ="" airy-autoplay-hint-dummy airy- scalable-dummy ""&gt; &lt;/ div&gt; &lt;/ div&gt; &lt;/ div&gt; &lt;/ div&gt; &lt;/ div&gt; &lt;/ div&gt; &lt;input type ="" hidden ""name ="" ""value ="" https://m.media -amazon.com/images/I/A1wtGS-lETS.mp"&amp;"4 ""class ="" Vide o-url ""&gt; &lt;input type ="" hidden ""name ="" ""value ="" https://m.media-amazon.com/images/I/61LYdwDqT1S.png ""class ="" video-slate-img-url "" &gt; &amp; nbsp; perfect! A multifunctional pendrive! When I asked this pendrive I was just looking "&amp;"for a flash drive that has at least 32GB to move files both work and personal use. This pendrive course that meets my needs, but also has connectors to plug into any mobile. Really this, at least in my case, is not something you use every day, but in my s"&amp;"hort time with him as I was helpful on a couple of occasions. Particularly when traveling and avoid having to take the computer to check a few things, because the mobile and usually carry it on. It comes in a very cool, perfect box to carry along with acc"&amp;"essory to connect to phone connector ""Type C"" and that none of the pieces suffer any damage (comes with padding inside the Box: -. Pendrive with USB, Lightning (iphone) and michoUSB - Adapter USB-Type C - Instructions for IOS and Android'm very satisfie"&amp;"d with the purchase and recommend it to everyone who needs a pendrive normal because it is a much more normal and pendrive")</f>
        <v>What I was looking &lt;div id = "video-block-R2N8WC67TNMIZF" class = "section a-a-a-spacing-small spacing-top-video mini-block"&gt; &lt;div tabindex = "0" class = "airy airy- svg vmin-unsupported airy-skin-beacon "style =" background-color: rgb (0, 0, 0) position: relative; width: 100%; height: 100%; font-size: 0px; overflow: hidden; outline: none; "&gt; &lt;div class =" airy-renderer-container "style =" position: relative; height: 100%; width: 100%; "&gt; &lt;video id =" 15 "preload =" auto "src = "https://m.media-amazon.com/images/I/A1wtGS-lETS.mp4" style = "position: absolute; left: 0px; top: 0px; overflow: hidden; height: 1px; width: 1px; "&gt; &lt;/ video&gt; &lt;/ div&gt; &lt;div id =" airy-slate-preload "style =" background-color: rgb (0, 0, 0); background-image: url (&amp; quot; https: // m .media-amazon.com / images / I / 61LYdwDqT1S.png &amp; quot;); background-size: Contain; background-position: center center; background-repeat: no-repeat; position: absolute; top: 0px; left: 0px; visibility: visible; width: 100%; height: 100%; "&gt; &lt;/ div&gt; &lt;iframe scrolling =" no "frameborder =" 0 "src = "About: blank" style = "display: none;"&gt; &lt;/ iframe&gt; &lt;div tabindex = "- 1" class = "airy-controls-container" style = "opacity: 0; visibility: hidden; "&gt; &lt;div tabindex =" - 1 "class =" airy-screen-size-toggle airy-fullscreen "&gt; &lt;/ div&gt; &lt;div tabindex =" - 1 "class =" airy-container-bottom " &gt; &lt;div tabindex = "- 1" class = "airy-track-bar-spacer-left" style = "width: 11px;"&gt; &lt;/ div&gt; &lt;div tabindex = "- 1" class = "airy-play- airy toggle-play "style =" width: 12px; margin-right: 12px; "&gt; &lt;/ div&gt; &lt;div tabindex =" - 1 "class =" airy-audio-elements "style =" float: right; width: 34px; "&gt; &lt;div tabindex =" - 1 "class =" airy-audio-toggle airy-on "&gt; &lt;/ div&gt; &lt;div tabindex =" - 1 "class =" airy-audio-container "style = "opacity: 0; visibility: hidden; "&gt; &lt;div tabindex =" - 1 "class =" airy-audio-track-bar "style =" height: 80%; "&gt; &lt;div tabindex =" - 1 "class =" airy-audio- Scrubber-bar "style =" height: 85%; "&gt; &lt;/ div&gt; &lt;div tabindex =" - 1 "class =" airy-audio-scrubber "style =" height: 12px; bottom 85% "&gt; &lt;/ div&gt; &lt;/ div&gt; &lt;/ div&gt; &lt;/ div&gt; &lt;div tabindex =" - 1 "class =" airy-duration-label "style =" float: right; width: 26px; margin-right: 4px; text-align: center; "&gt; 0:00 &lt;/ div&gt; &lt;div tabindex =" - 1 "class =" airy-track-bar-spacer-right "style =" float: right; width: 11px; "&gt; &lt;/ div&gt; &lt;div tabindex =" - 1 "class =" airy-track-bar-container "style =" margin-left: 35px; margin-right: 75px; "&gt; &lt;div tabindex =" - 1 "class =" airy-airy-track-bar vertically-centering-table "&gt; &lt;div tabindex =" - 1 "class =" airy-Vertical-centering- table-cell "&gt; &lt;div tabindex =" - 1 "class =" airy-track-bar-elements "&gt; &lt;div tabindex =" - 1 "class =" airy-progress-bar "&gt; &lt;/ div&gt; &lt;div tabindex = "- 1" class = "airy-scrubber-bar"&gt; &lt;/ div&gt; &lt;div tabindex = "- 1" class = "airy-scrubber"&gt; &lt;div tabindex = "- 1" class = "airy-scrubber- icon "&gt; &lt;/ div&gt; &lt;div tabindex =" - 1 "class =" airy-adjusted-AUI-tooltip "style =" opacity: 0; visibility: hidden; "&gt; &lt;div tabindex =" - 1 "class =" airy-adjusted-aui-tooltip-inner "&gt; &lt;div tabindex =" - 1 "class =" airy-current-time-label "&gt; 0: 00 &lt;/ div&gt; &lt;/ div&gt; &lt;div tabindex = "- 1" class = "airy-adjusted-AUI-arrow-border"&gt; &lt;div tabindex = "- 1" class = "airy-adjusted-AUI-arrow" &gt; &lt;/ div&gt; &lt;/ div&gt; &lt;/ div&gt; &lt;/ div&gt; &lt;/ div&gt; &lt;/ div&gt; &lt;/ div&gt; &lt;/ div&gt; &lt;/ div&gt; &lt;/ div&gt; &lt;div tabindex = "- 1" class = "airy-age-gate airy-stage airy-Vertical-centering-table airy-dialog" style = "opacity: 0; visibility: hidden; "&gt; &lt;div tabindex =" - 1 "class =" airy-age-gate-Vertical-centering-table-cell airy-Vertical-centering-table-cell "&gt; &lt;div tabindex =" - 1 "class = "airy-Vertical-centering-wrapper airy-age-gate-elements-wrapper"&gt; &lt;div tabindex = "- 1" class = "airy-age-gate-elements airy-dialog-elements"&gt; &lt;div tabindex = " -1 "class =" airy-age-gate-prompt "&gt; This video is not Intended for all audiences What date were you born &lt;/ div&gt; &lt;div tabindex =.?" - 1 "class =" airy-age-gate -inputs airy-dialog-inner-elements "&gt; &lt;select tabindex =" - 1 "class =" airy-age-gate-month "&gt; &lt;option value =" 1 "&gt; January &lt;/ option&gt; &lt;option value =" 2 "&gt; February &lt;/ option&gt; &lt;option value =" 3 "&gt; March &lt;/ option&gt; &lt;option value =" 4 "&gt; April &lt;/ option&gt; &lt;option value =" 5 "&gt; May &lt;/ option&gt; &lt;option value = "6"&gt; June &lt;/ option&gt; &lt;option value = "7"&gt; July &lt;/ option&gt; &lt;option value = "8"&gt; August &lt;/ option&gt; &lt;option value = "9"&gt; September &lt;/ option&gt; &lt;option value = "10"&gt; October &lt;/ option&gt; &lt;option value = "11"&gt; November &lt;/ option&gt; &lt;option value = "12"&gt; December &lt;/ option&gt; &lt;/ select&gt; &lt;select tabindex = "- 1" class = "airy-age-gate-day"&gt; &lt;opti on value = "1"&gt; 1 &lt;/ option&gt; &lt;option value = "2"&gt; 2 &lt;/ option&gt; &lt;option value = "3"&gt; 3 &lt;/ option&gt; &lt;option value = "4"&gt; 4 &lt;/ option &gt; &lt;option value = "5"&gt; 5 &lt;/ option&gt; &lt;option value = "6"&gt; 6 &lt;/ option&gt; &lt;option value = "7"&gt; 7 &lt;/ option&gt; &lt;option value = "8"&gt; 8 &lt; / option&gt; &lt;option value = "9"&gt; 9 &lt;/ option&gt; &lt;option value = "10"&gt; 10 &lt;/ option&gt; &lt;option value = "11"&gt; 11 &lt;/ option&gt; &lt;option value = "12"&gt; 12 &lt;/ option&gt; &lt;option value = "13"&gt; 13 &lt;/ option&gt; &lt;option value = "14"&gt; 14 &lt;/ option&gt; &lt;option value = "15"&gt; 15 &lt;/ option&gt; &lt;option value = "16 "&gt; 16 &lt;/ option&gt; &lt;option value =" 17 "&gt; 17 &lt;/ option&gt; &lt;option value =" 18 "&gt; 18 &lt;/ option&gt; &lt;option value =" 19 "&gt; 19 &lt;/ option&gt; &lt;option value = "20"&gt; 20 &lt;/ option&gt; &lt;option value = "21"&gt; 21 &lt;/ option&gt; &lt;option value = "22"&gt; 22 &lt;/ option&gt; &lt;option value = "23"&gt; 23 &lt;/ option&gt; &lt;option value = "24"&gt; 24 &lt;/ option&gt; &lt;option value = "25"&gt; 25 &lt;/ option&gt; &lt;option value = "26"&gt; 26 &lt;/ option&gt; &lt;option value = "27"&gt; 27 &lt;/ option&gt; &lt;option value = "28"&gt; 28 &lt;/ option&gt; &lt;option value = "29"&gt; 29 &lt;/ option&gt; &lt;option value = "30"&gt; 30 &lt;/ option&gt; &lt;option value = "31"&gt; 31 &lt;/ option&gt; &lt;/ select&gt; &lt;select tabindex = "- 1" class = "airy-age-gate-year"&gt; &lt;option value = "2019"&gt; 2019 &lt;/ option&gt; &lt; option value = "2018"&gt; 2018 &lt;/ option&gt; &lt;option value = "2017"&gt; 2017 &lt;/ option&gt; &lt;option value = "2016"&gt; ​​2016 &lt;/ option&gt; &lt;option value = "2015"&gt; 2015 &lt;/ option &gt; &lt;option value = "2014"&gt; 2014 &lt;/ option&gt; &lt;option value = "2013"&gt; 2013 &lt;/ option&gt; &lt;option value = "2012"&gt; 2012 &lt;/ option&gt; &lt;option value = "2011"&gt; 2011 &lt; / option&gt; &lt;option value = "2010"&gt; 2010 &lt;/ option&gt; &lt;option value = "2009"&gt; 2009 &lt;/ option&gt; &lt;option value = "2008"&gt; 2008 &lt;/ option&gt; &lt;option value = "2007"&gt; 2007 &lt;/ option&gt; &lt;option value = "2006"&gt; 2006 &lt;/ option&gt; &lt;option value = "2005"&gt; 2005 &lt;/ option&gt; &lt;option value = "2004"&gt; 2004 &lt;/ option&gt; &lt;option value = "2003 "&gt; 2003 &lt;/ option&gt; &lt;option value =" 2002 "&gt; 2002 &lt;/ option&gt; &lt;option value =" 2001 "&gt; 2001 &lt;/ option&gt; &lt;option value =" 2000 "&gt; 2000 &lt;/ option&gt; &lt;option value = "1999"&gt; 1999 &lt;/ option&gt; &lt;option value = "1998"&gt; 1998 &lt;/ option&gt; &lt;option value = "1997"&gt; 1997 &lt;/ option&gt; &lt;option value = "1996"&gt; 1996 &lt;/ option&gt; &lt;option value = "1995"&gt; 1995 &lt;/ option&gt; &lt;option value = "1994"&gt; 1994 &lt;/ option&gt; &lt;option value = "1993"&gt; 1993 &lt;/ option&gt; &lt;option value = "1992"&gt; 1992 &lt;/ option&gt; &lt;option value = "1991"&gt; 1991 &lt;/ option&gt; &lt;option value = "1990"&gt; 1990 &lt;/ option&gt; &lt;option value = " 1989 "&gt; 1989 &lt;/ option&gt; &lt;option value =" 1988 "&gt; 1988 &lt;/ option&gt; &lt;option value =" 1987 "&gt; 1987 &lt;/ option&gt; &lt;option value =" 1986 "&gt; 1986 &lt;/ option&gt; &lt;value option = "1985"&gt; 1985 &lt;/ option&gt; &lt;option value = "1984"&gt; 1984 &lt;/ option&gt; &lt;option value = "1983"&gt; 1983 &lt;/ option&gt; &lt;option value = "1982"&gt; 1982 &lt;/ option&gt; &lt; option value = "1981"&gt; 1981 &lt;/ option&gt; &lt;option value = "1980"&gt; 1980 &lt;/ option&gt; &lt;option value = "1979"&gt; 1979 &lt;/ option&gt; &lt;option value = "1978"&gt; 1978 &lt;/ option &gt; &lt;option value = "1977"&gt; 1977 &lt;/ option&gt; &lt;option value = "1976"&gt; 1976 &lt;/ option&gt; &lt;option value = "1975"&gt; 1975 &lt;/ option&gt; &lt;option value = "1974"&gt; 1974 &lt; / option&gt; &lt;option value = "1973"&gt; 1973 &lt;/ option&gt; &lt;option value = "1972"&gt; 1972 &lt;/ option&gt; &lt;option value = "1971"&gt; 1971 &lt;/ option&gt; &lt;option value = "1970"&gt; 1970 &lt;/ option&gt; &lt;option value = "1969"&gt; 1969 &lt;/ option&gt; &lt;option value = "1968"&gt; 1968 &lt;/ option&gt; &lt;option value = "1967"&gt; 1967 &lt;/ option&gt; &lt;option value = "1966 "&gt; 1966 &lt;/ option&gt; &lt;option value =" 1965 "&gt; 1965 &lt;/ option&gt; &lt;option value =" 1964 "&gt; 1964 &lt;/ option&gt; &lt;option value =" 1963 "&gt; 1963 &lt;/ option&gt; &lt;option value = "1962"&gt; 1962 &lt;/ option&gt; &lt;option value = "1961"&gt; 1961 &lt;/ option&gt; &lt;option value = "1960"&gt; 1960 &lt;/ op tion&gt; &lt;option value = "1959"&gt; 1959 &lt;/ option&gt; &lt;option value = "1958"&gt; 1958 &lt;/ option&gt; &lt;option value = "1957"&gt; 1957 &lt;/ option&gt; &lt;option value = "1956"&gt; 1956 &lt;/ option&gt; &lt;option value = "1955"&gt; 1955 &lt;/ option&gt; &lt;option value = "1954"&gt; 1954 &lt;/ option&gt; &lt;option value = "1953"&gt; 1953 &lt;/ option&gt; &lt;option value = "1952" &gt; 1952 &lt;/ option&gt; &lt;option value = "1951"&gt; 1951 &lt;/ option&gt; &lt;option value = "1950"&gt; 1950 &lt;/ option&gt; &lt;option value = "1949"&gt; 1949 &lt;/ option&gt; &lt;option value = " 1948 "&gt; 1948 &lt;/ option&gt; &lt;option value =" 1947 "&gt; 1947 &lt;/ option&gt; &lt;option value =" 1946 "&gt; 1946 &lt;/ option&gt; &lt;option value =" 1945 "&gt; 1945 &lt;/ option&gt; &lt;value option = "1944"&gt; 1944 &lt;/ option&gt; &lt;option value = "1943"&gt; 1943 &lt;/ option&gt; &lt;option value = "1942"&gt; 1942 &lt;/ option&gt; &lt;option value = "1941"&gt; 1941 &lt;/ option&gt; &lt; option value = "1940"&gt; 1940 &lt;/ option&gt; &lt;option value = "1939"&gt; 1939 &lt;/ option&gt; &lt;option value = "1938"&gt; 1938 &lt;/ option&gt; &lt;option value = "1937"&gt; 1937 &lt;/ option &gt; &lt;option value = "1936"&gt; 1936 &lt;/ option&gt; &lt;option value = "1935"&gt; 1935 &lt;/ option&gt; &lt;option value = "1934"&gt; 1934 &lt;/ option&gt; &lt;option value = "1933"&gt; 1933 &lt; / option&gt; &lt;option value = "1932"&gt; 1932 &lt;/ option&gt; &lt;option value = "1931"&gt; 1931 &lt;/ option&gt; &lt;option v alue = "1930"&gt; 1930 &lt;/ option&gt; &lt;option value = "1929"&gt; 1929 &lt;/ option&gt; &lt;option value = "1928"&gt; 1928 &lt;/ option&gt; &lt;option value = "1927"&gt; 1927 &lt;/ option&gt; &lt;option value = "1926"&gt; 1926 &lt;/ option&gt; &lt;option value = "1925"&gt; 1925 &lt;/ option&gt; &lt;option value = "1924"&gt; 1924 &lt;/ option&gt; &lt;option value = "1923"&gt; 1923 &lt;/ option&gt; &lt;option value = "1922"&gt; 1922 &lt;/ option&gt; &lt;option value = "1921"&gt; 1921 &lt;/ option&gt; &lt;option value = "1920"&gt; 1920 &lt;/ option&gt; &lt;option value = "1919"&gt; 1919 &lt;/ option&gt; &lt;option value = "1918"&gt; 1918 &lt;/ option&gt; &lt;option value = "1917"&gt; 1917 &lt;/ option&gt; &lt;option value = "1916"&gt; 1916 &lt;/ option&gt; &lt;option value = "1915" &gt; 1915 &lt;/ option&gt; &lt;option value = "1914"&gt; 1914 &lt;/ option&gt; &lt;option value = "1913"&gt; 1913 &lt;/ option&gt; &lt;option value = "1912"&gt; 1912 &lt;/ option&gt; &lt;option value = " 1911 "&gt; 1911 &lt;/ option&gt; &lt;option value =" 1910 "&gt; 1910 &lt;/ option&gt; &lt;option value =" 1909 "&gt; 1909 &lt;/ option&gt; &lt;option value =" 1908 "&gt; 1908 &lt;/ option&gt; &lt;value option = "1907"&gt; 1907 &lt;/ option&gt; &lt;option value = "1906"&gt; 1906 &lt;/ option&gt; &lt;option value = "1905"&gt; 1905 &lt;/ option&gt; &lt;option value = "1904"&gt; 1904 &lt;/ option&gt; &lt; option value = "1903"&gt; 1903 &lt;/ option&gt; &lt;option value = "1902"&gt; 1902 &lt;/ option&gt; &lt;option value = "1901"&gt; 19 01 &lt;/ option&gt; &lt;option value = "1900"&gt; 1900 &lt;/ option&gt; &lt;/ select&gt; &lt;div tabindex = "- 1" class = "airy-age-gate-submit airy-submit-button airy airy-submit- disabled "&gt; Submit &lt;/ div&gt; &lt;/ div&gt; &lt;/ div&gt; &lt;/ div&gt; &lt;/ div&gt; &lt;/ div&gt; &lt;div tabindex =" - 1 "class =" airy-install-flash-dialog airy-stage airy -vertical-centering-table-dialog airy airy-denied "style =" opacity: 0; visibility: hidden; "&gt; &lt;div tabindex =" - 1 "class =" airy-install-flash-Vertical-centering-table-cell airy-Vertical-centering-table-cell "&gt; &lt;div tabindex =" - 1 "class = "airy-Vertical-centering-wrapper airy-install-flash-elements-wrapper"&gt; &lt;div tabindex = "- 1" class = "airy-install-flash-elements airy-dialog-elements"&gt; &lt;div tabindex = " -1 "class =" airy-install-flash-prompt "&gt; Adobe Flash Player is required to watch this video &lt;/ div&gt; &lt;div tabindex =." - 1 "class =" airy-install-flash-button-wrapper airy -dialog-inner-elements "&gt; &lt;div tabindex =" - 1 "class =" airy-install-flash-button airy-button "&gt; install Flash Player &lt;/ div&gt; &lt;/ div&gt; &lt;/ div&gt; &lt;/ div&gt; &lt;/ div&gt; &lt;/ div&gt; &lt;div tabindex = "- 1" class = "airy-video-unsupported-dialog airy-stage airy-Vertical-centering-table airy-dialog airy-denied" style = "opacity: 0; visibility: hidden; "&gt; &lt;div tabindex =" - 1 "class =" airy-video-unsupported-Vertical-centering-table-cell airy-Vertical-centering-table-cell "&gt; &lt;div tabindex =" - 1 "class = "airy-Vertical-centering-wrapper airy-video-unsupported-elements-wrapper"&gt; &lt;div tabindex = "- 1" class = "airy-video-unsupported-elements airy-dialog-elements"&gt; &lt;div tabindex = " -1 "class =" airy-video-unsupported-prompt "&gt; &lt;/ div&gt; &lt;/ div&gt; &lt;/ div&gt; &lt;/ div&gt; &lt;/ div&gt; &lt;div tabindex =" - 1 "class =" airy-loading- spinner-stage airy-stage "&gt; &lt;div tabindex =" - 1 "class =" airy-loading-spinner-Vertical-centering-table-cell airy-Vertical-centering-table-cell "&gt; &lt;div tabindex =" - 1 "class =" airy-loading-spinner-container airy-scalable-hint-container "&gt; &lt;div tabindex =" - 1 "class =" airy-loading-spinner-dummy airy-scalable-dummy "&gt; &lt;/ div&gt; &lt; div tabindex = "- 1" class = "airy-loading-spinner airy-hint" style = "visibility: hidden;"&gt; &lt;/ div&gt; &lt;/ div&gt; &lt;/ div&gt; &lt;/ div&gt; &lt;div tabindex = "- 1 "class =" airy-ads-screen-size-toggle airy-screen-size-toggle-fullscreen airy "style =" visibility: hidden; "&gt; &lt;/ div&gt; &lt;div tabindex = "-1" class = "airy-ad-prompt-container" style = "visibility: hidden;"&gt; &lt;div tabindex = "- 1" class = "airy-ad-prompt-Vertical-centering-table-vertically airy centering-table "&gt; &lt;div tabindex =" - 1 "class =" airy-ad-prompt-Vertical-centering-table-cell airy-Vertical-centering-table-cell "&gt; &lt;div tabindex =" - 1 "class = "airy-ad-prompt-label"&gt; &lt;/ div&gt; &lt;/ div&gt; &lt;/ div&gt; &lt;/ div&gt; &lt;div tabindex = "- 1" class = "airy-ads-controls-container" style = "visibility: hidden; "&gt; &lt;div tabindex =" - 1 "class =" airy-ads-audio-toggle airy-audio-toggle airy-on "style =" visibility: hidden; "&gt; &lt;/ div&gt; &lt;div tabindex =" - 1 "class =" airy-time-remaining-label-container "&gt; &lt;div tabindex =" - 1 "class =" airy-time-remaining-Vertical-centering-table airy-Vertical-centering-table "&gt; &lt;div tabindex = "- 1" class = "airy-time-remaining-Vertical-centering-table-cell airy-Vertical-centering-table-cell"&gt; &lt;div tabindex = "- 1" class = "airy-Vertical-centering-wrapper airy-time-remaining-label-wrapper "&gt; &lt;div tabindex =" - 1 "class =" airy-time-remaining-label "style =" visibility: hidden; "&gt; &lt;/ div&gt; &lt;div tabi ndex = "- 1" class = "airy-ad-skip" style = "visibility: hidden;"&gt; &lt;/ div&gt; &lt;div tabindex = "- 1" class = "airy-ad-end" style = "visibility: hidden "&gt; &lt;/ div&gt; &lt;/ div&gt; &lt;/ div&gt; &lt;/ div&gt; &lt;/ div&gt; &lt;div tabindex =" - 1 "class =" airy-learn-more "style =" visibility: hidden; "&gt; &lt;/ div&gt; &lt;/ div&gt; &lt;div tabindex = "- 1" class = "airy-play-toggle-hint-stage airy-stage airy-cursor"&gt; &lt;div tabindex = "- 1" class = "airy-play -toggle-hint-Vertical-centering-table-cell airy-Vertical-centering-table-cell airy-cursor "&gt; &lt;div tabindex =" - 1 "class =" airy-play-toggle-hint-container airy-scalable- Hint-container "&gt; &lt;div tabindex =" - 1 "class =" airy-play-toggle-hint-dummy airy-scalable-dummy "&gt; &lt;/ div&gt; &lt;div tabindex =" - 1 "class =" airy-play -toggle-hint hint airy-airy-play-hint "style =" opacity: 1; visibility: visible; "&gt; &lt;/ div&gt; &lt;/ div&gt; &lt;/ div&gt; &lt;/ div&gt; &lt;div tabindex =" - 1 "class =" airy-replay-hint-stage airy-stage "style =" visibility: hidden ; "&gt; &lt;div tabindex =" - 1 "class =" airy-replay-hint-Vertical-centering-table-cell airy-Vertical-centering-table-cell airy-cursor "&gt; &lt;div tabindex =" - 1 "class = "airy-replay-hint-container airy-scalable-hint-container"&gt; &lt;div tabindex = "- 1" class = "airy-replay-hint-dummy airy-scalable-dummy"&gt; &lt;/ div&gt; &lt;div tabindex = "- 1" class = "airy-replay-hint airy-hint"&gt; &lt;/ div&gt; &lt;/ div&gt; &lt;/ div&gt; &lt;/ div&gt; &lt;div tabindex = "- 1" class = "airy-autoplay-hint -stage airy-stage "style =" visibility: hidden; "&gt; &lt;div tabindex =" - 1 "class =" airy-autoplay-hint-Vertical-centering-table-cell airy-Vertical-centering-table-cell airy- cursor "&gt; &lt;div tabindex =" - 1 "class =" autoplay airy-airy-hint-container-scalable-hint-container "&gt; &lt;div tabindex =" - 1 "class =" airy-autoplay-hint-dummy airy- scalable-dummy "&gt; &lt;/ div&gt; &lt;/ div&gt; &lt;/ div&gt; &lt;/ div&gt; &lt;/ div&gt; &lt;/ div&gt; &lt;input type =" hidden "name =" "value =" https://m.media -amazon.com/images/I/A1wtGS-lETS.mp4 "class =" Vide o-url "&gt; &lt;input type =" hidden "name =" "value =" https://m.media-amazon.com/images/I/61LYdwDqT1S.png "class =" video-slate-img-url " &gt; &amp; nbsp; perfect! A multifunctional pendrive! When I asked this pendrive I was just looking for a flash drive that has at least 32GB to move files both work and personal use. This pendrive course that meets my needs, but also has connectors to plug into any mobile. Really this, at least in my case, is not something you use every day, but in my short time with him as I was helpful on a couple of occasions. Particularly when traveling and avoid having to take the computer to check a few things, because the mobile and usually carry it on. It comes in a very cool, perfect box to carry along with accessory to connect to phone connector "Type C" and that none of the pieces suffer any damage (comes with padding inside the Box: -. Pendrive with USB, Lightning (iphone) and michoUSB - Adapter USB-Type C - Instructions for IOS and Android'm very satisfied with the purchase and recommend it to everyone who needs a pendrive normal because it is a much more normal and pendrive</v>
      </c>
    </row>
    <row r="3086">
      <c r="A3086" s="1">
        <v>2.0</v>
      </c>
      <c r="B3086" s="1" t="s">
        <v>3071</v>
      </c>
      <c r="C3086" t="str">
        <f>IFERROR(__xludf.DUMMYFUNCTION("GOOGLETRANSLATE(B3086, ""es"", ""en"")"),"Product not suitable for city. Soled shoes are tacos, ie unless run down the mountain quickly wears the sole. Come on, that in one month are ready to throw away. Think about it.")</f>
        <v>Product not suitable for city. Soled shoes are tacos, ie unless run down the mountain quickly wears the sole. Come on, that in one month are ready to throw away. Think about it.</v>
      </c>
    </row>
    <row r="3087">
      <c r="A3087" s="1">
        <v>3.0</v>
      </c>
      <c r="B3087" s="1" t="s">
        <v>3072</v>
      </c>
      <c r="C3087" t="str">
        <f>IFERROR(__xludf.DUMMYFUNCTION("GOOGLETRANSLATE(B3087, ""es"", ""en"")"),"Well all good quality trekking")</f>
        <v>Well all good quality trekking</v>
      </c>
    </row>
    <row r="3088">
      <c r="A3088" s="1">
        <v>3.0</v>
      </c>
      <c r="B3088" s="1" t="s">
        <v>3073</v>
      </c>
      <c r="C3088" t="str">
        <f>IFERROR(__xludf.DUMMYFUNCTION("GOOGLETRANSLATE(B3088, ""es"", ""en"")"),"Well with the service but doubts Product durability is as it describes what the cable however it seems very thin and gives me the sensanción that soon will break me with any growth spurt. It came to me quickly and well packed.")</f>
        <v>Well with the service but doubts Product durability is as it describes what the cable however it seems very thin and gives me the sensanción that soon will break me with any growth spurt. It came to me quickly and well packed.</v>
      </c>
    </row>
    <row r="3089">
      <c r="A3089" s="1">
        <v>1.0</v>
      </c>
      <c r="B3089" s="1" t="s">
        <v>3074</v>
      </c>
      <c r="C3089" t="str">
        <f>IFERROR(__xludf.DUMMYFUNCTION("GOOGLETRANSLATE(B3089, ""es"", ""en"")"),"Hello Katia, buy boots for a specific trip to the cold and I put them 5 times I broke both evillas, as I contact? a greeting")</f>
        <v>Hello Katia, buy boots for a specific trip to the cold and I put them 5 times I broke both evillas, as I contact? a greeting</v>
      </c>
    </row>
    <row r="3090">
      <c r="A3090" s="1">
        <v>1.0</v>
      </c>
      <c r="B3090" s="1" t="s">
        <v>3075</v>
      </c>
      <c r="C3090" t="str">
        <f>IFERROR(__xludf.DUMMYFUNCTION("GOOGLETRANSLATE(B3090, ""es"", ""en"")"),"Do not buy the watch is fake. It IS NOT CASIO. I bought it in February and May no longer worked.")</f>
        <v>Do not buy the watch is fake. It IS NOT CASIO. I bought it in February and May no longer worked.</v>
      </c>
    </row>
    <row r="3091">
      <c r="A3091" s="1">
        <v>1.0</v>
      </c>
      <c r="B3091" s="1" t="s">
        <v>3076</v>
      </c>
      <c r="C3091" t="str">
        <f>IFERROR(__xludf.DUMMYFUNCTION("GOOGLETRANSLATE(B3091, ""es"", ""en"")"),"Crappy quality disappointment, or do not come in a plastic box")</f>
        <v>Crappy quality disappointment, or do not come in a plastic box</v>
      </c>
    </row>
    <row r="3092">
      <c r="A3092" s="1">
        <v>4.0</v>
      </c>
      <c r="B3092" s="1" t="s">
        <v>3077</v>
      </c>
      <c r="C3092" t="str">
        <f>IFERROR(__xludf.DUMMYFUNCTION("GOOGLETRANSLATE(B3092, ""es"", ""en"")"),"Good value The product has an excellent design. The termination also appears robust. The only but the rack is not retractable rolls and is not incorporated into the structure, but must be mounted above the groove and removed when not in use. Otherwise, ve"&amp;"ry good product.")</f>
        <v>Good value The product has an excellent design. The termination also appears robust. The only but the rack is not retractable rolls and is not incorporated into the structure, but must be mounted above the groove and removed when not in use. Otherwise, very good product.</v>
      </c>
    </row>
    <row r="3093">
      <c r="A3093" s="1">
        <v>4.0</v>
      </c>
      <c r="B3093" s="1" t="s">
        <v>3078</v>
      </c>
      <c r="C3093" t="str">
        <f>IFERROR(__xludf.DUMMYFUNCTION("GOOGLETRANSLATE(B3093, ""es"", ""en"")"),"Celo Very good product")</f>
        <v>Celo Very good product</v>
      </c>
    </row>
    <row r="3094">
      <c r="A3094" s="1">
        <v>4.0</v>
      </c>
      <c r="B3094" s="1" t="s">
        <v>3079</v>
      </c>
      <c r="C3094" t="str">
        <f>IFERROR(__xludf.DUMMYFUNCTION("GOOGLETRANSLATE(B3094, ""es"", ""en"")"),"It's a great wonder, for daily maintenance there is something better, not only you ""sweeps"" but you take all the dust of the ground, it is appreciated when you have at home people who go barefoot all day. No significant staining of the removed soil, oil"&amp;" stains, spills of soft drinks and other dry, dust and small pisaditas water. By putting a but, I expected quieter but really, is not something that you consider problematic if you will not let cleaning while you sleep.")</f>
        <v>It's a great wonder, for daily maintenance there is something better, not only you "sweeps" but you take all the dust of the ground, it is appreciated when you have at home people who go barefoot all day. No significant staining of the removed soil, oil stains, spills of soft drinks and other dry, dust and small pisaditas water. By putting a but, I expected quieter but really, is not something that you consider problematic if you will not let cleaning while you sleep.</v>
      </c>
    </row>
    <row r="3095">
      <c r="A3095" s="1">
        <v>4.0</v>
      </c>
      <c r="B3095" s="1" t="s">
        <v>3080</v>
      </c>
      <c r="C3095" t="str">
        <f>IFERROR(__xludf.DUMMYFUNCTION("GOOGLETRANSLATE(B3095, ""es"", ""en"")"),"SD cheap, none of the other world [If this review has been helpful, appreciate it if you give a helpful vote, thanks] The truth is that it is a normal SD, none of the other world, has a pretty good price (I I bought a 5.72 €), the actual space is a little"&amp;" more than 14GB, but hey, for the price it is not going to fault it. Very pleased with it, I recommend it to everyone.")</f>
        <v>SD cheap, none of the other world [If this review has been helpful, appreciate it if you give a helpful vote, thanks] The truth is that it is a normal SD, none of the other world, has a pretty good price (I I bought a 5.72 €), the actual space is a little more than 14GB, but hey, for the price it is not going to fault it. Very pleased with it, I recommend it to everyone.</v>
      </c>
    </row>
    <row r="3096">
      <c r="A3096" s="1">
        <v>4.0</v>
      </c>
      <c r="B3096" s="1" t="s">
        <v>3081</v>
      </c>
      <c r="C3096" t="str">
        <f>IFERROR(__xludf.DUMMYFUNCTION("GOOGLETRANSLATE(B3096, ""es"", ""en"")"),"Very good cards Happy cards. Fast and with enough capacity for my camera at a very reasonable price. Satisfied with the purchase that delivers what it promises. The would buy")</f>
        <v>Very good cards Happy cards. Fast and with enough capacity for my camera at a very reasonable price. Satisfied with the purchase that delivers what it promises. The would buy</v>
      </c>
    </row>
    <row r="3097">
      <c r="A3097" s="1">
        <v>5.0</v>
      </c>
      <c r="B3097" s="1" t="s">
        <v>3082</v>
      </c>
      <c r="C3097" t="str">
        <f>IFERROR(__xludf.DUMMYFUNCTION("GOOGLETRANSLATE(B3097, ""es"", ""en"")"),"Used very practical and good and great resultsfo ago RT = redultafo")</f>
        <v>Used very practical and good and great resultsfo ago RT = redultafo</v>
      </c>
    </row>
    <row r="3098">
      <c r="A3098" s="1">
        <v>5.0</v>
      </c>
      <c r="B3098" s="1" t="s">
        <v>3083</v>
      </c>
      <c r="C3098" t="str">
        <f>IFERROR(__xludf.DUMMYFUNCTION("GOOGLETRANSLATE(B3098, ""es"", ""en"")"),"Advisable to buy a pair for me and one for my sister and are perfect. And had a before and knew they would be comfortable, but to my surprise the model is improved and the sole is more enhanced and more comfortable yet. As for size, I use a 36/37 normally"&amp;" but I do better with Superga 36, ​​and my sister the same, using 37/38 and asked the 37 and remain perfect. In addition, the shipping was very fast. 100% recommended.")</f>
        <v>Advisable to buy a pair for me and one for my sister and are perfect. And had a before and knew they would be comfortable, but to my surprise the model is improved and the sole is more enhanced and more comfortable yet. As for size, I use a 36/37 normally but I do better with Superga 36, ​​and my sister the same, using 37/38 and asked the 37 and remain perfect. In addition, the shipping was very fast. 100% recommended.</v>
      </c>
    </row>
    <row r="3099">
      <c r="A3099" s="1">
        <v>5.0</v>
      </c>
      <c r="B3099" s="1" t="s">
        <v>3084</v>
      </c>
      <c r="C3099" t="str">
        <f>IFERROR(__xludf.DUMMYFUNCTION("GOOGLETRANSLATE(B3099, ""es"", ""en"")"),"I wanted what I expected, comfortable wear them and walk with them")</f>
        <v>I wanted what I expected, comfortable wear them and walk with them</v>
      </c>
    </row>
    <row r="3100">
      <c r="A3100" s="1">
        <v>5.0</v>
      </c>
      <c r="B3100" s="1" t="s">
        <v>3085</v>
      </c>
      <c r="C3100" t="str">
        <f>IFERROR(__xludf.DUMMYFUNCTION("GOOGLETRANSLATE(B3100, ""es"", ""en"")"),"Album perfect size for photos 20x25 applies whether they are horizontal and vertical. Enter a large number of photos, and the presentation is great to say it has a reasonable price")</f>
        <v>Album perfect size for photos 20x25 applies whether they are horizontal and vertical. Enter a large number of photos, and the presentation is great to say it has a reasonable price</v>
      </c>
    </row>
    <row r="3101">
      <c r="A3101" s="1">
        <v>5.0</v>
      </c>
      <c r="B3101" s="1" t="s">
        <v>3086</v>
      </c>
      <c r="C3101" t="str">
        <f>IFERROR(__xludf.DUMMYFUNCTION("GOOGLETRANSLATE(B3101, ""es"", ""en"")"),"Very resistant very resistant and comfortable")</f>
        <v>Very resistant very resistant and comfortable</v>
      </c>
    </row>
    <row r="3102">
      <c r="A3102" s="1">
        <v>5.0</v>
      </c>
      <c r="B3102" s="1" t="s">
        <v>3087</v>
      </c>
      <c r="C3102" t="str">
        <f>IFERROR(__xludf.DUMMYFUNCTION("GOOGLETRANSLATE(B3102, ""es"", ""en"")"),"Very happy with the product I bought the ssd suggestion of a co-worker, since he had already made this purchase. And the truth is that it came super fast, the right size for my laptop and it is light. I put as the main disk and install the w10 home and th"&amp;"e truth is that there muuuuucha difference, my pc has 2 years and I had never been soooooo fast. To put it as the main drive in a laptop is much better to be more capable, but first wanted to try it, I have also storage which came from series 1 tb.")</f>
        <v>Very happy with the product I bought the ssd suggestion of a co-worker, since he had already made this purchase. And the truth is that it came super fast, the right size for my laptop and it is light. I put as the main disk and install the w10 home and the truth is that there muuuuucha difference, my pc has 2 years and I had never been soooooo fast. To put it as the main drive in a laptop is much better to be more capable, but first wanted to try it, I have also storage which came from series 1 tb.</v>
      </c>
    </row>
    <row r="3103">
      <c r="A3103" s="1">
        <v>5.0</v>
      </c>
      <c r="B3103" s="1" t="s">
        <v>3088</v>
      </c>
      <c r="C3103" t="str">
        <f>IFERROR(__xludf.DUMMYFUNCTION("GOOGLETRANSLATE(B3103, ""es"", ""en"")"),"Very good sound and good sound design and beautiful design, very good price for the product, I liked it for the moment. I recommend it.")</f>
        <v>Very good sound and good sound design and beautiful design, very good price for the product, I liked it for the moment. I recommend it.</v>
      </c>
    </row>
    <row r="3104">
      <c r="A3104" s="1">
        <v>5.0</v>
      </c>
      <c r="B3104" s="1" t="s">
        <v>3089</v>
      </c>
      <c r="C3104" t="str">
        <f>IFERROR(__xludf.DUMMYFUNCTION("GOOGLETRANSLATE(B3104, ""es"", ""en"")"),"Excellent quality / price They sound great with ANC. Time will tell if the switch buttons and ANC are sufficiently strong enough to last. Regarding the ""not changeable"" battery will also be the time who put things in place. Anyway by the quality / price"&amp;" they can not ask for more. Yes, if whole lasted long and it would be Monda.")</f>
        <v>Excellent quality / price They sound great with ANC. Time will tell if the switch buttons and ANC are sufficiently strong enough to last. Regarding the "not changeable" battery will also be the time who put things in place. Anyway by the quality / price they can not ask for more. Yes, if whole lasted long and it would be Monda.</v>
      </c>
    </row>
    <row r="3105">
      <c r="A3105" s="1">
        <v>5.0</v>
      </c>
      <c r="B3105" s="1" t="s">
        <v>3090</v>
      </c>
      <c r="C3105" t="str">
        <f>IFERROR(__xludf.DUMMYFUNCTION("GOOGLETRANSLATE(B3105, ""es"", ""en"")"),"Rr. Martens 1460 Back Smooth days ago I received size 43 boots and am very satisfied. And had some time ago Martens and although I use a size 43, decided to stop before a shop to prove the size 42. Very rarely chock 42 and wanted to make sure you buy the "&amp;"right number. 42 I was just the rather tight and considering that the boots will put thick socks in winter, it was clear that my size was 43. My recommendation it is to buy boots your usual size, and if you are a little big fat you put a sock to wear foot"&amp;" tight. The've bought at an attractive price, 86 €. In the street are 136 € about 10% in rebates (as the store clerk where I tested). My other question was whether the boots would be Black - Smooth (original) or Black (other black) as described on the web"&amp;". Although web-described ""Black Color"" are finally color Original Black Smooth as it is well marked on the outside of the box. In this sense, I think Amazon should be more specific descriptions. Also they describe ""Men"" and in the store they said they"&amp;" are unisex boots. The truth is that on the website of Martens distinguish between boots for men and women but opinion does not differ at all, only in size ... Regarding doubts whether they are original or not, (as I read in comments) me hard to believe t"&amp;"hat not be ... Amazon sells boots and sends that guarantees Amazon buying.")</f>
        <v>Rr. Martens 1460 Back Smooth days ago I received size 43 boots and am very satisfied. And had some time ago Martens and although I use a size 43, decided to stop before a shop to prove the size 42. Very rarely chock 42 and wanted to make sure you buy the right number. 42 I was just the rather tight and considering that the boots will put thick socks in winter, it was clear that my size was 43. My recommendation it is to buy boots your usual size, and if you are a little big fat you put a sock to wear foot tight. The've bought at an attractive price, 86 €. In the street are 136 € about 10% in rebates (as the store clerk where I tested). My other question was whether the boots would be Black - Smooth (original) or Black (other black) as described on the web. Although web-described "Black Color" are finally color Original Black Smooth as it is well marked on the outside of the box. In this sense, I think Amazon should be more specific descriptions. Also they describe "Men" and in the store they said they are unisex boots. The truth is that on the website of Martens distinguish between boots for men and women but opinion does not differ at all, only in size ... Regarding doubts whether they are original or not, (as I read in comments) me hard to believe that not be ... Amazon sells boots and sends that guarantees Amazon buying.</v>
      </c>
    </row>
    <row r="3106">
      <c r="A3106" s="1">
        <v>5.0</v>
      </c>
      <c r="B3106" s="1" t="s">
        <v>3091</v>
      </c>
      <c r="C3106" t="str">
        <f>IFERROR(__xludf.DUMMYFUNCTION("GOOGLETRANSLATE(B3106, ""es"", ""en"")"),"Nice and cheap rings rings 100% recommended. Nice and a good price. Sending fast and on time.")</f>
        <v>Nice and cheap rings rings 100% recommended. Nice and a good price. Sending fast and on time.</v>
      </c>
    </row>
    <row r="3107">
      <c r="A3107" s="1">
        <v>5.0</v>
      </c>
      <c r="B3107" s="1" t="s">
        <v>3092</v>
      </c>
      <c r="C3107" t="str">
        <f>IFERROR(__xludf.DUMMYFUNCTION("GOOGLETRANSLATE(B3107, ""es"", ""en"")"),"AVENT bottle This bottle is great. My son does not want another tetina")</f>
        <v>AVENT bottle This bottle is great. My son does not want another tetina</v>
      </c>
    </row>
    <row r="3108">
      <c r="A3108" s="1">
        <v>5.0</v>
      </c>
      <c r="B3108" s="1" t="s">
        <v>3093</v>
      </c>
      <c r="C3108" t="str">
        <f>IFERROR(__xludf.DUMMYFUNCTION("GOOGLETRANSLATE(B3108, ""es"", ""en"")"),"Perfect I have found it very economical, it is a well-known brand and quantity have forever as they are many.")</f>
        <v>Perfect I have found it very economical, it is a well-known brand and quantity have forever as they are many.</v>
      </c>
    </row>
    <row r="3109">
      <c r="A3109" s="1">
        <v>5.0</v>
      </c>
      <c r="B3109" s="1" t="s">
        <v>3094</v>
      </c>
      <c r="C3109" t="str">
        <f>IFERROR(__xludf.DUMMYFUNCTION("GOOGLETRANSLATE(B3109, ""es"", ""en"")"),"Excellent watch casio! As he expected light and functional! Casio quality is legit I'll buy it again in another color")</f>
        <v>Excellent watch casio! As he expected light and functional! Casio quality is legit I'll buy it again in another color</v>
      </c>
    </row>
    <row r="3110">
      <c r="A3110" s="1">
        <v>5.0</v>
      </c>
      <c r="B3110" s="1" t="s">
        <v>3095</v>
      </c>
      <c r="C3110" t="str">
        <f>IFERROR(__xludf.DUMMYFUNCTION("GOOGLETRANSLATE(B3110, ""es"", ""en"")"),"Perfect What I I expected")</f>
        <v>Perfect What I I expected</v>
      </c>
    </row>
    <row r="3111">
      <c r="A3111" s="1">
        <v>5.0</v>
      </c>
      <c r="B3111" s="1" t="s">
        <v>3096</v>
      </c>
      <c r="C3111" t="str">
        <f>IFERROR(__xludf.DUMMYFUNCTION("GOOGLETRANSLATE(B3111, ""es"", ""en"")"),"Summer tracksuit tracksuit is a lightweight, ideal for summer or to train with him. It takes tight and looks good. Nike gives enough size so if, as in my case usually use the M on clothes, you have to buy a S.")</f>
        <v>Summer tracksuit tracksuit is a lightweight, ideal for summer or to train with him. It takes tight and looks good. Nike gives enough size so if, as in my case usually use the M on clothes, you have to buy a S.</v>
      </c>
    </row>
    <row r="3112">
      <c r="A3112" s="1">
        <v>5.0</v>
      </c>
      <c r="B3112" s="1" t="s">
        <v>3097</v>
      </c>
      <c r="C3112" t="str">
        <f>IFERROR(__xludf.DUMMYFUNCTION("GOOGLETRANSLATE(B3112, ""es"", ""en"")"),"Good choice for PS4 Pro! And I have almost a year and I'm fine. In the event that the performance exceeds normal hdd and below a ssd.")</f>
        <v>Good choice for PS4 Pro! And I have almost a year and I'm fine. In the event that the performance exceeds normal hdd and below a ssd.</v>
      </c>
    </row>
    <row r="3113">
      <c r="A3113" s="1">
        <v>5.0</v>
      </c>
      <c r="B3113" s="1" t="s">
        <v>3098</v>
      </c>
      <c r="C3113" t="str">
        <f>IFERROR(__xludf.DUMMYFUNCTION("GOOGLETRANSLATE(B3113, ""es"", ""en"")"),"Good product value The use several hours a day and now they are working well (other brands do not usually last me many hours), and in principle value are fine")</f>
        <v>Good product value The use several hours a day and now they are working well (other brands do not usually last me many hours), and in principle value are fine</v>
      </c>
    </row>
    <row r="3114">
      <c r="A3114" s="1">
        <v>5.0</v>
      </c>
      <c r="B3114" s="1" t="s">
        <v>3099</v>
      </c>
      <c r="C3114" t="str">
        <f>IFERROR(__xludf.DUMMYFUNCTION("GOOGLETRANSLATE(B3114, ""es"", ""en"")"),"Average Not bad")</f>
        <v>Average Not bad</v>
      </c>
    </row>
    <row r="3115">
      <c r="A3115" s="1">
        <v>5.0</v>
      </c>
      <c r="B3115" s="1" t="s">
        <v>3100</v>
      </c>
      <c r="C3115" t="str">
        <f>IFERROR(__xludf.DUMMYFUNCTION("GOOGLETRANSLATE(B3115, ""es"", ""en"")"),"good quality and very nice big thing. I put spending by a template because they were big slgo. They are comfortable and good quality. They are very pretty.")</f>
        <v>good quality and very nice big thing. I put spending by a template because they were big slgo. They are comfortable and good quality. They are very pretty.</v>
      </c>
    </row>
    <row r="3116">
      <c r="A3116" s="1">
        <v>2.0</v>
      </c>
      <c r="B3116" s="1" t="s">
        <v>3101</v>
      </c>
      <c r="C3116" t="str">
        <f>IFERROR(__xludf.DUMMYFUNCTION("GOOGLETRANSLATE(B3116, ""es"", ""en"")"),"Bate wrong. But it's nice and easy to use. Lovely. Simple to use. The propeller can not be removed to wash it separately. Not bat well especially green leaves mind")</f>
        <v>Bate wrong. But it's nice and easy to use. Lovely. Simple to use. The propeller can not be removed to wash it separately. Not bat well especially green leaves mind</v>
      </c>
    </row>
    <row r="3117">
      <c r="A3117" s="1">
        <v>3.0</v>
      </c>
      <c r="B3117" s="1" t="s">
        <v>3102</v>
      </c>
      <c r="C3117" t="str">
        <f>IFERROR(__xludf.DUMMYFUNCTION("GOOGLETRANSLATE(B3117, ""es"", ""en"")"),"Box damaged bottles are good I give it 3 stars because it seems that the case happened a trailer above the rest by some very good bottles")</f>
        <v>Box damaged bottles are good I give it 3 stars because it seems that the case happened a trailer above the rest by some very good bottles</v>
      </c>
    </row>
    <row r="3118">
      <c r="A3118" s="1">
        <v>3.0</v>
      </c>
      <c r="B3118" s="1" t="s">
        <v>3103</v>
      </c>
      <c r="C3118" t="str">
        <f>IFERROR(__xludf.DUMMYFUNCTION("GOOGLETRANSLATE(B3118, ""es"", ""en"")"),"The great machine, the instructions leave much to be desired. Very useful and works well. Too bad the manufacturer instructions that leave much to be desired. They do not show them how to program areas where you do not want to enter the machine, although "&amp;"the manual says that since the app can do (and the app also indicated mode). If it were not for these things I would give five stars.")</f>
        <v>The great machine, the instructions leave much to be desired. Very useful and works well. Too bad the manufacturer instructions that leave much to be desired. They do not show them how to program areas where you do not want to enter the machine, although the manual says that since the app can do (and the app also indicated mode). If it were not for these things I would give five stars.</v>
      </c>
    </row>
    <row r="3119">
      <c r="A3119" s="1">
        <v>1.0</v>
      </c>
      <c r="B3119" s="1" t="s">
        <v>3104</v>
      </c>
      <c r="C3119" t="str">
        <f>IFERROR(__xludf.DUMMYFUNCTION("GOOGLETRANSLATE(B3119, ""es"", ""en"")"),"Poor quality Very poor quality, they will soon color")</f>
        <v>Poor quality Very poor quality, they will soon color</v>
      </c>
    </row>
    <row r="3120">
      <c r="A3120" s="1">
        <v>1.0</v>
      </c>
      <c r="B3120" s="1" t="s">
        <v>3105</v>
      </c>
      <c r="C3120" t="str">
        <f>IFERROR(__xludf.DUMMYFUNCTION("GOOGLETRANSLATE(B3120, ""es"", ""en"")"),"To me it did not work. I could not use it with new batteries failed a lot. Put on the shirt near the mouth, the sound between cortava.")</f>
        <v>To me it did not work. I could not use it with new batteries failed a lot. Put on the shirt near the mouth, the sound between cortava.</v>
      </c>
    </row>
    <row r="3121">
      <c r="A3121" s="1">
        <v>4.0</v>
      </c>
      <c r="B3121" s="1" t="s">
        <v>3106</v>
      </c>
      <c r="C3121" t="str">
        <f>IFERROR(__xludf.DUMMYFUNCTION("GOOGLETRANSLATE(B3121, ""es"", ""en"")"),"Bonito is well")</f>
        <v>Bonito is well</v>
      </c>
    </row>
    <row r="3122">
      <c r="A3122" s="1">
        <v>4.0</v>
      </c>
      <c r="B3122" s="1" t="s">
        <v>3107</v>
      </c>
      <c r="C3122" t="str">
        <f>IFERROR(__xludf.DUMMYFUNCTION("GOOGLETRANSLATE(B3122, ""es"", ""en"")"),"Luis arrived well and works perfectly, the movements of the excellent machine for those who like to note that the clock are")</f>
        <v>Luis arrived well and works perfectly, the movements of the excellent machine for those who like to note that the clock are</v>
      </c>
    </row>
    <row r="3123">
      <c r="A3123" s="1">
        <v>4.0</v>
      </c>
      <c r="B3123" s="1" t="s">
        <v>3108</v>
      </c>
      <c r="C3123" t="str">
        <f>IFERROR(__xludf.DUMMYFUNCTION("GOOGLETRANSLATE(B3123, ""es"", ""en"")"),"Its size smooth operation")</f>
        <v>Its size smooth operation</v>
      </c>
    </row>
    <row r="3124">
      <c r="A3124" s="1">
        <v>4.0</v>
      </c>
      <c r="B3124" s="1" t="s">
        <v>3109</v>
      </c>
      <c r="C3124" t="str">
        <f>IFERROR(__xludf.DUMMYFUNCTION("GOOGLETRANSLATE(B3124, ""es"", ""en"")"),"It's very nice is comfortable and as seen in the photo. Even plastic is very tough, I take daily and is such as Casios. Value for money very good.")</f>
        <v>It's very nice is comfortable and as seen in the photo. Even plastic is very tough, I take daily and is such as Casios. Value for money very good.</v>
      </c>
    </row>
    <row r="3125">
      <c r="A3125" s="1">
        <v>5.0</v>
      </c>
      <c r="B3125" s="1" t="s">
        <v>3110</v>
      </c>
      <c r="C3125" t="str">
        <f>IFERROR(__xludf.DUMMYFUNCTION("GOOGLETRANSLATE(B3125, ""es"", ""en"")"),"I like Value is great. Very pretty. Perhaps the chain having a tad long but the rest have nothing to say. We must wait its duration")</f>
        <v>I like Value is great. Very pretty. Perhaps the chain having a tad long but the rest have nothing to say. We must wait its duration</v>
      </c>
    </row>
    <row r="3126">
      <c r="A3126" s="1">
        <v>5.0</v>
      </c>
      <c r="B3126" s="1" t="s">
        <v>3111</v>
      </c>
      <c r="C3126" t="str">
        <f>IFERROR(__xludf.DUMMYFUNCTION("GOOGLETRANSLATE(B3126, ""es"", ""en"")"),"Quality unbeatable price When asked did not expect for the price they had to be as comfortable and as good quality also brings a case to keep they can be, quality unbeatable price.")</f>
        <v>Quality unbeatable price When asked did not expect for the price they had to be as comfortable and as good quality also brings a case to keep they can be, quality unbeatable price.</v>
      </c>
    </row>
    <row r="3127">
      <c r="A3127" s="1">
        <v>5.0</v>
      </c>
      <c r="B3127" s="1" t="s">
        <v>3112</v>
      </c>
      <c r="C3127" t="str">
        <f>IFERROR(__xludf.DUMMYFUNCTION("GOOGLETRANSLATE(B3127, ""es"", ""en"")"),"I will buy more! I bought it for a gift and I'm thinking of buy it for me! Perfect")</f>
        <v>I will buy more! I bought it for a gift and I'm thinking of buy it for me! Perfect</v>
      </c>
    </row>
    <row r="3128">
      <c r="A3128" s="1">
        <v>5.0</v>
      </c>
      <c r="B3128" s="1" t="s">
        <v>3113</v>
      </c>
      <c r="C3128" t="str">
        <f>IFERROR(__xludf.DUMMYFUNCTION("GOOGLETRANSLATE(B3128, ""es"", ""en"")"),"Excellent Blender both power and accessories, has two bottles that we use to create the desired smoothie or drink, we just have to put the knife in the glass and press it to start working. Another thing that caught my attention is that brings two bars to "&amp;"fill with water and freeze them and coupling them with thread to the top of the pot to stay cold drink and not a wise move especially in summer water down. It has enough power to chop any thing even ice. It also has a rubber sleeve to put it to the glass "&amp;"and better grip")</f>
        <v>Excellent Blender both power and accessories, has two bottles that we use to create the desired smoothie or drink, we just have to put the knife in the glass and press it to start working. Another thing that caught my attention is that brings two bars to fill with water and freeze them and coupling them with thread to the top of the pot to stay cold drink and not a wise move especially in summer water down. It has enough power to chop any thing even ice. It also has a rubber sleeve to put it to the glass and better grip</v>
      </c>
    </row>
    <row r="3129">
      <c r="A3129" s="1">
        <v>5.0</v>
      </c>
      <c r="B3129" s="1" t="s">
        <v>3114</v>
      </c>
      <c r="C3129" t="str">
        <f>IFERROR(__xludf.DUMMYFUNCTION("GOOGLETRANSLATE(B3129, ""es"", ""en"")"),"Electric jug Good product and good service delivery")</f>
        <v>Electric jug Good product and good service delivery</v>
      </c>
    </row>
    <row r="3130">
      <c r="A3130" s="1">
        <v>5.0</v>
      </c>
      <c r="B3130" s="1" t="s">
        <v>3115</v>
      </c>
      <c r="C3130" t="str">
        <f>IFERROR(__xludf.DUMMYFUNCTION("GOOGLETRANSLATE(B3130, ""es"", ""en"")"),"It pleased with the purchase I arrived at the date indicated. The stretcher is very easy to assemble and practice. Very happy with the purchase. It is comfortable and hold a lot of weight. It is very stable and does not move. Ideal for massage, reiki sess"&amp;"ions, etc. The only fault I can have is when moving it from place. It weighs a bit and it's great.")</f>
        <v>It pleased with the purchase I arrived at the date indicated. The stretcher is very easy to assemble and practice. Very happy with the purchase. It is comfortable and hold a lot of weight. It is very stable and does not move. Ideal for massage, reiki sessions, etc. The only fault I can have is when moving it from place. It weighs a bit and it's great.</v>
      </c>
    </row>
    <row r="3131">
      <c r="A3131" s="1">
        <v>5.0</v>
      </c>
      <c r="B3131" s="1" t="s">
        <v>3116</v>
      </c>
      <c r="C3131" t="str">
        <f>IFERROR(__xludf.DUMMYFUNCTION("GOOGLETRANSLATE(B3131, ""es"", ""en"")"),"A Kingston 32GB SDHC card always received 32GB in the original blister in Kingston, works perfectly, it's fast. Worth to wait a little to buy some of them for less than 8 euros, when there was no immediate need.")</f>
        <v>A Kingston 32GB SDHC card always received 32GB in the original blister in Kingston, works perfectly, it's fast. Worth to wait a little to buy some of them for less than 8 euros, when there was no immediate need.</v>
      </c>
    </row>
    <row r="3132">
      <c r="A3132" s="1">
        <v>5.0</v>
      </c>
      <c r="B3132" s="1" t="s">
        <v>3117</v>
      </c>
      <c r="C3132" t="str">
        <f>IFERROR(__xludf.DUMMYFUNCTION("GOOGLETRANSLATE(B3132, ""es"", ""en"")"),"Shoulder bag. Perfecto..es I expected. Thank you.")</f>
        <v>Shoulder bag. Perfecto..es I expected. Thank you.</v>
      </c>
    </row>
    <row r="3133">
      <c r="A3133" s="1">
        <v>5.0</v>
      </c>
      <c r="B3133" s="1" t="s">
        <v>3118</v>
      </c>
      <c r="C3133" t="str">
        <f>IFERROR(__xludf.DUMMYFUNCTION("GOOGLETRANSLATE(B3133, ""es"", ""en"")"),"stockings socks best. They are very good, without disturbing hold both foot and calf, I repeated the purchase, value for money unbeatable.")</f>
        <v>stockings socks best. They are very good, without disturbing hold both foot and calf, I repeated the purchase, value for money unbeatable.</v>
      </c>
    </row>
    <row r="3134">
      <c r="A3134" s="1">
        <v>5.0</v>
      </c>
      <c r="B3134" s="1" t="s">
        <v>3119</v>
      </c>
      <c r="C3134" t="str">
        <f>IFERROR(__xludf.DUMMYFUNCTION("GOOGLETRANSLATE(B3134, ""es"", ""en"")"),"perfect perfect")</f>
        <v>perfect perfect</v>
      </c>
    </row>
    <row r="3135">
      <c r="A3135" s="1">
        <v>5.0</v>
      </c>
      <c r="B3135" s="1" t="s">
        <v>3120</v>
      </c>
      <c r="C3135" t="str">
        <f>IFERROR(__xludf.DUMMYFUNCTION("GOOGLETRANSLATE(B3135, ""es"", ""en"")"),"attractive design and quality description corresponds to the product, very fast water boils and turns off by itself and maintains the temperature of the water alone so you do not have to worry about anything ... Goodbye dawdle. The last I had that I was n"&amp;"ot electric burned in the fire while doing other things ... The lacquer is of high quality. 100% satisfied with the purchase, I recommend it.")</f>
        <v>attractive design and quality description corresponds to the product, very fast water boils and turns off by itself and maintains the temperature of the water alone so you do not have to worry about anything ... Goodbye dawdle. The last I had that I was not electric burned in the fire while doing other things ... The lacquer is of high quality. 100% satisfied with the purchase, I recommend it.</v>
      </c>
    </row>
    <row r="3136">
      <c r="A3136" s="1">
        <v>5.0</v>
      </c>
      <c r="B3136" s="1" t="s">
        <v>3121</v>
      </c>
      <c r="C3136" t="str">
        <f>IFERROR(__xludf.DUMMYFUNCTION("GOOGLETRANSLATE(B3136, ""es"", ""en"")"),"The crown is perfect metal with rounded edges and smooth finish. The crystals are in close contact and it is a complete metal but does not weigh too much. My daughter has loved being a princess with her forever ..... The plastic crowns says they are not r"&amp;"eally .....")</f>
        <v>The crown is perfect metal with rounded edges and smooth finish. The crystals are in close contact and it is a complete metal but does not weigh too much. My daughter has loved being a princess with her forever ..... The plastic crowns says they are not really .....</v>
      </c>
    </row>
    <row r="3137">
      <c r="A3137" s="1">
        <v>5.0</v>
      </c>
      <c r="B3137" s="1" t="s">
        <v>3122</v>
      </c>
      <c r="C3137" t="str">
        <f>IFERROR(__xludf.DUMMYFUNCTION("GOOGLETRANSLATE(B3137, ""es"", ""en"")"),"Good shoes look great, very comfortable shoes and stylish, fabulous brand of shoes. BUY A recommended")</f>
        <v>Good shoes look great, very comfortable shoes and stylish, fabulous brand of shoes. BUY A recommended</v>
      </c>
    </row>
    <row r="3138">
      <c r="A3138" s="1">
        <v>5.0</v>
      </c>
      <c r="B3138" s="1" t="s">
        <v>3123</v>
      </c>
      <c r="C3138" t="str">
        <f>IFERROR(__xludf.DUMMYFUNCTION("GOOGLETRANSLATE(B3138, ""es"", ""en"")"),"very good gel to me in particular that I have multiple fractures do very well. an application in the morning and relieves pain me all day")</f>
        <v>very good gel to me in particular that I have multiple fractures do very well. an application in the morning and relieves pain me all day</v>
      </c>
    </row>
    <row r="3139">
      <c r="A3139" s="1">
        <v>5.0</v>
      </c>
      <c r="B3139" s="1" t="s">
        <v>3124</v>
      </c>
      <c r="C3139" t="str">
        <f>IFERROR(__xludf.DUMMYFUNCTION("GOOGLETRANSLATE(B3139, ""es"", ""en"")"),"Incredible power without spending a lot I think the best value. Super powerful, I crushed cashews and leaves super good. Only thing is the shape of the glass in my case (nuts) does not allow rotational movement of the product from top to bottom, but to ma"&amp;"ke smoothie and anything else is perfect without spending much. Fast delivery. perfect service.")</f>
        <v>Incredible power without spending a lot I think the best value. Super powerful, I crushed cashews and leaves super good. Only thing is the shape of the glass in my case (nuts) does not allow rotational movement of the product from top to bottom, but to make smoothie and anything else is perfect without spending much. Fast delivery. perfect service.</v>
      </c>
    </row>
    <row r="3140">
      <c r="A3140" s="1">
        <v>5.0</v>
      </c>
      <c r="B3140" s="1" t="s">
        <v>3125</v>
      </c>
      <c r="C3140" t="str">
        <f>IFERROR(__xludf.DUMMYFUNCTION("GOOGLETRANSLATE(B3140, ""es"", ""en"")"),"Fit nicely into vileda Perfectas stick, like the vileda fit in the same suit and not so expensive, the same quality and the same perfect function")</f>
        <v>Fit nicely into vileda Perfectas stick, like the vileda fit in the same suit and not so expensive, the same quality and the same perfect function</v>
      </c>
    </row>
    <row r="3141">
      <c r="A3141" s="1">
        <v>5.0</v>
      </c>
      <c r="B3141" s="1" t="s">
        <v>3126</v>
      </c>
      <c r="C3141" t="str">
        <f>IFERROR(__xludf.DUMMYFUNCTION("GOOGLETRANSLATE(B3141, ""es"", ""en"")"),"Nice small humidifier Easy to use and intuitive, have much variety of colors and modes, also has a remote control with which you can change all the functions.")</f>
        <v>Nice small humidifier Easy to use and intuitive, have much variety of colors and modes, also has a remote control with which you can change all the functions.</v>
      </c>
    </row>
    <row r="3142">
      <c r="A3142" s="1">
        <v>5.0</v>
      </c>
      <c r="B3142" s="1" t="s">
        <v>3127</v>
      </c>
      <c r="C3142" t="str">
        <f>IFERROR(__xludf.DUMMYFUNCTION("GOOGLETRANSLATE(B3142, ""es"", ""en"")"),"Elegant is very nice, very fine ideal to dress or sport ... perfect purchase. Basstante seems tough.")</f>
        <v>Elegant is very nice, very fine ideal to dress or sport ... perfect purchase. Basstante seems tough.</v>
      </c>
    </row>
    <row r="3143">
      <c r="A3143" s="1">
        <v>2.0</v>
      </c>
      <c r="B3143" s="1" t="s">
        <v>3128</v>
      </c>
      <c r="C3143" t="str">
        <f>IFERROR(__xludf.DUMMYFUNCTION("GOOGLETRANSLATE(B3143, ""es"", ""en"")"),"Very simple and sometimes useless Not what I expected, is very small, according to food nor short. an empty strange ago and heated easily.")</f>
        <v>Very simple and sometimes useless Not what I expected, is very small, according to food nor short. an empty strange ago and heated easily.</v>
      </c>
    </row>
    <row r="3144">
      <c r="A3144" s="1">
        <v>3.0</v>
      </c>
      <c r="B3144" s="1" t="s">
        <v>3129</v>
      </c>
      <c r="C3144" t="str">
        <f>IFERROR(__xludf.DUMMYFUNCTION("GOOGLETRANSLATE(B3144, ""es"", ""en"")"),"Fulfills its function. The value is not the best, plastic is an improved quality for the price and € 5 plus there are many better options.")</f>
        <v>Fulfills its function. The value is not the best, plastic is an improved quality for the price and € 5 plus there are many better options.</v>
      </c>
    </row>
    <row r="3145">
      <c r="A3145" s="1">
        <v>3.0</v>
      </c>
      <c r="B3145" s="1" t="s">
        <v>3130</v>
      </c>
      <c r="C3145" t="str">
        <f>IFERROR(__xludf.DUMMYFUNCTION("GOOGLETRANSLATE(B3145, ""es"", ""en"")"),"Pretty small but very small.")</f>
        <v>Pretty small but very small.</v>
      </c>
    </row>
    <row r="3146">
      <c r="A3146" s="1">
        <v>1.0</v>
      </c>
      <c r="B3146" s="1" t="s">
        <v>3131</v>
      </c>
      <c r="C3146" t="str">
        <f>IFERROR(__xludf.DUMMYFUNCTION("GOOGLETRANSLATE(B3146, ""es"", ""en"")"),"Terrible measurement holes does not match the standard rhythms rings.")</f>
        <v>Terrible measurement holes does not match the standard rhythms rings.</v>
      </c>
    </row>
    <row r="3147">
      <c r="A3147" s="1">
        <v>1.0</v>
      </c>
      <c r="B3147" s="1" t="s">
        <v>3132</v>
      </c>
      <c r="C3147" t="str">
        <f>IFERROR(__xludf.DUMMYFUNCTION("GOOGLETRANSLATE(B3147, ""es"", ""en"")"),"NOT to buy it! Bad purchase. I should heed the negative reviews of this product. The packaging was fine but the board came a vertical line, bossing it difficult writing. I can not return it because I need it urgently.")</f>
        <v>NOT to buy it! Bad purchase. I should heed the negative reviews of this product. The packaging was fine but the board came a vertical line, bossing it difficult writing. I can not return it because I need it urgently.</v>
      </c>
    </row>
    <row r="3148">
      <c r="A3148" s="1">
        <v>4.0</v>
      </c>
      <c r="B3148" s="1" t="s">
        <v>3133</v>
      </c>
      <c r="C3148" t="str">
        <f>IFERROR(__xludf.DUMMYFUNCTION("GOOGLETRANSLATE(B3148, ""es"", ""en"")"),"WELL, SOMETHING BUT THE FACE OF MALFUNCTION found something PERFORMANCE FACE FOR GIVING. THE APP FOR CONNECTING TO OTHER DEVICES, SUCH AS A MOBILE PHONE, is a little confusing and not always connected to the first.")</f>
        <v>WELL, SOMETHING BUT THE FACE OF MALFUNCTION found something PERFORMANCE FACE FOR GIVING. THE APP FOR CONNECTING TO OTHER DEVICES, SUCH AS A MOBILE PHONE, is a little confusing and not always connected to the first.</v>
      </c>
    </row>
    <row r="3149">
      <c r="A3149" s="1">
        <v>4.0</v>
      </c>
      <c r="B3149" s="1" t="s">
        <v>3134</v>
      </c>
      <c r="C3149" t="str">
        <f>IFERROR(__xludf.DUMMYFUNCTION("GOOGLETRANSLATE(B3149, ""es"", ""en"")"),"Very good timer Excellent product. Value in terms of automatic watches is the best. The bezel rotates perfectly, with a rattle achieved. The date can choose between two languages: Spanish / English. The automatic movement of the watch works perfectly. The"&amp;" mechanics of the watch is visible from the rear of the same. Generally it has a very good perceived quality for a watch its price. The only room for improvement would highlight, and which do not put 5 stars, it is that the crown will not threaded.")</f>
        <v>Very good timer Excellent product. Value in terms of automatic watches is the best. The bezel rotates perfectly, with a rattle achieved. The date can choose between two languages: Spanish / English. The automatic movement of the watch works perfectly. The mechanics of the watch is visible from the rear of the same. Generally it has a very good perceived quality for a watch its price. The only room for improvement would highlight, and which do not put 5 stars, it is that the crown will not threaded.</v>
      </c>
    </row>
    <row r="3150">
      <c r="A3150" s="1">
        <v>4.0</v>
      </c>
      <c r="B3150" s="1" t="s">
        <v>3135</v>
      </c>
      <c r="C3150" t="str">
        <f>IFERROR(__xludf.DUMMYFUNCTION("GOOGLETRANSLATE(B3150, ""es"", ""en"")"),"For my taste size is too small.")</f>
        <v>For my taste size is too small.</v>
      </c>
    </row>
    <row r="3151">
      <c r="A3151" s="1">
        <v>4.0</v>
      </c>
      <c r="B3151" s="1" t="s">
        <v>3136</v>
      </c>
      <c r="C3151" t="str">
        <f>IFERROR(__xludf.DUMMYFUNCTION("GOOGLETRANSLATE(B3151, ""es"", ""en"")"),"The only bad bad closing the closing of the clock does not close very well and can risk getting lost.")</f>
        <v>The only bad bad closing the closing of the clock does not close very well and can risk getting lost.</v>
      </c>
    </row>
    <row r="3152">
      <c r="A3152" s="1">
        <v>4.0</v>
      </c>
      <c r="B3152" s="1" t="s">
        <v>3137</v>
      </c>
      <c r="C3152" t="str">
        <f>IFERROR(__xludf.DUMMYFUNCTION("GOOGLETRANSLATE(B3152, ""es"", ""en"")"),"The small carved returned because you have to ask a number or average number plus at least, otherwise very beautiful, the back to buy.")</f>
        <v>The small carved returned because you have to ask a number or average number plus at least, otherwise very beautiful, the back to buy.</v>
      </c>
    </row>
    <row r="3153">
      <c r="A3153" s="1">
        <v>5.0</v>
      </c>
      <c r="B3153" s="1" t="s">
        <v>3138</v>
      </c>
      <c r="C3153" t="str">
        <f>IFERROR(__xludf.DUMMYFUNCTION("GOOGLETRANSLATE(B3153, ""es"", ""en"")"),"Well had the EXPLORER 500 and asked to have it this spare and not much difference in sound with the other and this battery lasts longer. The Explorer 500 worth almost double ...")</f>
        <v>Well had the EXPLORER 500 and asked to have it this spare and not much difference in sound with the other and this battery lasts longer. The Explorer 500 worth almost double ...</v>
      </c>
    </row>
    <row r="3154">
      <c r="A3154" s="1">
        <v>5.0</v>
      </c>
      <c r="B3154" s="1" t="s">
        <v>3139</v>
      </c>
      <c r="C3154" t="str">
        <f>IFERROR(__xludf.DUMMYFUNCTION("GOOGLETRANSLATE(B3154, ""es"", ""en"")"),"Cover perfectly I tried other brands, but the liquid has always works for me perfectly, so I repeat with. I took several months without replenish it and I bought not stay without it. 1L format saving worth.")</f>
        <v>Cover perfectly I tried other brands, but the liquid has always works for me perfectly, so I repeat with. I took several months without replenish it and I bought not stay without it. 1L format saving worth.</v>
      </c>
    </row>
    <row r="3155">
      <c r="A3155" s="1">
        <v>5.0</v>
      </c>
      <c r="B3155" s="1" t="s">
        <v>3140</v>
      </c>
      <c r="C3155" t="str">
        <f>IFERROR(__xludf.DUMMYFUNCTION("GOOGLETRANSLATE(B3155, ""es"", ""en"")"),"sheaths inside if looking covers not see that they are not transparent, and are somewhat rigid these are perfect. not seen the interior and the quality is great")</f>
        <v>sheaths inside if looking covers not see that they are not transparent, and are somewhat rigid these are perfect. not seen the interior and the quality is great</v>
      </c>
    </row>
    <row r="3156">
      <c r="A3156" s="1">
        <v>5.0</v>
      </c>
      <c r="B3156" s="1" t="s">
        <v>3141</v>
      </c>
      <c r="C3156" t="str">
        <f>IFERROR(__xludf.DUMMYFUNCTION("GOOGLETRANSLATE(B3156, ""es"", ""en"")"),"Very nice color chiflan me! They are very nice, same as in the photo. The colors are beautiful. Great value can not ask for more!")</f>
        <v>Very nice color chiflan me! They are very nice, same as in the photo. The colors are beautiful. Great value can not ask for more!</v>
      </c>
    </row>
    <row r="3157">
      <c r="A3157" s="1">
        <v>5.0</v>
      </c>
      <c r="B3157" s="1" t="s">
        <v>3142</v>
      </c>
      <c r="C3157" t="str">
        <f>IFERROR(__xludf.DUMMYFUNCTION("GOOGLETRANSLATE(B3157, ""es"", ""en"")"),"Very very light weight bien.Es a fantastic gift")</f>
        <v>Very very light weight bien.Es a fantastic gift</v>
      </c>
    </row>
    <row r="3158">
      <c r="A3158" s="1">
        <v>5.0</v>
      </c>
      <c r="B3158" s="1" t="s">
        <v>3143</v>
      </c>
      <c r="C3158" t="str">
        <f>IFERROR(__xludf.DUMMYFUNCTION("GOOGLETRANSLATE(B3158, ""es"", ""en"")"),"Plug and ready I wanted to have a humidor and I decided on this and so far quite happy with the purchase. Simple operation, you have several options to turn off at a certain time or continuous. The aroma is right without being pretentious. Odor mild for s"&amp;"mall rooms. If you want a very large room perfuming I think this is not enough. In short, more than happy with the purchase.")</f>
        <v>Plug and ready I wanted to have a humidor and I decided on this and so far quite happy with the purchase. Simple operation, you have several options to turn off at a certain time or continuous. The aroma is right without being pretentious. Odor mild for small rooms. If you want a very large room perfuming I think this is not enough. In short, more than happy with the purchase.</v>
      </c>
    </row>
    <row r="3159">
      <c r="A3159" s="1">
        <v>5.0</v>
      </c>
      <c r="B3159" s="1" t="s">
        <v>3144</v>
      </c>
      <c r="C3159" t="str">
        <f>IFERROR(__xludf.DUMMYFUNCTION("GOOGLETRANSLATE(B3159, ""es"", ""en"")"),"Good support and sound certainly seemed to me the most comfortable headphones I've bought so far. The sound quality is good, generally has good treble and bass. Something I hate about some headphones esque slip and fall off, instead these not remain perfe"&amp;"ctly adherent. The case is tiny, perfect to carry in your pocket. The connection is 5.0 and has a good battery, so far there I ran out of battery at the exit. Touch controls allow play / pause, volume up / down, previous / next song and I think you can re"&amp;"ject calls and activate assistant. Very pleased with purchase, good money.")</f>
        <v>Good support and sound certainly seemed to me the most comfortable headphones I've bought so far. The sound quality is good, generally has good treble and bass. Something I hate about some headphones esque slip and fall off, instead these not remain perfectly adherent. The case is tiny, perfect to carry in your pocket. The connection is 5.0 and has a good battery, so far there I ran out of battery at the exit. Touch controls allow play / pause, volume up / down, previous / next song and I think you can reject calls and activate assistant. Very pleased with purchase, good money.</v>
      </c>
    </row>
    <row r="3160">
      <c r="A3160" s="1">
        <v>5.0</v>
      </c>
      <c r="B3160" s="1" t="s">
        <v>3145</v>
      </c>
      <c r="C3160" t="str">
        <f>IFERROR(__xludf.DUMMYFUNCTION("GOOGLETRANSLATE(B3160, ""es"", ""en"")"),"Excellent Good product.")</f>
        <v>Excellent Good product.</v>
      </c>
    </row>
    <row r="3161">
      <c r="A3161" s="1">
        <v>5.0</v>
      </c>
      <c r="B3161" s="1" t="s">
        <v>3146</v>
      </c>
      <c r="C3161" t="str">
        <f>IFERROR(__xludf.DUMMYFUNCTION("GOOGLETRANSLATE(B3161, ""es"", ""en"")"),"Very comfortable I use to go running. Endure well in the ear also comes with 3 different sizes of each piece. It takes a clip that can be removed to hold the cable in the back of the shirt. It is extremely useful as well not move anything. They sound pret"&amp;"ty good. I'm happy.")</f>
        <v>Very comfortable I use to go running. Endure well in the ear also comes with 3 different sizes of each piece. It takes a clip that can be removed to hold the cable in the back of the shirt. It is extremely useful as well not move anything. They sound pretty good. I'm happy.</v>
      </c>
    </row>
    <row r="3162">
      <c r="A3162" s="1">
        <v>5.0</v>
      </c>
      <c r="B3162" s="1" t="s">
        <v>42</v>
      </c>
      <c r="C3162" t="str">
        <f>IFERROR(__xludf.DUMMYFUNCTION("GOOGLETRANSLATE(B3162, ""es"", ""en"")"),"Well well")</f>
        <v>Well well</v>
      </c>
    </row>
    <row r="3163">
      <c r="A3163" s="1">
        <v>5.0</v>
      </c>
      <c r="B3163" s="1" t="s">
        <v>3147</v>
      </c>
      <c r="C3163" t="str">
        <f>IFERROR(__xludf.DUMMYFUNCTION("GOOGLETRANSLATE(B3163, ""es"", ""en"")"),"Very good Ideal for any type of audio plug them and see the result, for computers, home theater Tables table mezclas.Jose Maria")</f>
        <v>Very good Ideal for any type of audio plug them and see the result, for computers, home theater Tables table mezclas.Jose Maria</v>
      </c>
    </row>
    <row r="3164">
      <c r="A3164" s="1">
        <v>5.0</v>
      </c>
      <c r="B3164" s="1" t="s">
        <v>3148</v>
      </c>
      <c r="C3164" t="str">
        <f>IFERROR(__xludf.DUMMYFUNCTION("GOOGLETRANSLATE(B3164, ""es"", ""en"")"),"Super comfy fit.")</f>
        <v>Super comfy fit.</v>
      </c>
    </row>
    <row r="3165">
      <c r="A3165" s="1">
        <v>5.0</v>
      </c>
      <c r="B3165" s="1" t="s">
        <v>3149</v>
      </c>
      <c r="C3165" t="str">
        <f>IFERROR(__xludf.DUMMYFUNCTION("GOOGLETRANSLATE(B3165, ""es"", ""en"")"),"Conchi very good quality sweatshirt and give size. They are spacious. I have reached the intended day. Very happy with my order")</f>
        <v>Conchi very good quality sweatshirt and give size. They are spacious. I have reached the intended day. Very happy with my order</v>
      </c>
    </row>
    <row r="3166">
      <c r="A3166" s="1">
        <v>5.0</v>
      </c>
      <c r="B3166" s="1" t="s">
        <v>3150</v>
      </c>
      <c r="C3166" t="str">
        <f>IFERROR(__xludf.DUMMYFUNCTION("GOOGLETRANSLATE(B3166, ""es"", ""en"")"),"Pretty good shoes, comfortable, economical and always ask for a full size to yours")</f>
        <v>Pretty good shoes, comfortable, economical and always ask for a full size to yours</v>
      </c>
    </row>
    <row r="3167">
      <c r="A3167" s="1">
        <v>5.0</v>
      </c>
      <c r="B3167" s="1" t="s">
        <v>3151</v>
      </c>
      <c r="C3167" t="str">
        <f>IFERROR(__xludf.DUMMYFUNCTION("GOOGLETRANSLATE(B3167, ""es"", ""en"")"),"very comfortable slippers. Buy them for my son and is very comfortable with them so volvo to buy to have a chance for another n if any. The size commonly used.")</f>
        <v>very comfortable slippers. Buy them for my son and is very comfortable with them so volvo to buy to have a chance for another n if any. The size commonly used.</v>
      </c>
    </row>
    <row r="3168">
      <c r="A3168" s="1">
        <v>5.0</v>
      </c>
      <c r="B3168" s="1" t="s">
        <v>3152</v>
      </c>
      <c r="C3168" t="str">
        <f>IFERROR(__xludf.DUMMYFUNCTION("GOOGLETRANSLATE(B3168, ""es"", ""en"")"),"This terrific very good, it is very easy to use and viend with instructions and an app. The material is firm and good quality, I've used it for college without any problem, and tried to connect it to my mac, my iphone and pc to college. So far very good p"&amp;"roduct.")</f>
        <v>This terrific very good, it is very easy to use and viend with instructions and an app. The material is firm and good quality, I've used it for college without any problem, and tried to connect it to my mac, my iphone and pc to college. So far very good product.</v>
      </c>
    </row>
    <row r="3169">
      <c r="A3169" s="1">
        <v>5.0</v>
      </c>
      <c r="B3169" s="1" t="s">
        <v>3153</v>
      </c>
      <c r="C3169" t="str">
        <f>IFERROR(__xludf.DUMMYFUNCTION("GOOGLETRANSLATE(B3169, ""es"", ""en"")"),"ANDIE was looking for a handsfree compatible with my smartphone. I opted for this to be a brand more or less known, because I can not well say anything other than a success in the making. Lights and binds to the cell in a second, listening to perfection c"&amp;"alls and music the cell, small and fits well to the ear, the battery lasts much about 6 hours, and does not fall as with others. Delivery is very fast and then it is put into operation because it is very quick to understand operation. In my case my work w"&amp;"ith my cell phone is a Samsung galaxy s7. A good buy without question.")</f>
        <v>ANDIE was looking for a handsfree compatible with my smartphone. I opted for this to be a brand more or less known, because I can not well say anything other than a success in the making. Lights and binds to the cell in a second, listening to perfection calls and music the cell, small and fits well to the ear, the battery lasts much about 6 hours, and does not fall as with others. Delivery is very fast and then it is put into operation because it is very quick to understand operation. In my case my work with my cell phone is a Samsung galaxy s7. A good buy without question.</v>
      </c>
    </row>
    <row r="3170">
      <c r="A3170" s="1">
        <v>5.0</v>
      </c>
      <c r="B3170" s="1" t="s">
        <v>3154</v>
      </c>
      <c r="C3170" t="str">
        <f>IFERROR(__xludf.DUMMYFUNCTION("GOOGLETRANSLATE(B3170, ""es"", ""en"")"),"It works very practical and reliable")</f>
        <v>It works very practical and reliable</v>
      </c>
    </row>
    <row r="3171">
      <c r="A3171" s="1">
        <v>5.0</v>
      </c>
      <c r="B3171" s="1" t="s">
        <v>3155</v>
      </c>
      <c r="C3171" t="str">
        <f>IFERROR(__xludf.DUMMYFUNCTION("GOOGLETRANSLATE(B3171, ""es"", ""en"")"),"I love quito.me not love me")</f>
        <v>I love quito.me not love me</v>
      </c>
    </row>
    <row r="3172">
      <c r="A3172" s="1">
        <v>2.0</v>
      </c>
      <c r="B3172" s="1" t="s">
        <v>3156</v>
      </c>
      <c r="C3172" t="str">
        <f>IFERROR(__xludf.DUMMYFUNCTION("GOOGLETRANSLATE(B3172, ""es"", ""en"")"),"Robot Vacuum Aspira pretty good but the map does not do well, to make areas there is no way to do separate rooms. Several board. The suction power is lower than the xiaomi")</f>
        <v>Robot Vacuum Aspira pretty good but the map does not do well, to make areas there is no way to do separate rooms. Several board. The suction power is lower than the xiaomi</v>
      </c>
    </row>
    <row r="3173">
      <c r="A3173" s="1">
        <v>3.0</v>
      </c>
      <c r="B3173" s="1" t="s">
        <v>3157</v>
      </c>
      <c r="C3173" t="str">
        <f>IFERROR(__xludf.DUMMYFUNCTION("GOOGLETRANSLATE(B3173, ""es"", ""en"")"),"Ok precious Son, the only thing is that the smallest are not plump for the whole. But otherwise everything OK")</f>
        <v>Ok precious Son, the only thing is that the smallest are not plump for the whole. But otherwise everything OK</v>
      </c>
    </row>
    <row r="3174">
      <c r="A3174" s="1">
        <v>3.0</v>
      </c>
      <c r="B3174" s="1" t="s">
        <v>3158</v>
      </c>
      <c r="C3174" t="str">
        <f>IFERROR(__xludf.DUMMYFUNCTION("GOOGLETRANSLATE(B3174, ""es"", ""en"")"),"I ordered a wrong size 43/44 and came a 41/42. I was no longer time to return them and take them on time so I left me and I went with small flip-flops. Otherwise as expected")</f>
        <v>I ordered a wrong size 43/44 and came a 41/42. I was no longer time to return them and take them on time so I left me and I went with small flip-flops. Otherwise as expected</v>
      </c>
    </row>
    <row r="3175">
      <c r="A3175" s="1">
        <v>1.0</v>
      </c>
      <c r="B3175" s="1" t="s">
        <v>3159</v>
      </c>
      <c r="C3175" t="str">
        <f>IFERROR(__xludf.DUMMYFUNCTION("GOOGLETRANSLATE(B3175, ""es"", ""en"")"),"Tomorrow crappy quality, bad finishes, they look tatty. But to what cost you can not ask for more.")</f>
        <v>Tomorrow crappy quality, bad finishes, they look tatty. But to what cost you can not ask for more.</v>
      </c>
    </row>
    <row r="3176">
      <c r="A3176" s="1">
        <v>1.0</v>
      </c>
      <c r="B3176" s="1" t="s">
        <v>3160</v>
      </c>
      <c r="C3176" t="str">
        <f>IFERROR(__xludf.DUMMYFUNCTION("GOOGLETRANSLATE(B3176, ""es"", ""en"")"),"Bad connection Bluetooth Sound is good. What is ominous is the Bluetooth connection, which stutters talks even if you're a mobile centimeters. Too bad because they are very comfortable. But for calls do not go well, so I returned. I will try the top model"&amp;" to see if they have solved that ruling, because for the rest the quality is not bad.")</f>
        <v>Bad connection Bluetooth Sound is good. What is ominous is the Bluetooth connection, which stutters talks even if you're a mobile centimeters. Too bad because they are very comfortable. But for calls do not go well, so I returned. I will try the top model to see if they have solved that ruling, because for the rest the quality is not bad.</v>
      </c>
    </row>
    <row r="3177">
      <c r="A3177" s="1">
        <v>4.0</v>
      </c>
      <c r="B3177" s="1" t="s">
        <v>3161</v>
      </c>
      <c r="C3177" t="str">
        <f>IFERROR(__xludf.DUMMYFUNCTION("GOOGLETRANSLATE(B3177, ""es"", ""en"")"),"Heats water good buy super fast and indicators are perfect for indoor amount not take more water than desired. Aesthetically it is nice and put a but I will say that touch once the water has warmed, if you touch the outside is hot and can get to burn. In "&amp;"short I will say that I recommend it to 100%, and if you hook flash as it offers better yet.")</f>
        <v>Heats water good buy super fast and indicators are perfect for indoor amount not take more water than desired. Aesthetically it is nice and put a but I will say that touch once the water has warmed, if you touch the outside is hot and can get to burn. In short I will say that I recommend it to 100%, and if you hook flash as it offers better yet.</v>
      </c>
    </row>
    <row r="3178">
      <c r="A3178" s="1">
        <v>4.0</v>
      </c>
      <c r="B3178" s="1" t="s">
        <v>3162</v>
      </c>
      <c r="C3178" t="str">
        <f>IFERROR(__xludf.DUMMYFUNCTION("GOOGLETRANSLATE(B3178, ""es"", ""en"")"),"Comfortable, basic comfortable shoes and basic sport of the day.")</f>
        <v>Comfortable, basic comfortable shoes and basic sport of the day.</v>
      </c>
    </row>
    <row r="3179">
      <c r="A3179" s="1">
        <v>4.0</v>
      </c>
      <c r="B3179" s="1" t="s">
        <v>3163</v>
      </c>
      <c r="C3179" t="str">
        <f>IFERROR(__xludf.DUMMYFUNCTION("GOOGLETRANSLATE(B3179, ""es"", ""en"")"),"Very comfortable really comfortable and warm. Perhaps the only but I see that transpire rather little and the insole has to move and get away because they are somewhat fair.")</f>
        <v>Very comfortable really comfortable and warm. Perhaps the only but I see that transpire rather little and the insole has to move and get away because they are somewhat fair.</v>
      </c>
    </row>
    <row r="3180">
      <c r="A3180" s="1">
        <v>4.0</v>
      </c>
      <c r="B3180" s="1" t="s">
        <v>3164</v>
      </c>
      <c r="C3180" t="str">
        <f>IFERROR(__xludf.DUMMYFUNCTION("GOOGLETRANSLATE(B3180, ""es"", ""en"")"),"Quality and value of good quality for the price of a couple in any store here have 8 different pairs arrive beautifully presented in a nice box and packaged in pairs.")</f>
        <v>Quality and value of good quality for the price of a couple in any store here have 8 different pairs arrive beautifully presented in a nice box and packaged in pairs.</v>
      </c>
    </row>
    <row r="3181">
      <c r="A3181" s="1">
        <v>4.0</v>
      </c>
      <c r="B3181" s="1" t="s">
        <v>3165</v>
      </c>
      <c r="C3181" t="str">
        <f>IFERROR(__xludf.DUMMYFUNCTION("GOOGLETRANSLATE(B3181, ""es"", ""en"")"),"practice and small is fine for home use or little use is small and not very powerful but perfectly fulfills its mission. purees, mayonnaise, milkshakes ...... Pratica and comfortable to use a single button.")</f>
        <v>practice and small is fine for home use or little use is small and not very powerful but perfectly fulfills its mission. purees, mayonnaise, milkshakes ...... Pratica and comfortable to use a single button.</v>
      </c>
    </row>
    <row r="3182">
      <c r="A3182" s="1">
        <v>5.0</v>
      </c>
      <c r="B3182" s="1" t="s">
        <v>3166</v>
      </c>
      <c r="C3182" t="str">
        <f>IFERROR(__xludf.DUMMYFUNCTION("GOOGLETRANSLATE(B3182, ""es"", ""en"")"),"Great fun. The micro hear very well and the music sounds like a normal speaker. It is perfect for parties and karaoke mount very quickly. It is connected by bloothoot and also the battery is very durable.")</f>
        <v>Great fun. The micro hear very well and the music sounds like a normal speaker. It is perfect for parties and karaoke mount very quickly. It is connected by bloothoot and also the battery is very durable.</v>
      </c>
    </row>
    <row r="3183">
      <c r="A3183" s="1">
        <v>5.0</v>
      </c>
      <c r="B3183" s="1" t="s">
        <v>3167</v>
      </c>
      <c r="C3183" t="str">
        <f>IFERROR(__xludf.DUMMYFUNCTION("GOOGLETRANSLATE(B3183, ""es"", ""en"")"),"My favorite brand Super very comfortable and light, it is like being in a cloud. The use of both winter and spring, I love are the third I buy.")</f>
        <v>My favorite brand Super very comfortable and light, it is like being in a cloud. The use of both winter and spring, I love are the third I buy.</v>
      </c>
    </row>
    <row r="3184">
      <c r="A3184" s="1">
        <v>5.0</v>
      </c>
      <c r="B3184" s="1" t="s">
        <v>3168</v>
      </c>
      <c r="C3184" t="str">
        <f>IFERROR(__xludf.DUMMYFUNCTION("GOOGLETRANSLATE(B3184, ""es"", ""en"")"),"USB metal tiny with a great price is smaller than I figured that for some things go well and others not so much, ideal to carry on keychain, sturdy its metal casing, and so far very well, since I had many USB many brands and ultimately fail, but it still "&amp;"took some time, the only downside is that leads led operation, but in this size and already many models of USB, do not carry it, which for me is useful to see if this reading or writing, otherwise quality unbeatable price. super fast delivery, always happ"&amp;"y with Amazon")</f>
        <v>USB metal tiny with a great price is smaller than I figured that for some things go well and others not so much, ideal to carry on keychain, sturdy its metal casing, and so far very well, since I had many USB many brands and ultimately fail, but it still took some time, the only downside is that leads led operation, but in this size and already many models of USB, do not carry it, which for me is useful to see if this reading or writing, otherwise quality unbeatable price. super fast delivery, always happy with Amazon</v>
      </c>
    </row>
    <row r="3185">
      <c r="A3185" s="1">
        <v>5.0</v>
      </c>
      <c r="B3185" s="1" t="s">
        <v>3169</v>
      </c>
      <c r="C3185" t="str">
        <f>IFERROR(__xludf.DUMMYFUNCTION("GOOGLETRANSLATE(B3185, ""es"", ""en"")"),". It is elegant liked it a lot")</f>
        <v>. It is elegant liked it a lot</v>
      </c>
    </row>
    <row r="3186">
      <c r="A3186" s="1">
        <v>5.0</v>
      </c>
      <c r="B3186" s="1" t="s">
        <v>3170</v>
      </c>
      <c r="C3186" t="str">
        <f>IFERROR(__xludf.DUMMYFUNCTION("GOOGLETRANSLATE(B3186, ""es"", ""en"")"),"POSITIVE ASPECTS mini version + brings 2 bottles equal laptops. + The finish and design. + Security Lock. NEGATIVE ASPECTS - In the first uses gives off a slight odor.")</f>
        <v>POSITIVE ASPECTS mini version + brings 2 bottles equal laptops. + The finish and design. + Security Lock. NEGATIVE ASPECTS - In the first uses gives off a slight odor.</v>
      </c>
    </row>
    <row r="3187">
      <c r="A3187" s="1">
        <v>5.0</v>
      </c>
      <c r="B3187" s="1" t="s">
        <v>3171</v>
      </c>
      <c r="C3187" t="str">
        <f>IFERROR(__xludf.DUMMYFUNCTION("GOOGLETRANSLATE(B3187, ""es"", ""en"")"),"Great watch price Angel warm color is gorgeous to being a matte black tactico it makes it very comfortable and fits perfectly to the wrist.")</f>
        <v>Great watch price Angel warm color is gorgeous to being a matte black tactico it makes it very comfortable and fits perfectly to the wrist.</v>
      </c>
    </row>
    <row r="3188">
      <c r="A3188" s="1">
        <v>5.0</v>
      </c>
      <c r="B3188" s="1" t="s">
        <v>3172</v>
      </c>
      <c r="C3188" t="str">
        <f>IFERROR(__xludf.DUMMYFUNCTION("GOOGLETRANSLATE(B3188, ""es"", ""en"")"),"Very comfortable very comfortable and nicely carved this model. I use to walk x city and are great. For all seasons, perhaps in the summer if you sweat a lot the foot does not perspire a lot, I do not sweat, not me off. They look great. I'd definitely rec"&amp;"ommend. And a invatible price.")</f>
        <v>Very comfortable very comfortable and nicely carved this model. I use to walk x city and are great. For all seasons, perhaps in the summer if you sweat a lot the foot does not perspire a lot, I do not sweat, not me off. They look great. I'd definitely recommend. And a invatible price.</v>
      </c>
    </row>
    <row r="3189">
      <c r="A3189" s="1">
        <v>5.0</v>
      </c>
      <c r="B3189" s="1" t="s">
        <v>3173</v>
      </c>
      <c r="C3189" t="str">
        <f>IFERROR(__xludf.DUMMYFUNCTION("GOOGLETRANSLATE(B3189, ""es"", ""en"")"),"I love to me is one of the most accurate of the brand, even greater than the brush, because you can measure the amount of product and apply the exact place to do it. The price is good and adhesion further.")</f>
        <v>I love to me is one of the most accurate of the brand, even greater than the brush, because you can measure the amount of product and apply the exact place to do it. The price is good and adhesion further.</v>
      </c>
    </row>
    <row r="3190">
      <c r="A3190" s="1">
        <v>5.0</v>
      </c>
      <c r="B3190" s="1" t="s">
        <v>3174</v>
      </c>
      <c r="C3190" t="str">
        <f>IFERROR(__xludf.DUMMYFUNCTION("GOOGLETRANSLATE(B3190, ""es"", ""en"")"),"I bought very successful pendants and both relics like the very cool turner. Relics I was expecting something bigger but has very good finish and consistent, I mean, it's not breaking finite. Very happy")</f>
        <v>I bought very successful pendants and both relics like the very cool turner. Relics I was expecting something bigger but has very good finish and consistent, I mean, it's not breaking finite. Very happy</v>
      </c>
    </row>
    <row r="3191">
      <c r="A3191" s="1">
        <v>5.0</v>
      </c>
      <c r="B3191" s="1" t="s">
        <v>3175</v>
      </c>
      <c r="C3191" t="str">
        <f>IFERROR(__xludf.DUMMYFUNCTION("GOOGLETRANSLATE(B3191, ""es"", ""en"")"),"Pending right size originals are large but not excessively, light, not heavy, the colors are as is seen in the photo. Very happy with the purchase, they are very nice")</f>
        <v>Pending right size originals are large but not excessively, light, not heavy, the colors are as is seen in the photo. Very happy with the purchase, they are very nice</v>
      </c>
    </row>
    <row r="3192">
      <c r="A3192" s="1">
        <v>5.0</v>
      </c>
      <c r="B3192" s="1" t="s">
        <v>3176</v>
      </c>
      <c r="C3192" t="str">
        <f>IFERROR(__xludf.DUMMYFUNCTION("GOOGLETRANSLATE(B3192, ""es"", ""en"")"),"I regret NOT HAVE DONE THIS PURCHASE delayed 8 seconds DIARIES MORE OR LESS BUT IS NORMAL IN ESTES WATCH THE REST PERFECT")</f>
        <v>I regret NOT HAVE DONE THIS PURCHASE delayed 8 seconds DIARIES MORE OR LESS BUT IS NORMAL IN ESTES WATCH THE REST PERFECT</v>
      </c>
    </row>
    <row r="3193">
      <c r="A3193" s="1">
        <v>5.0</v>
      </c>
      <c r="B3193" s="1" t="s">
        <v>3177</v>
      </c>
      <c r="C3193" t="str">
        <f>IFERROR(__xludf.DUMMYFUNCTION("GOOGLETRANSLATE(B3193, ""es"", ""en"")"),"Excellent blender After a week of use almost daily, I must say I am delighted with the product I emphasize: - Ease of use and automatic mode - Power (good ice pica) - Cleanability")</f>
        <v>Excellent blender After a week of use almost daily, I must say I am delighted with the product I emphasize: - Ease of use and automatic mode - Power (good ice pica) - Cleanability</v>
      </c>
    </row>
    <row r="3194">
      <c r="A3194" s="1">
        <v>5.0</v>
      </c>
      <c r="B3194" s="1" t="s">
        <v>3178</v>
      </c>
      <c r="C3194" t="str">
        <f>IFERROR(__xludf.DUMMYFUNCTION("GOOGLETRANSLATE(B3194, ""es"", ""en"")"),"Ideal and very well achieved. I liked much, the material is fairly rigid, size, very suitable, fit 4 bolis perfectly.")</f>
        <v>Ideal and very well achieved. I liked much, the material is fairly rigid, size, very suitable, fit 4 bolis perfectly.</v>
      </c>
    </row>
    <row r="3195">
      <c r="A3195" s="1">
        <v>5.0</v>
      </c>
      <c r="B3195" s="1" t="s">
        <v>3179</v>
      </c>
      <c r="C3195" t="str">
        <f>IFERROR(__xludf.DUMMYFUNCTION("GOOGLETRANSLATE(B3195, ""es"", ""en"")"),"Aesthetically Just brutal than expected, as the photos, fits our decor, unhas hold 4 hours with 100 ml and with a few drops of oil Ambienta a room of about 20 square meters perfectly, humidity nor appreciated. Regarding allergies .... Currently there appr"&amp;"eciate positive or negative effects")</f>
        <v>Aesthetically Just brutal than expected, as the photos, fits our decor, unhas hold 4 hours with 100 ml and with a few drops of oil Ambienta a room of about 20 square meters perfectly, humidity nor appreciated. Regarding allergies .... Currently there appreciate positive or negative effects</v>
      </c>
    </row>
    <row r="3196">
      <c r="A3196" s="1">
        <v>5.0</v>
      </c>
      <c r="B3196" s="1" t="s">
        <v>3180</v>
      </c>
      <c r="C3196" t="str">
        <f>IFERROR(__xludf.DUMMYFUNCTION("GOOGLETRANSLATE(B3196, ""es"", ""en"")"),"Very good quality / price The truth is that for the price are very good. Good sound and I do not think they are bad qualities of the materials it is made. I have not tried doing sports, I can not score in that regard. I have glasses and you have to place "&amp;"it well so that does not hurt to put 2 things, which is done without problem. I recommend it.")</f>
        <v>Very good quality / price The truth is that for the price are very good. Good sound and I do not think they are bad qualities of the materials it is made. I have not tried doing sports, I can not score in that regard. I have glasses and you have to place it well so that does not hurt to put 2 things, which is done without problem. I recommend it.</v>
      </c>
    </row>
    <row r="3197">
      <c r="A3197" s="1">
        <v>5.0</v>
      </c>
      <c r="B3197" s="1" t="s">
        <v>3181</v>
      </c>
      <c r="C3197" t="str">
        <f>IFERROR(__xludf.DUMMYFUNCTION("GOOGLETRANSLATE(B3197, ""es"", ""en"")"),"more hydrated and smooth skin I wear a month using the oil on the face, morning and night and I already notice the best long face, has gone virtually peeling my chin and I notice a lot smoother. The hair also noticed softer and very bright. It also apprec"&amp;"iates the mail informing the company uses and application form of the product")</f>
        <v>more hydrated and smooth skin I wear a month using the oil on the face, morning and night and I already notice the best long face, has gone virtually peeling my chin and I notice a lot smoother. The hair also noticed softer and very bright. It also appreciates the mail informing the company uses and application form of the product</v>
      </c>
    </row>
    <row r="3198">
      <c r="A3198" s="1">
        <v>5.0</v>
      </c>
      <c r="B3198" s="1" t="s">
        <v>3182</v>
      </c>
      <c r="C3198" t="str">
        <f>IFERROR(__xludf.DUMMYFUNCTION("GOOGLETRANSLATE(B3198, ""es"", ""en"")"),"He came from a piece whole 24 days later I arrive in one piece .. The product is as expected. He received 24 days after the purchase, but within the time promised by the seller.")</f>
        <v>He came from a piece whole 24 days later I arrive in one piece .. The product is as expected. He received 24 days after the purchase, but within the time promised by the seller.</v>
      </c>
    </row>
    <row r="3199">
      <c r="A3199" s="1">
        <v>5.0</v>
      </c>
      <c r="B3199" s="1" t="s">
        <v>3183</v>
      </c>
      <c r="C3199" t="str">
        <f>IFERROR(__xludf.DUMMYFUNCTION("GOOGLETRANSLATE(B3199, ""es"", ""en"")"),"can be improved is a good way to make teas but it would be wonderful spices that best fit when closed to keep spices")</f>
        <v>can be improved is a good way to make teas but it would be wonderful spices that best fit when closed to keep spices</v>
      </c>
    </row>
    <row r="3200">
      <c r="A3200" s="1">
        <v>5.0</v>
      </c>
      <c r="B3200" s="1" t="s">
        <v>3184</v>
      </c>
      <c r="C3200" t="str">
        <f>IFERROR(__xludf.DUMMYFUNCTION("GOOGLETRANSLATE(B3200, ""es"", ""en"")"),"Loved excellent buy very punctual delivery and truth materials are of very good quality and size with sufficient capacity, a good buy! Thanks exceeded my expectations!")</f>
        <v>Loved excellent buy very punctual delivery and truth materials are of very good quality and size with sufficient capacity, a good buy! Thanks exceeded my expectations!</v>
      </c>
    </row>
    <row r="3201">
      <c r="A3201" s="1">
        <v>2.0</v>
      </c>
      <c r="B3201" s="1" t="s">
        <v>3185</v>
      </c>
      <c r="C3201" t="str">
        <f>IFERROR(__xludf.DUMMYFUNCTION("GOOGLETRANSLATE(B3201, ""es"", ""en"")"),"Some disappointing low and medium frequencies are heard very little sharpness, causing a dirty sound and unpleasant. I expected more quality of a product that is supposedly for professional use. Some parts of strings are heard as if behind a wall and the "&amp;"bass have much more presence than I would like. Even in recordings of conversations bass of the sound environment in a very unpleasant they are accentuated. I had occasion to compare with his older brother, K271, and the latter provides a much cleaner sou"&amp;"nd. I have returned because experience has been very disappointing.")</f>
        <v>Some disappointing low and medium frequencies are heard very little sharpness, causing a dirty sound and unpleasant. I expected more quality of a product that is supposedly for professional use. Some parts of strings are heard as if behind a wall and the bass have much more presence than I would like. Even in recordings of conversations bass of the sound environment in a very unpleasant they are accentuated. I had occasion to compare with his older brother, K271, and the latter provides a much cleaner sound. I have returned because experience has been very disappointing.</v>
      </c>
    </row>
    <row r="3202">
      <c r="A3202" s="1">
        <v>3.0</v>
      </c>
      <c r="B3202" s="1" t="s">
        <v>3186</v>
      </c>
      <c r="C3202" t="str">
        <f>IFERROR(__xludf.DUMMYFUNCTION("GOOGLETRANSLATE(B3202, ""es"", ""en"")"),"Good size")</f>
        <v>Good size</v>
      </c>
    </row>
    <row r="3203">
      <c r="A3203" s="1">
        <v>1.0</v>
      </c>
      <c r="B3203" s="1" t="s">
        <v>3187</v>
      </c>
      <c r="C3203" t="str">
        <f>IFERROR(__xludf.DUMMYFUNCTION("GOOGLETRANSLATE(B3203, ""es"", ""en"")"),"Misleading description of the product just received the watch and neither has light and the box is not stainless steel but cardboard ... I'm disappointed because it was for a gift and give away a watch carton as not.")</f>
        <v>Misleading description of the product just received the watch and neither has light and the box is not stainless steel but cardboard ... I'm disappointed because it was for a gift and give away a watch carton as not.</v>
      </c>
    </row>
    <row r="3204">
      <c r="A3204" s="1">
        <v>1.0</v>
      </c>
      <c r="B3204" s="1" t="s">
        <v>3188</v>
      </c>
      <c r="C3204" t="str">
        <f>IFERROR(__xludf.DUMMYFUNCTION("GOOGLETRANSLATE(B3204, ""es"", ""en"")"),"Termine not use is not practical and I do not like are the shakes, lumpy and wrong. I best q blender cup. I did not use it. Shame.")</f>
        <v>Termine not use is not practical and I do not like are the shakes, lumpy and wrong. I best q blender cup. I did not use it. Shame.</v>
      </c>
    </row>
    <row r="3205">
      <c r="A3205" s="1">
        <v>4.0</v>
      </c>
      <c r="B3205" s="1" t="s">
        <v>3189</v>
      </c>
      <c r="C3205" t="str">
        <f>IFERROR(__xludf.DUMMYFUNCTION("GOOGLETRANSLATE(B3205, ""es"", ""en"")"),"As to size too small in the picture but too small to size, I ordered a m and looks like a xs")</f>
        <v>As to size too small in the picture but too small to size, I ordered a m and looks like a xs</v>
      </c>
    </row>
    <row r="3206">
      <c r="A3206" s="1">
        <v>4.0</v>
      </c>
      <c r="B3206" s="1" t="s">
        <v>3190</v>
      </c>
      <c r="C3206" t="str">
        <f>IFERROR(__xludf.DUMMYFUNCTION("GOOGLETRANSLATE(B3206, ""es"", ""en"")"),"Quality and very good performance for over 60 eur. It is the best option pci-e SSD. Reliability and performance, 500 gb therefore it took me 1 year ago a basic 250GB SSD")</f>
        <v>Quality and very good performance for over 60 eur. It is the best option pci-e SSD. Reliability and performance, 500 gb therefore it took me 1 year ago a basic 250GB SSD</v>
      </c>
    </row>
    <row r="3207">
      <c r="A3207" s="1">
        <v>4.0</v>
      </c>
      <c r="B3207" s="1" t="s">
        <v>3191</v>
      </c>
      <c r="C3207" t="str">
        <f>IFERROR(__xludf.DUMMYFUNCTION("GOOGLETRANSLATE(B3207, ""es"", ""en"")"),"Twin sounds too. For the price, size and practicality, nothing to say, very good for practicing with headphones. You can also connect to a powered speaker. Sounds much closer to Twin Reverb with three degrees of saturation: clean, bluesy overdrive and ove"&amp;"rdrive (classic rock, not metal), and three effects: off, reverb and a kind of reverb + chorus. Volume, tone and drive in which you have to have good eyesight to see what you shtick, so I remove a star. I would buy.")</f>
        <v>Twin sounds too. For the price, size and practicality, nothing to say, very good for practicing with headphones. You can also connect to a powered speaker. Sounds much closer to Twin Reverb with three degrees of saturation: clean, bluesy overdrive and overdrive (classic rock, not metal), and three effects: off, reverb and a kind of reverb + chorus. Volume, tone and drive in which you have to have good eyesight to see what you shtick, so I remove a star. I would buy.</v>
      </c>
    </row>
    <row r="3208">
      <c r="A3208" s="1">
        <v>4.0</v>
      </c>
      <c r="B3208" s="1" t="s">
        <v>3192</v>
      </c>
      <c r="C3208" t="str">
        <f>IFERROR(__xludf.DUMMYFUNCTION("GOOGLETRANSLATE(B3208, ""es"", ""en"")"),"It is practical for the size and make music")</f>
        <v>It is practical for the size and make music</v>
      </c>
    </row>
    <row r="3209">
      <c r="A3209" s="1">
        <v>4.0</v>
      </c>
      <c r="B3209" s="1" t="s">
        <v>3193</v>
      </c>
      <c r="C3209" t="str">
        <f>IFERROR(__xludf.DUMMYFUNCTION("GOOGLETRANSLATE(B3209, ""es"", ""en"")"),"I used myri other of the Dead Sea and is not dry like other masks, but has a pleasant smell and leaves no bad skin")</f>
        <v>I used myri other of the Dead Sea and is not dry like other masks, but has a pleasant smell and leaves no bad skin</v>
      </c>
    </row>
    <row r="3210">
      <c r="A3210" s="1">
        <v>5.0</v>
      </c>
      <c r="B3210" s="1" t="s">
        <v>3194</v>
      </c>
      <c r="C3210" t="str">
        <f>IFERROR(__xludf.DUMMYFUNCTION("GOOGLETRANSLATE(B3210, ""es"", ""en"")"),"Easy Reader counterfeits to use and will save more than a disappointment")</f>
        <v>Easy Reader counterfeits to use and will save more than a disappointment</v>
      </c>
    </row>
    <row r="3211">
      <c r="A3211" s="1">
        <v>5.0</v>
      </c>
      <c r="B3211" s="1" t="s">
        <v>3195</v>
      </c>
      <c r="C3211" t="str">
        <f>IFERROR(__xludf.DUMMYFUNCTION("GOOGLETRANSLATE(B3211, ""es"", ""en"")"),"Very nice everything as photo !!!!!")</f>
        <v>Very nice everything as photo !!!!!</v>
      </c>
    </row>
    <row r="3212">
      <c r="A3212" s="1">
        <v>5.0</v>
      </c>
      <c r="B3212" s="1" t="s">
        <v>3196</v>
      </c>
      <c r="C3212" t="str">
        <f>IFERROR(__xludf.DUMMYFUNCTION("GOOGLETRANSLATE(B3212, ""es"", ""en"")"),"Incredible Light The only fault laces")</f>
        <v>Incredible Light The only fault laces</v>
      </c>
    </row>
    <row r="3213">
      <c r="A3213" s="1">
        <v>5.0</v>
      </c>
      <c r="B3213" s="1" t="s">
        <v>3197</v>
      </c>
      <c r="C3213" t="str">
        <f>IFERROR(__xludf.DUMMYFUNCTION("GOOGLETRANSLATE(B3213, ""es"", ""en"")"),"HI. YOU ALWAYS HAVE HAD PLASTIC AND METAL THIS IS FANTASTIC. HELLO AGAIN, HE THREE BROKEN PLASTIC PURSES AND FINALLY, THE MEETING OF METAL. ALSO THE PRICE IS UNBEATABLE. Another thing to mention is shipping WAS IN LESS THAN 48 HOURS. THANKS.")</f>
        <v>HI. YOU ALWAYS HAVE HAD PLASTIC AND METAL THIS IS FANTASTIC. HELLO AGAIN, HE THREE BROKEN PLASTIC PURSES AND FINALLY, THE MEETING OF METAL. ALSO THE PRICE IS UNBEATABLE. Another thing to mention is shipping WAS IN LESS THAN 48 HOURS. THANKS.</v>
      </c>
    </row>
    <row r="3214">
      <c r="A3214" s="1">
        <v>5.0</v>
      </c>
      <c r="B3214" s="1" t="s">
        <v>3198</v>
      </c>
      <c r="C3214" t="str">
        <f>IFERROR(__xludf.DUMMYFUNCTION("GOOGLETRANSLATE(B3214, ""es"", ""en"")"),"Good buy comfortable and beautiful, carved well")</f>
        <v>Good buy comfortable and beautiful, carved well</v>
      </c>
    </row>
    <row r="3215">
      <c r="A3215" s="1">
        <v>5.0</v>
      </c>
      <c r="B3215" s="1" t="s">
        <v>3199</v>
      </c>
      <c r="C3215" t="str">
        <f>IFERROR(__xludf.DUMMYFUNCTION("GOOGLETRANSLATE(B3215, ""es"", ""en"")"),"Jose Angel The clock works great and is accurate to the description of the product made. The strap is very comfortable and perfectly suited to different wrist sizes by multiple holes that brings aborcharla. Good screen format, with digital numbers to a pr"&amp;"oper size and suitable LED lighting. The functions are described in the product, highlighting 5 programmable alarms think are very useful. I am 100% satisfied.")</f>
        <v>Jose Angel The clock works great and is accurate to the description of the product made. The strap is very comfortable and perfectly suited to different wrist sizes by multiple holes that brings aborcharla. Good screen format, with digital numbers to a proper size and suitable LED lighting. The functions are described in the product, highlighting 5 programmable alarms think are very useful. I am 100% satisfied.</v>
      </c>
    </row>
    <row r="3216">
      <c r="A3216" s="1">
        <v>5.0</v>
      </c>
      <c r="B3216" s="1" t="s">
        <v>3200</v>
      </c>
      <c r="C3216" t="str">
        <f>IFERROR(__xludf.DUMMYFUNCTION("GOOGLETRANSLATE(B3216, ""es"", ""en"")"),"Very elegant and it perfectly for sport and dress well watch elegant and striking, black with metallic accents. It is of metal and rubber. I really like position and can serve perfectly for sport and to dress. The strap is soft to the touch, do not bother"&amp;". Has several functions, such as date with weeks and months, day, LED light, stopwatch, timer, display to mark the time digitally, sound the hours o'clock alarm is resistant to water .. In short, I am very happy with the watch, as it has many useful and v"&amp;"alue things it is great.")</f>
        <v>Very elegant and it perfectly for sport and dress well watch elegant and striking, black with metallic accents. It is of metal and rubber. I really like position and can serve perfectly for sport and to dress. The strap is soft to the touch, do not bother. Has several functions, such as date with weeks and months, day, LED light, stopwatch, timer, display to mark the time digitally, sound the hours o'clock alarm is resistant to water .. In short, I am very happy with the watch, as it has many useful and value things it is great.</v>
      </c>
    </row>
    <row r="3217">
      <c r="A3217" s="1">
        <v>5.0</v>
      </c>
      <c r="B3217" s="1" t="s">
        <v>3201</v>
      </c>
      <c r="C3217" t="str">
        <f>IFERROR(__xludf.DUMMYFUNCTION("GOOGLETRANSLATE(B3217, ""es"", ""en"")"),"Van great right ... my salvation !!")</f>
        <v>Van great right ... my salvation !!</v>
      </c>
    </row>
    <row r="3218">
      <c r="A3218" s="1">
        <v>5.0</v>
      </c>
      <c r="B3218" s="1" t="s">
        <v>3202</v>
      </c>
      <c r="C3218" t="str">
        <f>IFERROR(__xludf.DUMMYFUNCTION("GOOGLETRANSLATE(B3218, ""es"", ""en"")"),"It is compatible with my pandora bracelet I liked much what I expected. I arrive on time, well packaged.")</f>
        <v>It is compatible with my pandora bracelet I liked much what I expected. I arrive on time, well packaged.</v>
      </c>
    </row>
    <row r="3219">
      <c r="A3219" s="1">
        <v>5.0</v>
      </c>
      <c r="B3219" s="1" t="s">
        <v>3203</v>
      </c>
      <c r="C3219" t="str">
        <f>IFERROR(__xludf.DUMMYFUNCTION("GOOGLETRANSLATE(B3219, ""es"", ""en"")"),"An excellent choice if you are looking for a Bluetooth headset. A great product, very good quality materials, for storage box is a very detail to keep in mind to avoid breakage of the headphones. I have used for sports and never have modido ears with move"&amp;"ment. Pairing Android and iOS very fast with no delay at any time and the sound quality is excellent. 10h battery that gives an excellent autonomy especially need 1-2 hours to charge. Definitely a great bet for sports headphones backed by a great brand wi"&amp;"th a perfect after-sales service. I definitely keep buying products soundpeats.")</f>
        <v>An excellent choice if you are looking for a Bluetooth headset. A great product, very good quality materials, for storage box is a very detail to keep in mind to avoid breakage of the headphones. I have used for sports and never have modido ears with movement. Pairing Android and iOS very fast with no delay at any time and the sound quality is excellent. 10h battery that gives an excellent autonomy especially need 1-2 hours to charge. Definitely a great bet for sports headphones backed by a great brand with a perfect after-sales service. I definitely keep buying products soundpeats.</v>
      </c>
    </row>
    <row r="3220">
      <c r="A3220" s="1">
        <v>5.0</v>
      </c>
      <c r="B3220" s="1" t="s">
        <v>3204</v>
      </c>
      <c r="C3220" t="str">
        <f>IFERROR(__xludf.DUMMYFUNCTION("GOOGLETRANSLATE(B3220, ""es"", ""en"")"),"Very handsome, and light are very cool, as is the photo. If it is true that ordered a 43 and 44 came less bad about that come right.")</f>
        <v>Very handsome, and light are very cool, as is the photo. If it is true that ordered a 43 and 44 came less bad about that come right.</v>
      </c>
    </row>
    <row r="3221">
      <c r="A3221" s="1">
        <v>5.0</v>
      </c>
      <c r="B3221" s="1" t="s">
        <v>3205</v>
      </c>
      <c r="C3221" t="str">
        <f>IFERROR(__xludf.DUMMYFUNCTION("GOOGLETRANSLATE(B3221, ""es"", ""en"")"),"beautiful and quality headphones come equipped within a translucent plastic box with several measures to hearing. They are comfortable and are of good quality. I have no complaints from them")</f>
        <v>beautiful and quality headphones come equipped within a translucent plastic box with several measures to hearing. They are comfortable and are of good quality. I have no complaints from them</v>
      </c>
    </row>
    <row r="3222">
      <c r="A3222" s="1">
        <v>5.0</v>
      </c>
      <c r="B3222" s="1" t="s">
        <v>3206</v>
      </c>
      <c r="C3222" t="str">
        <f>IFERROR(__xludf.DUMMYFUNCTION("GOOGLETRANSLATE(B3222, ""es"", ""en"")"),"Perfect. I love these bottles, and nipple I think it's the best there is.")</f>
        <v>Perfect. I love these bottles, and nipple I think it's the best there is.</v>
      </c>
    </row>
    <row r="3223">
      <c r="A3223" s="1">
        <v>5.0</v>
      </c>
      <c r="B3223" s="1" t="s">
        <v>3207</v>
      </c>
      <c r="C3223" t="str">
        <f>IFERROR(__xludf.DUMMYFUNCTION("GOOGLETRANSLATE(B3223, ""es"", ""en"")"),"Elasticity The fabric of this shorts is the best it has because it is very elastic and appears to be resistant to all kinds of sharks plus it has a very strategic pockets on the front. Without a doubt would buy.")</f>
        <v>Elasticity The fabric of this shorts is the best it has because it is very elastic and appears to be resistant to all kinds of sharks plus it has a very strategic pockets on the front. Without a doubt would buy.</v>
      </c>
    </row>
    <row r="3224">
      <c r="A3224" s="1">
        <v>5.0</v>
      </c>
      <c r="B3224" s="1" t="s">
        <v>3208</v>
      </c>
      <c r="C3224" t="str">
        <f>IFERROR(__xludf.DUMMYFUNCTION("GOOGLETRANSLATE(B3224, ""es"", ""en"")"),"It works really works well with plastic screen watches, automatic watch repair a nearly 20 years, it has been the bright as new screen")</f>
        <v>It works really works well with plastic screen watches, automatic watch repair a nearly 20 years, it has been the bright as new screen</v>
      </c>
    </row>
    <row r="3225">
      <c r="A3225" s="1">
        <v>5.0</v>
      </c>
      <c r="B3225" s="1" t="s">
        <v>3209</v>
      </c>
      <c r="C3225" t="str">
        <f>IFERROR(__xludf.DUMMYFUNCTION("GOOGLETRANSLATE(B3225, ""es"", ""en"")"),"I already knew. Good. I like boots. I have other different color and they seem more rigid. But all satisfactory.")</f>
        <v>I already knew. Good. I like boots. I have other different color and they seem more rigid. But all satisfactory.</v>
      </c>
    </row>
    <row r="3226">
      <c r="A3226" s="1">
        <v>5.0</v>
      </c>
      <c r="B3226" s="1" t="s">
        <v>3210</v>
      </c>
      <c r="C3226" t="str">
        <f>IFERROR(__xludf.DUMMYFUNCTION("GOOGLETRANSLATE(B3226, ""es"", ""en"")"),"Buenos Only shoes wanted ratify most views on these shoes, very comfortable (essential for some jobs daily), in this sense a success its rubber sole EVA giving the impression of going on sneakers (also help isolated from the cold, important for me because"&amp;" I work in an office without parquet), anatomical footbed, very lightweight and after more than a year of use are almost like the first day, so I understand that they are made with good quality materials . My positive for Clarks, the will consider for fut"&amp;"ure purchases.")</f>
        <v>Buenos Only shoes wanted ratify most views on these shoes, very comfortable (essential for some jobs daily), in this sense a success its rubber sole EVA giving the impression of going on sneakers (also help isolated from the cold, important for me because I work in an office without parquet), anatomical footbed, very lightweight and after more than a year of use are almost like the first day, so I understand that they are made with good quality materials . My positive for Clarks, the will consider for future purchases.</v>
      </c>
    </row>
    <row r="3227">
      <c r="A3227" s="1">
        <v>5.0</v>
      </c>
      <c r="B3227" s="1" t="s">
        <v>3211</v>
      </c>
      <c r="C3227" t="str">
        <f>IFERROR(__xludf.DUMMYFUNCTION("GOOGLETRANSLATE(B3227, ""es"", ""en"")"),"Perfect with the description, the perfect size.")</f>
        <v>Perfect with the description, the perfect size.</v>
      </c>
    </row>
    <row r="3228">
      <c r="A3228" s="1">
        <v>2.0</v>
      </c>
      <c r="B3228" s="1" t="s">
        <v>3212</v>
      </c>
      <c r="C3228" t="str">
        <f>IFERROR(__xludf.DUMMYFUNCTION("GOOGLETRANSLATE(B3228, ""es"", ""en"")"),"Was too big The truth is that possibly I should have expected, it has a capacity of 2.2 liters but not expected to be so great. I had to return.")</f>
        <v>Was too big The truth is that possibly I should have expected, it has a capacity of 2.2 liters but not expected to be so great. I had to return.</v>
      </c>
    </row>
    <row r="3229">
      <c r="A3229" s="1">
        <v>3.0</v>
      </c>
      <c r="B3229" s="1" t="s">
        <v>3213</v>
      </c>
      <c r="C3229" t="str">
        <f>IFERROR(__xludf.DUMMYFUNCTION("GOOGLETRANSLATE(B3229, ""es"", ""en"")"),"Almost total absence of serious From a technical and functional are optimal, pairing with other devices is intuitive and almost automatic, the use is comfortable and safe to be very difficult to loosen. Sound is another thing, it is very sharp in the midd"&amp;"le frequencies, in high is not bright but acepatable, in just low lacks practitioner them, any handset in ear cable that comes with mobile midrange exceeds the quality of sound of low frequencies or amply")</f>
        <v>Almost total absence of serious From a technical and functional are optimal, pairing with other devices is intuitive and almost automatic, the use is comfortable and safe to be very difficult to loosen. Sound is another thing, it is very sharp in the middle frequencies, in high is not bright but acepatable, in just low lacks practitioner them, any handset in ear cable that comes with mobile midrange exceeds the quality of sound of low frequencies or amply</v>
      </c>
    </row>
    <row r="3230">
      <c r="A3230" s="1">
        <v>3.0</v>
      </c>
      <c r="B3230" s="1" t="s">
        <v>3214</v>
      </c>
      <c r="C3230" t="str">
        <f>IFERROR(__xludf.DUMMYFUNCTION("GOOGLETRANSLATE(B3230, ""es"", ""en"")"),"Miniland keeps heat very well. Usually it leaves some water despite being tightly closed.")</f>
        <v>Miniland keeps heat very well. Usually it leaves some water despite being tightly closed.</v>
      </c>
    </row>
    <row r="3231">
      <c r="A3231" s="1">
        <v>1.0</v>
      </c>
      <c r="B3231" s="1" t="s">
        <v>3215</v>
      </c>
      <c r="C3231" t="str">
        <f>IFERROR(__xludf.DUMMYFUNCTION("GOOGLETRANSLATE(B3231, ""es"", ""en"")"),"Listen loose and CAEE are heard too loose and fall")</f>
        <v>Listen loose and CAEE are heard too loose and fall</v>
      </c>
    </row>
    <row r="3232">
      <c r="A3232" s="1">
        <v>1.0</v>
      </c>
      <c r="B3232" s="1" t="s">
        <v>3216</v>
      </c>
      <c r="C3232" t="str">
        <f>IFERROR(__xludf.DUMMYFUNCTION("GOOGLETRANSLATE(B3232, ""es"", ""en"")"),"Decepcion have been using HD this brand since I have use of reason but with this purchase have been completely disappointed, after 2 months of use and is giving me problems such as slowdowns in file transfer and annoying noise MECHANIC always coming one r"&amp;"upture disk. I must say that the single disk I use to have a backup, I have given very little use to have these problems. That's why I'm totally disappointed and proceed to the return of the product.")</f>
        <v>Decepcion have been using HD this brand since I have use of reason but with this purchase have been completely disappointed, after 2 months of use and is giving me problems such as slowdowns in file transfer and annoying noise MECHANIC always coming one rupture disk. I must say that the single disk I use to have a backup, I have given very little use to have these problems. That's why I'm totally disappointed and proceed to the return of the product.</v>
      </c>
    </row>
    <row r="3233">
      <c r="A3233" s="1">
        <v>1.0</v>
      </c>
      <c r="B3233" s="1" t="s">
        <v>3217</v>
      </c>
      <c r="C3233" t="str">
        <f>IFERROR(__xludf.DUMMYFUNCTION("GOOGLETRANSLATE(B3233, ""es"", ""en"")"),"Raya glass used it to polish the glass of a watch with a cotton cloth and water, has pebbles that line the glass, there is no way to polish that is not finely ground dust and particles produce these stripes.")</f>
        <v>Raya glass used it to polish the glass of a watch with a cotton cloth and water, has pebbles that line the glass, there is no way to polish that is not finely ground dust and particles produce these stripes.</v>
      </c>
    </row>
    <row r="3234">
      <c r="A3234" s="1">
        <v>4.0</v>
      </c>
      <c r="B3234" s="1" t="s">
        <v>3218</v>
      </c>
      <c r="C3234" t="str">
        <f>IFERROR(__xludf.DUMMYFUNCTION("GOOGLETRANSLATE(B3234, ""es"", ""en"")"),"Precious little witch remain.")</f>
        <v>Precious little witch remain.</v>
      </c>
    </row>
    <row r="3235">
      <c r="A3235" s="1">
        <v>4.0</v>
      </c>
      <c r="B3235" s="1" t="s">
        <v>3219</v>
      </c>
      <c r="C3235" t="str">
        <f>IFERROR(__xludf.DUMMYFUNCTION("GOOGLETRANSLATE(B3235, ""es"", ""en"")"),"Good value for money is given much use and still remains as the first day.")</f>
        <v>Good value for money is given much use and still remains as the first day.</v>
      </c>
    </row>
    <row r="3236">
      <c r="A3236" s="1">
        <v>4.0</v>
      </c>
      <c r="B3236" s="1" t="s">
        <v>3220</v>
      </c>
      <c r="C3236" t="str">
        <f>IFERROR(__xludf.DUMMYFUNCTION("GOOGLETRANSLATE(B3236, ""es"", ""en"")"),"The sizing is somewhat small My height in this type of footwear is 46 and I ordered. When I arrived at the probármelas with a normal sock me were superjustas in length. I asked for change for other size 46.5. These me are already much better but better wo"&amp;"uld have been a size 47.")</f>
        <v>The sizing is somewhat small My height in this type of footwear is 46 and I ordered. When I arrived at the probármelas with a normal sock me were superjustas in length. I asked for change for other size 46.5. These me are already much better but better would have been a size 47.</v>
      </c>
    </row>
    <row r="3237">
      <c r="A3237" s="1">
        <v>4.0</v>
      </c>
      <c r="B3237" s="1" t="s">
        <v>3221</v>
      </c>
      <c r="C3237" t="str">
        <f>IFERROR(__xludf.DUMMYFUNCTION("GOOGLETRANSLATE(B3237, ""es"", ""en"")"),"Good value for money Product correct. Good material")</f>
        <v>Good value for money Product correct. Good material</v>
      </c>
    </row>
    <row r="3238">
      <c r="A3238" s="1">
        <v>5.0</v>
      </c>
      <c r="B3238" s="1" t="s">
        <v>3222</v>
      </c>
      <c r="C3238" t="str">
        <f>IFERROR(__xludf.DUMMYFUNCTION("GOOGLETRANSLATE(B3238, ""es"", ""en"")"),"Ok quickly")</f>
        <v>Ok quickly</v>
      </c>
    </row>
    <row r="3239">
      <c r="A3239" s="1">
        <v>5.0</v>
      </c>
      <c r="B3239" s="1" t="s">
        <v>3223</v>
      </c>
      <c r="C3239" t="str">
        <f>IFERROR(__xludf.DUMMYFUNCTION("GOOGLETRANSLATE(B3239, ""es"", ""en"")"),"Good quality and good quality finishes and comes more than it seems. Perhaps he would be more reliable color in the photos. Like meets my expectations.")</f>
        <v>Good quality and good quality finishes and comes more than it seems. Perhaps he would be more reliable color in the photos. Like meets my expectations.</v>
      </c>
    </row>
    <row r="3240">
      <c r="A3240" s="1">
        <v>5.0</v>
      </c>
      <c r="B3240" s="1" t="s">
        <v>3224</v>
      </c>
      <c r="C3240" t="str">
        <f>IFERROR(__xludf.DUMMYFUNCTION("GOOGLETRANSLATE(B3240, ""es"", ""en"")"),"Very good very good buy. My son perfectly suited to this type of nipple. Resistant and very safe. Very happy with the purchase.")</f>
        <v>Very good very good buy. My son perfectly suited to this type of nipple. Resistant and very safe. Very happy with the purchase.</v>
      </c>
    </row>
    <row r="3241">
      <c r="A3241" s="1">
        <v>5.0</v>
      </c>
      <c r="B3241" s="1" t="s">
        <v>3225</v>
      </c>
      <c r="C3241" t="str">
        <f>IFERROR(__xludf.DUMMYFUNCTION("GOOGLETRANSLATE(B3241, ""es"", ""en"")"),"fast heat works well, is good for neck pain, it seems to be good material and durable.")</f>
        <v>fast heat works well, is good for neck pain, it seems to be good material and durable.</v>
      </c>
    </row>
    <row r="3242">
      <c r="A3242" s="1">
        <v>5.0</v>
      </c>
      <c r="B3242" s="1" t="s">
        <v>3226</v>
      </c>
      <c r="C3242" t="str">
        <f>IFERROR(__xludf.DUMMYFUNCTION("GOOGLETRANSLATE(B3242, ""es"", ""en"")"),"Perfect. Good budget pack to meet the needs of a baby. Among the bottles daycare, reserve the car home and I'm using it every day almost all of the pack. Good quality.")</f>
        <v>Perfect. Good budget pack to meet the needs of a baby. Among the bottles daycare, reserve the car home and I'm using it every day almost all of the pack. Good quality.</v>
      </c>
    </row>
    <row r="3243">
      <c r="A3243" s="1">
        <v>5.0</v>
      </c>
      <c r="B3243" s="1" t="s">
        <v>3227</v>
      </c>
      <c r="C3243" t="str">
        <f>IFERROR(__xludf.DUMMYFUNCTION("GOOGLETRANSLATE(B3243, ""es"", ""en"")"),"I loved ergonomic bottles. My first child's tested and approved, among other forms of Teat, he chose, and bought it for my second child, although not wanted or testing the milk bottle or pacifiers recommend Tommie Tippie.")</f>
        <v>I loved ergonomic bottles. My first child's tested and approved, among other forms of Teat, he chose, and bought it for my second child, although not wanted or testing the milk bottle or pacifiers recommend Tommie Tippie.</v>
      </c>
    </row>
    <row r="3244">
      <c r="A3244" s="1">
        <v>5.0</v>
      </c>
      <c r="B3244" s="1" t="s">
        <v>3228</v>
      </c>
      <c r="C3244" t="str">
        <f>IFERROR(__xludf.DUMMYFUNCTION("GOOGLETRANSLATE(B3244, ""es"", ""en"")"),"Samsung first series PRO is a symbol of security and reliability. Installed the first on my motherboard without any problems. At the moment, perfect performance. I use it for loading heavy weight games (Witcher 3 Battlefield I Call od Futy WWII, PUBG, etc"&amp;".). From my point of view, highly recommended, especially for the addition of the Samsung Magician software, which is very well developed and offers many possibilities to maintain and optimize your drive.")</f>
        <v>Samsung first series PRO is a symbol of security and reliability. Installed the first on my motherboard without any problems. At the moment, perfect performance. I use it for loading heavy weight games (Witcher 3 Battlefield I Call od Futy WWII, PUBG, etc.). From my point of view, highly recommended, especially for the addition of the Samsung Magician software, which is very well developed and offers many possibilities to maintain and optimize your drive.</v>
      </c>
    </row>
    <row r="3245">
      <c r="A3245" s="1">
        <v>5.0</v>
      </c>
      <c r="B3245" s="1" t="s">
        <v>3229</v>
      </c>
      <c r="C3245" t="str">
        <f>IFERROR(__xludf.DUMMYFUNCTION("GOOGLETRANSLATE(B3245, ""es"", ""en"")"),"A paper cutter cutter precise and plain paper that does not occupy much space. According to its specifications can be cut up to 12 sheets 80gramos. I have used with plain paper and some cardboard and all good. Has cutting guides and the blade will be chan"&amp;"ged in the bottom has a rubber to move not making the cut.")</f>
        <v>A paper cutter cutter precise and plain paper that does not occupy much space. According to its specifications can be cut up to 12 sheets 80gramos. I have used with plain paper and some cardboard and all good. Has cutting guides and the blade will be changed in the bottom has a rubber to move not making the cut.</v>
      </c>
    </row>
    <row r="3246">
      <c r="A3246" s="1">
        <v>5.0</v>
      </c>
      <c r="B3246" s="1" t="s">
        <v>3230</v>
      </c>
      <c r="C3246" t="str">
        <f>IFERROR(__xludf.DUMMYFUNCTION("GOOGLETRANSLATE(B3246, ""es"", ""en"")"),"Rayen Mery works well and saves strive.")</f>
        <v>Rayen Mery works well and saves strive.</v>
      </c>
    </row>
    <row r="3247">
      <c r="A3247" s="1">
        <v>5.0</v>
      </c>
      <c r="B3247" s="1" t="s">
        <v>3231</v>
      </c>
      <c r="C3247" t="str">
        <f>IFERROR(__xludf.DUMMYFUNCTION("GOOGLETRANSLATE(B3247, ""es"", ""en"")"),"Brutales Best wired headphones I've ever had. Sound quality, insulation materials, various sizes of pads and a bag with tie strings to take saved. Simply the best cable I've had so far (and there have been few).")</f>
        <v>Brutales Best wired headphones I've ever had. Sound quality, insulation materials, various sizes of pads and a bag with tie strings to take saved. Simply the best cable I've had so far (and there have been few).</v>
      </c>
    </row>
    <row r="3248">
      <c r="A3248" s="1">
        <v>5.0</v>
      </c>
      <c r="B3248" s="1" t="s">
        <v>3232</v>
      </c>
      <c r="C3248" t="str">
        <f>IFERROR(__xludf.DUMMYFUNCTION("GOOGLETRANSLATE(B3248, ""es"", ""en"")"),"Good toy Super fun!")</f>
        <v>Good toy Super fun!</v>
      </c>
    </row>
    <row r="3249">
      <c r="A3249" s="1">
        <v>5.0</v>
      </c>
      <c r="B3249" s="1" t="s">
        <v>3233</v>
      </c>
      <c r="C3249" t="str">
        <f>IFERROR(__xludf.DUMMYFUNCTION("GOOGLETRANSLATE(B3249, ""es"", ""en"")"),"Exquisite and durable Very good quality and consistency, I took it for my humidor that lasts 8hras on and keeps its aromas from the first minute to the last, 5 drops for 200ml water are sufficient for perfuming the whole atmosphere lemon, love it! !!")</f>
        <v>Exquisite and durable Very good quality and consistency, I took it for my humidor that lasts 8hras on and keeps its aromas from the first minute to the last, 5 drops for 200ml water are sufficient for perfuming the whole atmosphere lemon, love it! !!</v>
      </c>
    </row>
    <row r="3250">
      <c r="A3250" s="1">
        <v>5.0</v>
      </c>
      <c r="B3250" s="1" t="s">
        <v>3234</v>
      </c>
      <c r="C3250" t="str">
        <f>IFERROR(__xludf.DUMMYFUNCTION("GOOGLETRANSLATE(B3250, ""es"", ""en"")"),"His good investment QC25 are also great for quality and noise reduction. The battery lasts a lot and also the bluetooth can be connected to the least 2 computers at once so you do not need to have to walk turning off the bluetooth mobile if I want to use "&amp;"with your computer or tablet. The much use for air travel and are amazing. It's an investment worth.")</f>
        <v>His good investment QC25 are also great for quality and noise reduction. The battery lasts a lot and also the bluetooth can be connected to the least 2 computers at once so you do not need to have to walk turning off the bluetooth mobile if I want to use with your computer or tablet. The much use for air travel and are amazing. It's an investment worth.</v>
      </c>
    </row>
    <row r="3251">
      <c r="A3251" s="1">
        <v>5.0</v>
      </c>
      <c r="B3251" s="1" t="s">
        <v>3235</v>
      </c>
      <c r="C3251" t="str">
        <f>IFERROR(__xludf.DUMMYFUNCTION("GOOGLETRANSLATE(B3251, ""es"", ""en"")"),"Its price / quality is good. Generally this product is good.")</f>
        <v>Its price / quality is good. Generally this product is good.</v>
      </c>
    </row>
    <row r="3252">
      <c r="A3252" s="1">
        <v>5.0</v>
      </c>
      <c r="B3252" s="1" t="s">
        <v>3236</v>
      </c>
      <c r="C3252" t="str">
        <f>IFERROR(__xludf.DUMMYFUNCTION("GOOGLETRANSLATE(B3252, ""es"", ""en"")"),"The 10-year battery and waterproof 100 meters'm quite happy with all that as I use to work already scratch a bit but otherwise all good")</f>
        <v>The 10-year battery and waterproof 100 meters'm quite happy with all that as I use to work already scratch a bit but otherwise all good</v>
      </c>
    </row>
    <row r="3253">
      <c r="A3253" s="1">
        <v>5.0</v>
      </c>
      <c r="B3253" s="1" t="s">
        <v>3237</v>
      </c>
      <c r="C3253" t="str">
        <f>IFERROR(__xludf.DUMMYFUNCTION("GOOGLETRANSLATE(B3253, ""es"", ""en"")"),"The best prices are the same as in any store but cheaper.")</f>
        <v>The best prices are the same as in any store but cheaper.</v>
      </c>
    </row>
    <row r="3254">
      <c r="A3254" s="1">
        <v>5.0</v>
      </c>
      <c r="B3254" s="1" t="s">
        <v>3238</v>
      </c>
      <c r="C3254" t="str">
        <f>IFERROR(__xludf.DUMMYFUNCTION("GOOGLETRANSLATE(B3254, ""es"", ""en"")"),"Perfect remain great!")</f>
        <v>Perfect remain great!</v>
      </c>
    </row>
    <row r="3255">
      <c r="A3255" s="1">
        <v>5.0</v>
      </c>
      <c r="B3255" s="1" t="s">
        <v>3239</v>
      </c>
      <c r="C3255" t="str">
        <f>IFERROR(__xludf.DUMMYFUNCTION("GOOGLETRANSLATE(B3255, ""es"", ""en"")"),"You sound great late, but I have received, are great and sound great")</f>
        <v>You sound great late, but I have received, are great and sound great</v>
      </c>
    </row>
    <row r="3256">
      <c r="A3256" s="1">
        <v>5.0</v>
      </c>
      <c r="B3256" s="1" t="s">
        <v>3240</v>
      </c>
      <c r="C3256" t="str">
        <f>IFERROR(__xludf.DUMMYFUNCTION("GOOGLETRANSLATE(B3256, ""es"", ""en"")"),"Nice and functional. It is a very good watch, has many functions, the only bad thing that can not be immersed in water otherwise the best watch I've bought so far.")</f>
        <v>Nice and functional. It is a very good watch, has many functions, the only bad thing that can not be immersed in water otherwise the best watch I've bought so far.</v>
      </c>
    </row>
    <row r="3257">
      <c r="A3257" s="1">
        <v>2.0</v>
      </c>
      <c r="B3257" s="1" t="s">
        <v>3241</v>
      </c>
      <c r="C3257" t="str">
        <f>IFERROR(__xludf.DUMMYFUNCTION("GOOGLETRANSLATE(B3257, ""es"", ""en"")"),"The instructions are not in Spanish right, but do not understand the instructions do not come in Spanish")</f>
        <v>The instructions are not in Spanish right, but do not understand the instructions do not come in Spanish</v>
      </c>
    </row>
    <row r="3258">
      <c r="A3258" s="1">
        <v>3.0</v>
      </c>
      <c r="B3258" s="1" t="s">
        <v>3242</v>
      </c>
      <c r="C3258" t="str">
        <f>IFERROR(__xludf.DUMMYFUNCTION("GOOGLETRANSLATE(B3258, ""es"", ""en"")"),"It does not have such good quality all too well not crushed")</f>
        <v>It does not have such good quality all too well not crushed</v>
      </c>
    </row>
    <row r="3259">
      <c r="A3259" s="1">
        <v>3.0</v>
      </c>
      <c r="B3259" s="1" t="s">
        <v>3243</v>
      </c>
      <c r="C3259" t="str">
        <f>IFERROR(__xludf.DUMMYFUNCTION("GOOGLETRANSLATE(B3259, ""es"", ""en"")"),"The problem always While I think that the sound quality is acceptable for this method still does not correct the unbridgeable error of crosstalk: the signal seeps through the circuit causing unwanted feedback and making it unsuitable for high gain if we u"&amp;"se with headphones (to be normal). After stumbling twice with the same stone, I'm sorry but I shot the USB interfaces.")</f>
        <v>The problem always While I think that the sound quality is acceptable for this method still does not correct the unbridgeable error of crosstalk: the signal seeps through the circuit causing unwanted feedback and making it unsuitable for high gain if we use with headphones (to be normal). After stumbling twice with the same stone, I'm sorry but I shot the USB interfaces.</v>
      </c>
    </row>
    <row r="3260">
      <c r="A3260" s="1">
        <v>1.0</v>
      </c>
      <c r="B3260" s="1" t="s">
        <v>3244</v>
      </c>
      <c r="C3260" t="str">
        <f>IFERROR(__xludf.DUMMYFUNCTION("GOOGLETRANSLATE(B3260, ""es"", ""en"")"),"I can not comment No comment. I had to return because it came evil; I did not recognize any operating system (Windows, Linus, IOS) and, of course, nor would I recognized the NAS. It could be a hit in transport; the Post does not stand out precisely becaus"&amp;"e they are the most careful.")</f>
        <v>I can not comment No comment. I had to return because it came evil; I did not recognize any operating system (Windows, Linus, IOS) and, of course, nor would I recognized the NAS. It could be a hit in transport; the Post does not stand out precisely because they are the most careful.</v>
      </c>
    </row>
    <row r="3261">
      <c r="A3261" s="1">
        <v>1.0</v>
      </c>
      <c r="B3261" s="1" t="s">
        <v>3245</v>
      </c>
      <c r="C3261" t="str">
        <f>IFERROR(__xludf.DUMMYFUNCTION("GOOGLETRANSLATE(B3261, ""es"", ""en"")"),"Headphones nefarious quality headphones Crappy. In less than a month one of the handsets was not going and just he stopped working the other. The seller said it would send another but it's been more than three months and nothing. I do not recommend at all"&amp;" this seller.")</f>
        <v>Headphones nefarious quality headphones Crappy. In less than a month one of the handsets was not going and just he stopped working the other. The seller said it would send another but it's been more than three months and nothing. I do not recommend at all this seller.</v>
      </c>
    </row>
    <row r="3262">
      <c r="A3262" s="1">
        <v>4.0</v>
      </c>
      <c r="B3262" s="1" t="s">
        <v>3246</v>
      </c>
      <c r="C3262" t="str">
        <f>IFERROR(__xludf.DUMMYFUNCTION("GOOGLETRANSLATE(B3262, ""es"", ""en"")"),"Fulfills its mission perfectly Imagi'ne it would be a poorer quality velcro but it works perfectly in some cables I use it daily for winding and unwinding and really do not lose grip, it is true that sometimes comes somewhat short but thanks to the holed "&amp;"buckle, can be spliced ​​smoothly velcro other greetings !!!")</f>
        <v>Fulfills its mission perfectly Imagi'ne it would be a poorer quality velcro but it works perfectly in some cables I use it daily for winding and unwinding and really do not lose grip, it is true that sometimes comes somewhat short but thanks to the holed buckle, can be spliced ​​smoothly velcro other greetings !!!</v>
      </c>
    </row>
    <row r="3263">
      <c r="A3263" s="1">
        <v>4.0</v>
      </c>
      <c r="B3263" s="1" t="s">
        <v>3247</v>
      </c>
      <c r="C3263" t="str">
        <f>IFERROR(__xludf.DUMMYFUNCTION("GOOGLETRANSLATE(B3263, ""es"", ""en"")"),"Very happy")</f>
        <v>Very happy</v>
      </c>
    </row>
    <row r="3264">
      <c r="A3264" s="1">
        <v>4.0</v>
      </c>
      <c r="B3264" s="1" t="s">
        <v>3248</v>
      </c>
      <c r="C3264" t="str">
        <f>IFERROR(__xludf.DUMMYFUNCTION("GOOGLETRANSLATE(B3264, ""es"", ""en"")"),"It works perfectly perfect, I took a month with them and have not given me any problems, I use daily.")</f>
        <v>It works perfectly perfect, I took a month with them and have not given me any problems, I use daily.</v>
      </c>
    </row>
    <row r="3265">
      <c r="A3265" s="1">
        <v>4.0</v>
      </c>
      <c r="B3265" s="1" t="s">
        <v>3249</v>
      </c>
      <c r="C3265" t="str">
        <f>IFERROR(__xludf.DUMMYFUNCTION("GOOGLETRANSLATE(B3265, ""es"", ""en"")"),"Meets for the price do not look very good quality, but do not weigh much and sizing is good.")</f>
        <v>Meets for the price do not look very good quality, but do not weigh much and sizing is good.</v>
      </c>
    </row>
    <row r="3266">
      <c r="A3266" s="1">
        <v>4.0</v>
      </c>
      <c r="B3266" s="1" t="s">
        <v>3250</v>
      </c>
      <c r="C3266" t="str">
        <f>IFERROR(__xludf.DUMMYFUNCTION("GOOGLETRANSLATE(B3266, ""es"", ""en"")"),"What I expected good product, very fast shipping and very worth the article for cable. To have used for cable TV ... that tenianun disorder. How bad must have patience for braiding. But otherwise everything ok")</f>
        <v>What I expected good product, very fast shipping and very worth the article for cable. To have used for cable TV ... that tenianun disorder. How bad must have patience for braiding. But otherwise everything ok</v>
      </c>
    </row>
    <row r="3267">
      <c r="A3267" s="1">
        <v>5.0</v>
      </c>
      <c r="B3267" s="1" t="s">
        <v>3251</v>
      </c>
      <c r="C3267" t="str">
        <f>IFERROR(__xludf.DUMMYFUNCTION("GOOGLETRANSLATE(B3267, ""es"", ""en"")"),"Very nice very nice, much better than I expected q. I hope q be so with the passage of time and not put ugly")</f>
        <v>Very nice very nice, much better than I expected q. I hope q be so with the passage of time and not put ugly</v>
      </c>
    </row>
    <row r="3268">
      <c r="A3268" s="1">
        <v>5.0</v>
      </c>
      <c r="B3268" s="1" t="s">
        <v>3252</v>
      </c>
      <c r="C3268" t="str">
        <f>IFERROR(__xludf.DUMMYFUNCTION("GOOGLETRANSLATE(B3268, ""es"", ""en"")"),"evolutionary thermos bottle and bottle aluminum with different nozzles according to the evolution of the child. The nozzle is silicone bottle and also brings the nozzle straw silicone or normal cover. It can be used to heat, for example to keep warm milk "&amp;"bottle or for water. Has. A capacity of 180 ml.")</f>
        <v>evolutionary thermos bottle and bottle aluminum with different nozzles according to the evolution of the child. The nozzle is silicone bottle and also brings the nozzle straw silicone or normal cover. It can be used to heat, for example to keep warm milk bottle or for water. Has. A capacity of 180 ml.</v>
      </c>
    </row>
    <row r="3269">
      <c r="A3269" s="1">
        <v>5.0</v>
      </c>
      <c r="B3269" s="1" t="s">
        <v>3253</v>
      </c>
      <c r="C3269" t="str">
        <f>IFERROR(__xludf.DUMMYFUNCTION("GOOGLETRANSLATE(B3269, ""es"", ""en"")"),"INCREDIBLE I love everything leads to warranty, is super nice. I use it for everything and it is incredible. It can be better but not much time. I recommend it to you")</f>
        <v>INCREDIBLE I love everything leads to warranty, is super nice. I use it for everything and it is incredible. It can be better but not much time. I recommend it to you</v>
      </c>
    </row>
    <row r="3270">
      <c r="A3270" s="1">
        <v>5.0</v>
      </c>
      <c r="B3270" s="1" t="s">
        <v>3254</v>
      </c>
      <c r="C3270" t="str">
        <f>IFERROR(__xludf.DUMMYFUNCTION("GOOGLETRANSLATE(B3270, ""es"", ""en"")"),"Very good buy very good sound, good connection. Good buy for college. For school parties, to play music during recess .... fast and safe transportation.")</f>
        <v>Very good buy very good sound, good connection. Good buy for college. For school parties, to play music during recess .... fast and safe transportation.</v>
      </c>
    </row>
    <row r="3271">
      <c r="A3271" s="1">
        <v>5.0</v>
      </c>
      <c r="B3271" s="1" t="s">
        <v>3255</v>
      </c>
      <c r="C3271" t="str">
        <f>IFERROR(__xludf.DUMMYFUNCTION("GOOGLETRANSLATE(B3271, ""es"", ""en"")"),"Perfect is cheaper but is perfect. It has a good size, is coupled to the support either, in my case, the Andoer, and I came relatively quickly (I think Belgium)")</f>
        <v>Perfect is cheaper but is perfect. It has a good size, is coupled to the support either, in my case, the Andoer, and I came relatively quickly (I think Belgium)</v>
      </c>
    </row>
    <row r="3272">
      <c r="A3272" s="1">
        <v>5.0</v>
      </c>
      <c r="B3272" s="1" t="s">
        <v>3256</v>
      </c>
      <c r="C3272" t="str">
        <f>IFERROR(__xludf.DUMMYFUNCTION("GOOGLETRANSLATE(B3272, ""es"", ""en"")"),"The size is very fair I chock 42 and asked for the size 42/43 Brazil and heel stays a little out")</f>
        <v>The size is very fair I chock 42 and asked for the size 42/43 Brazil and heel stays a little out</v>
      </c>
    </row>
    <row r="3273">
      <c r="A3273" s="1">
        <v>5.0</v>
      </c>
      <c r="B3273" s="1" t="s">
        <v>3257</v>
      </c>
      <c r="C3273" t="str">
        <f>IFERROR(__xludf.DUMMYFUNCTION("GOOGLETRANSLATE(B3273, ""es"", ""en"")"),"FEELING GOOD IN THE FIRST USE The feeling was very positive. Comfortable and with a very good stiffness. EXPECT THE DURABILITY RESPOND expected. IF MEETS EXPECTATIONS, UNBEATABLE QUALITY / PRICE.")</f>
        <v>FEELING GOOD IN THE FIRST USE The feeling was very positive. Comfortable and with a very good stiffness. EXPECT THE DURABILITY RESPOND expected. IF MEETS EXPECTATIONS, UNBEATABLE QUALITY / PRICE.</v>
      </c>
    </row>
    <row r="3274">
      <c r="A3274" s="1">
        <v>5.0</v>
      </c>
      <c r="B3274" s="1" t="s">
        <v>3258</v>
      </c>
      <c r="C3274" t="str">
        <f>IFERROR(__xludf.DUMMYFUNCTION("GOOGLETRANSLATE(B3274, ""es"", ""en"")"),"Jordi Perfect !! Perfectly fulfills its function. I have already arranged three punctures by nails and is very simple to repair, which is logically suggest a compressor for later hinflar")</f>
        <v>Jordi Perfect !! Perfectly fulfills its function. I have already arranged three punctures by nails and is very simple to repair, which is logically suggest a compressor for later hinflar</v>
      </c>
    </row>
    <row r="3275">
      <c r="A3275" s="1">
        <v>5.0</v>
      </c>
      <c r="B3275" s="1" t="s">
        <v>3259</v>
      </c>
      <c r="C3275" t="str">
        <f>IFERROR(__xludf.DUMMYFUNCTION("GOOGLETRANSLATE(B3275, ""es"", ""en"")"),"Perfect value, good bass and good sound definition. By putting a snag in the diadem they are stuck a bit, otherwise pefect. It also has a function with the Assistant google that pressing the power button twice in a row can say commands. Very useful.")</f>
        <v>Perfect value, good bass and good sound definition. By putting a snag in the diadem they are stuck a bit, otherwise pefect. It also has a function with the Assistant google that pressing the power button twice in a row can say commands. Very useful.</v>
      </c>
    </row>
    <row r="3276">
      <c r="A3276" s="1">
        <v>5.0</v>
      </c>
      <c r="B3276" s="1" t="s">
        <v>3260</v>
      </c>
      <c r="C3276" t="str">
        <f>IFERROR(__xludf.DUMMYFUNCTION("GOOGLETRANSLATE(B3276, ""es"", ""en"")"),"A good quality cable that works perfectly good cable. Recommendable.")</f>
        <v>A good quality cable that works perfectly good cable. Recommendable.</v>
      </c>
    </row>
    <row r="3277">
      <c r="A3277" s="1">
        <v>5.0</v>
      </c>
      <c r="B3277" s="1" t="s">
        <v>3261</v>
      </c>
      <c r="C3277" t="str">
        <f>IFERROR(__xludf.DUMMYFUNCTION("GOOGLETRANSLATE(B3277, ""es"", ""en"")"),"Stapled staples. Nothing more can be said.")</f>
        <v>Stapled staples. Nothing more can be said.</v>
      </c>
    </row>
    <row r="3278">
      <c r="A3278" s="1">
        <v>5.0</v>
      </c>
      <c r="B3278" s="1" t="s">
        <v>3262</v>
      </c>
      <c r="C3278" t="str">
        <f>IFERROR(__xludf.DUMMYFUNCTION("GOOGLETRANSLATE(B3278, ""es"", ""en"")"),"The battery lasts much Although I have highlighted in the title battery, I must say that lasts much porq me to take the weekend and use them a lot, I forgot the little box is where you store and automatically loaded and no battery is just and even putting"&amp;" them he had so much and was pleasantly surprised, they adapt very well and the sound quality is quite good and absequible price. It comes apart from being a bag in his box as seen in the picture for even better save, your charging cable and other pads")</f>
        <v>The battery lasts much Although I have highlighted in the title battery, I must say that lasts much porq me to take the weekend and use them a lot, I forgot the little box is where you store and automatically loaded and no battery is just and even putting them he had so much and was pleasantly surprised, they adapt very well and the sound quality is quite good and absequible price. It comes apart from being a bag in his box as seen in the picture for even better save, your charging cable and other pads</v>
      </c>
    </row>
    <row r="3279">
      <c r="A3279" s="1">
        <v>5.0</v>
      </c>
      <c r="B3279" s="1" t="s">
        <v>3263</v>
      </c>
      <c r="C3279" t="str">
        <f>IFERROR(__xludf.DUMMYFUNCTION("GOOGLETRANSLATE(B3279, ""es"", ""en"")"),"Unbeatable value for money. The headphones come packaged nicely in its sealed box. In the protected inside a bag is headphones. In a separate bag the micro USB cable for charging and two-pin type cable with Jack. They hear very well and has a good autonom"&amp;"y. Today I tried connecting it to the PC for Skype conversation and go very well. The pads are large and not put pressure on the ears preventing harm you. A good product at a price even better. I recommend it")</f>
        <v>Unbeatable value for money. The headphones come packaged nicely in its sealed box. In the protected inside a bag is headphones. In a separate bag the micro USB cable for charging and two-pin type cable with Jack. They hear very well and has a good autonomy. Today I tried connecting it to the PC for Skype conversation and go very well. The pads are large and not put pressure on the ears preventing harm you. A good product at a price even better. I recommend it</v>
      </c>
    </row>
    <row r="3280">
      <c r="A3280" s="1">
        <v>5.0</v>
      </c>
      <c r="B3280" s="1" t="s">
        <v>3264</v>
      </c>
      <c r="C3280" t="str">
        <f>IFERROR(__xludf.DUMMYFUNCTION("GOOGLETRANSLATE(B3280, ""es"", ""en"")"),"pretty good and meets indicated, good price")</f>
        <v>pretty good and meets indicated, good price</v>
      </c>
    </row>
    <row r="3281">
      <c r="A3281" s="1">
        <v>5.0</v>
      </c>
      <c r="B3281" s="1" t="s">
        <v>3265</v>
      </c>
      <c r="C3281" t="str">
        <f>IFERROR(__xludf.DUMMYFUNCTION("GOOGLETRANSLATE(B3281, ""es"", ""en"")"),"Pack essential oils virgin I love how easy it is to replace the humidifier. Are 6 different boats, among which you find Mentha, Clavero, Lavender, Hand of Buddha and frankincense. To me that is more like me lavender, hidden odors and also when you put it "&amp;"before bedtime helps you relax a lot.")</f>
        <v>Pack essential oils virgin I love how easy it is to replace the humidifier. Are 6 different boats, among which you find Mentha, Clavero, Lavender, Hand of Buddha and frankincense. To me that is more like me lavender, hidden odors and also when you put it before bedtime helps you relax a lot.</v>
      </c>
    </row>
    <row r="3282">
      <c r="A3282" s="1">
        <v>5.0</v>
      </c>
      <c r="B3282" s="1" t="s">
        <v>3266</v>
      </c>
      <c r="C3282" t="str">
        <f>IFERROR(__xludf.DUMMYFUNCTION("GOOGLETRANSLATE(B3282, ""es"", ""en"")"),"Very good Easy to connect and great to have connected the cables.")</f>
        <v>Very good Easy to connect and great to have connected the cables.</v>
      </c>
    </row>
    <row r="3283">
      <c r="A3283" s="1">
        <v>5.0</v>
      </c>
      <c r="B3283" s="1" t="s">
        <v>3267</v>
      </c>
      <c r="C3283" t="str">
        <f>IFERROR(__xludf.DUMMYFUNCTION("GOOGLETRANSLATE(B3283, ""es"", ""en"")"),"Good buy warm and comfortable")</f>
        <v>Good buy warm and comfortable</v>
      </c>
    </row>
    <row r="3284">
      <c r="A3284" s="1">
        <v>5.0</v>
      </c>
      <c r="B3284" s="1" t="s">
        <v>3268</v>
      </c>
      <c r="C3284" t="str">
        <f>IFERROR(__xludf.DUMMYFUNCTION("GOOGLETRANSLATE(B3284, ""es"", ""en"")"),"Is fine I bought for my son and so far meets the specifications well without staining problems or having to do anything special to remove writing, just with a simple cloth, using it with black bic pen velleda.")</f>
        <v>Is fine I bought for my son and so far meets the specifications well without staining problems or having to do anything special to remove writing, just with a simple cloth, using it with black bic pen velleda.</v>
      </c>
    </row>
    <row r="3285">
      <c r="A3285" s="1">
        <v>5.0</v>
      </c>
      <c r="B3285" s="1" t="s">
        <v>3269</v>
      </c>
      <c r="C3285" t="str">
        <f>IFERROR(__xludf.DUMMYFUNCTION("GOOGLETRANSLATE(B3285, ""es"", ""en"")"),"Price quality very good. Sounds very good. He missed such a good sound. After several use wireless sound quality has nothing to do with this. Awesome. In addition they isolate highly of the sound of the street. I come without good micro volume control so "&amp;"perhaps worth that price. But really they sound great. Low molan much. I hear a lot of electronic music that is appreciated but right now I'm listening to korn and those low is appreciated. Very happy.")</f>
        <v>Price quality very good. Sounds very good. He missed such a good sound. After several use wireless sound quality has nothing to do with this. Awesome. In addition they isolate highly of the sound of the street. I come without good micro volume control so perhaps worth that price. But really they sound great. Low molan much. I hear a lot of electronic music that is appreciated but right now I'm listening to korn and those low is appreciated. Very happy.</v>
      </c>
    </row>
    <row r="3286">
      <c r="A3286" s="1">
        <v>2.0</v>
      </c>
      <c r="B3286" s="1" t="s">
        <v>3270</v>
      </c>
      <c r="C3286" t="str">
        <f>IFERROR(__xludf.DUMMYFUNCTION("GOOGLETRANSLATE(B3286, ""es"", ""en"")"),"Good price. Too low. In principle I like the bass, but these headphones have too much presence, ""eating"" a little midrange and treble. Otherwise, well, have a good price, they are nice, they seem comfortable and are foldable (for those interested).")</f>
        <v>Good price. Too low. In principle I like the bass, but these headphones have too much presence, "eating" a little midrange and treble. Otherwise, well, have a good price, they are nice, they seem comfortable and are foldable (for those interested).</v>
      </c>
    </row>
    <row r="3287">
      <c r="A3287" s="1">
        <v>3.0</v>
      </c>
      <c r="B3287" s="1" t="s">
        <v>3271</v>
      </c>
      <c r="C3287" t="str">
        <f>IFERROR(__xludf.DUMMYFUNCTION("GOOGLETRANSLATE(B3287, ""es"", ""en"")"),"Pretty good physical design of the cabochon is not what I expected but for that price you can not ask for more")</f>
        <v>Pretty good physical design of the cabochon is not what I expected but for that price you can not ask for more</v>
      </c>
    </row>
    <row r="3288">
      <c r="A3288" s="1">
        <v>3.0</v>
      </c>
      <c r="B3288" s="1" t="s">
        <v>3272</v>
      </c>
      <c r="C3288" t="str">
        <f>IFERROR(__xludf.DUMMYFUNCTION("GOOGLETRANSLATE(B3288, ""es"", ""en"")"),"Validis I liked the price and speed in sending")</f>
        <v>Validis I liked the price and speed in sending</v>
      </c>
    </row>
    <row r="3289">
      <c r="A3289" s="1">
        <v>1.0</v>
      </c>
      <c r="B3289" s="1" t="s">
        <v>3273</v>
      </c>
      <c r="C3289" t="str">
        <f>IFERROR(__xludf.DUMMYFUNCTION("GOOGLETRANSLATE(B3289, ""es"", ""en"")"),"Bad experience with the WD brand As indicated in the header of the comment, I had a bad experience with this particular hard drive. I bought this hard drive for its price and backed by a well-known brand. It does not incorporate any program to clone anoth"&amp;"er hard drive in it, and yet always find one program or another for this purpose. On the other hand, to the dump all my data on the hard drive, after 3 days on the hard disk unbootable. It turns on my computer, but the OS is very slow. This operation happ"&amp;"ened with two identical hard drives of this brand. I tried with Seagate in the same capacity and price and all excellent.")</f>
        <v>Bad experience with the WD brand As indicated in the header of the comment, I had a bad experience with this particular hard drive. I bought this hard drive for its price and backed by a well-known brand. It does not incorporate any program to clone another hard drive in it, and yet always find one program or another for this purpose. On the other hand, to the dump all my data on the hard drive, after 3 days on the hard disk unbootable. It turns on my computer, but the OS is very slow. This operation happened with two identical hard drives of this brand. I tried with Seagate in the same capacity and price and all excellent.</v>
      </c>
    </row>
    <row r="3290">
      <c r="A3290" s="1">
        <v>1.0</v>
      </c>
      <c r="B3290" s="1" t="s">
        <v>3274</v>
      </c>
      <c r="C3290" t="str">
        <f>IFERROR(__xludf.DUMMYFUNCTION("GOOGLETRANSLATE(B3290, ""es"", ""en"")"),"Horrible do not recommend it to anyone, it sounds tinny and went without micros or command. Made in China, Quality China.")</f>
        <v>Horrible do not recommend it to anyone, it sounds tinny and went without micros or command. Made in China, Quality China.</v>
      </c>
    </row>
    <row r="3291">
      <c r="A3291" s="1">
        <v>4.0</v>
      </c>
      <c r="B3291" s="1" t="s">
        <v>3275</v>
      </c>
      <c r="C3291" t="str">
        <f>IFERROR(__xludf.DUMMYFUNCTION("GOOGLETRANSLATE(B3291, ""es"", ""en"")"),"This complies described well and does the job. Miss one tab to carry the bag open and not to move within the bag.")</f>
        <v>This complies described well and does the job. Miss one tab to carry the bag open and not to move within the bag.</v>
      </c>
    </row>
    <row r="3292">
      <c r="A3292" s="1">
        <v>4.0</v>
      </c>
      <c r="B3292" s="1" t="s">
        <v>3276</v>
      </c>
      <c r="C3292" t="str">
        <f>IFERROR(__xludf.DUMMYFUNCTION("GOOGLETRANSLATE(B3292, ""es"", ""en"")"),"fast delivery easy to handle")</f>
        <v>fast delivery easy to handle</v>
      </c>
    </row>
    <row r="3293">
      <c r="A3293" s="1">
        <v>4.0</v>
      </c>
      <c r="B3293" s="1" t="s">
        <v>3277</v>
      </c>
      <c r="C3293" t="str">
        <f>IFERROR(__xludf.DUMMYFUNCTION("GOOGLETRANSLATE(B3293, ""es"", ""en"")"),"Good watch speaker fulfills its function, it uses an older person who is poor vision and meets perfectly worst time is it in")</f>
        <v>Good watch speaker fulfills its function, it uses an older person who is poor vision and meets perfectly worst time is it in</v>
      </c>
    </row>
    <row r="3294">
      <c r="A3294" s="1">
        <v>4.0</v>
      </c>
      <c r="B3294" s="1" t="s">
        <v>3278</v>
      </c>
      <c r="C3294" t="str">
        <f>IFERROR(__xludf.DUMMYFUNCTION("GOOGLETRANSLATE(B3294, ""es"", ""en"")"),"ok for the price well it is transparent enough")</f>
        <v>ok for the price well it is transparent enough</v>
      </c>
    </row>
    <row r="3295">
      <c r="A3295" s="1">
        <v>4.0</v>
      </c>
      <c r="B3295" s="1" t="s">
        <v>3279</v>
      </c>
      <c r="C3295" t="str">
        <f>IFERROR(__xludf.DUMMYFUNCTION("GOOGLETRANSLATE(B3295, ""es"", ""en"")"),"Yes but not for what it cost she hoped the golden metal part out yet is plastic, but still gives the trick is not the same. The good thing about this Casio with these colors is that you do not have anyone else and I like is enough.")</f>
        <v>Yes but not for what it cost she hoped the golden metal part out yet is plastic, but still gives the trick is not the same. The good thing about this Casio with these colors is that you do not have anyone else and I like is enough.</v>
      </c>
    </row>
    <row r="3296">
      <c r="A3296" s="1">
        <v>5.0</v>
      </c>
      <c r="B3296" s="1" t="s">
        <v>3280</v>
      </c>
      <c r="C3296" t="str">
        <f>IFERROR(__xludf.DUMMYFUNCTION("GOOGLETRANSLATE(B3296, ""es"", ""en"")"),"Brilliant brilliant. They smell great and I arrived perfect.")</f>
        <v>Brilliant brilliant. They smell great and I arrived perfect.</v>
      </c>
    </row>
    <row r="3297">
      <c r="A3297" s="1">
        <v>5.0</v>
      </c>
      <c r="B3297" s="1" t="s">
        <v>3281</v>
      </c>
      <c r="C3297" t="str">
        <f>IFERROR(__xludf.DUMMYFUNCTION("GOOGLETRANSLATE(B3297, ""es"", ""en"")"),"Sounds good value for money, the battery lasts quite well. Comfortable and I have not yet fallen into the gym. For the price they are great. I am having bought bought these headphones and again, for the price I have been very happy")</f>
        <v>Sounds good value for money, the battery lasts quite well. Comfortable and I have not yet fallen into the gym. For the price they are great. I am having bought bought these headphones and again, for the price I have been very happy</v>
      </c>
    </row>
    <row r="3298">
      <c r="A3298" s="1">
        <v>5.0</v>
      </c>
      <c r="B3298" s="1" t="s">
        <v>3282</v>
      </c>
      <c r="C3298" t="str">
        <f>IFERROR(__xludf.DUMMYFUNCTION("GOOGLETRANSLATE(B3298, ""es"", ""en"")"),"Well Perfect as always. Of the best brands of small appliances")</f>
        <v>Well Perfect as always. Of the best brands of small appliances</v>
      </c>
    </row>
    <row r="3299">
      <c r="A3299" s="1">
        <v>5.0</v>
      </c>
      <c r="B3299" s="1" t="s">
        <v>3283</v>
      </c>
      <c r="C3299" t="str">
        <f>IFERROR(__xludf.DUMMYFUNCTION("GOOGLETRANSLATE(B3299, ""es"", ""en"")"),"As delighted that my parents had! The lifetime, but more modern. Super nice touch")</f>
        <v>As delighted that my parents had! The lifetime, but more modern. Super nice touch</v>
      </c>
    </row>
    <row r="3300">
      <c r="A3300" s="1">
        <v>5.0</v>
      </c>
      <c r="B3300" s="1" t="s">
        <v>3284</v>
      </c>
      <c r="C3300" t="str">
        <f>IFERROR(__xludf.DUMMYFUNCTION("GOOGLETRANSLATE(B3300, ""es"", ""en"")"),"Great for After time to return some of the LIDL were worth 5 times less but had the removable liner which came out every time I pulled foot I decided on this and are very very comfortable and the lining is sewn for without problem. If the liner is not bro"&amp;"ken before two or three years (I do not wear them all day, just for a while) I will have paid what they are worth. If it breaks before they have gone expensive.")</f>
        <v>Great for After time to return some of the LIDL were worth 5 times less but had the removable liner which came out every time I pulled foot I decided on this and are very very comfortable and the lining is sewn for without problem. If the liner is not broken before two or three years (I do not wear them all day, just for a while) I will have paid what they are worth. If it breaks before they have gone expensive.</v>
      </c>
    </row>
    <row r="3301">
      <c r="A3301" s="1">
        <v>5.0</v>
      </c>
      <c r="B3301" s="1" t="s">
        <v>3285</v>
      </c>
      <c r="C3301" t="str">
        <f>IFERROR(__xludf.DUMMYFUNCTION("GOOGLETRANSLATE(B3301, ""es"", ""en"")"),"Work and are very sharp are as good as outras most famous brands.")</f>
        <v>Work and are very sharp are as good as outras most famous brands.</v>
      </c>
    </row>
    <row r="3302">
      <c r="A3302" s="1">
        <v>5.0</v>
      </c>
      <c r="B3302" s="1" t="s">
        <v>3286</v>
      </c>
      <c r="C3302" t="str">
        <f>IFERROR(__xludf.DUMMYFUNCTION("GOOGLETRANSLATE(B3302, ""es"", ""en"")"),"Cristina Jiménez Morcillo excellent rule for patronaje in sewing ... and to increase and decrease the sizes Very happy with purchase thanks Satisfied")</f>
        <v>Cristina Jiménez Morcillo excellent rule for patronaje in sewing ... and to increase and decrease the sizes Very happy with purchase thanks Satisfied</v>
      </c>
    </row>
    <row r="3303">
      <c r="A3303" s="1">
        <v>5.0</v>
      </c>
      <c r="B3303" s="1" t="s">
        <v>3287</v>
      </c>
      <c r="C3303" t="str">
        <f>IFERROR(__xludf.DUMMYFUNCTION("GOOGLETRANSLATE(B3303, ""es"", ""en"")"),"Perfect had doubts about the size but I remain perfect")</f>
        <v>Perfect had doubts about the size but I remain perfect</v>
      </c>
    </row>
    <row r="3304">
      <c r="A3304" s="1">
        <v>5.0</v>
      </c>
      <c r="B3304" s="1" t="s">
        <v>3288</v>
      </c>
      <c r="C3304" t="str">
        <f>IFERROR(__xludf.DUMMYFUNCTION("GOOGLETRANSLATE(B3304, ""es"", ""en"")"),"Optimal Very good price / quality. Comfortable, although a little hot. They are also a bit larger than other safety shoes of the same size.")</f>
        <v>Optimal Very good price / quality. Comfortable, although a little hot. They are also a bit larger than other safety shoes of the same size.</v>
      </c>
    </row>
    <row r="3305">
      <c r="A3305" s="1">
        <v>5.0</v>
      </c>
      <c r="B3305" s="1" t="s">
        <v>3289</v>
      </c>
      <c r="C3305" t="str">
        <f>IFERROR(__xludf.DUMMYFUNCTION("GOOGLETRANSLATE(B3305, ""es"", ""en"")"),"Very useful. Had a couple of dirty gardening tools and have polished this citric acid. It is a good home remedy for these cases, in my family we have used for a long time.")</f>
        <v>Very useful. Had a couple of dirty gardening tools and have polished this citric acid. It is a good home remedy for these cases, in my family we have used for a long time.</v>
      </c>
    </row>
    <row r="3306">
      <c r="A3306" s="1">
        <v>5.0</v>
      </c>
      <c r="B3306" s="1" t="s">
        <v>3290</v>
      </c>
      <c r="C3306" t="str">
        <f>IFERROR(__xludf.DUMMYFUNCTION("GOOGLETRANSLATE(B3306, ""es"", ""en"")"),"Very comfortable very comfortable, and very beautiful Same color in the photo. Ideal to spend hours standing, note that the foot rests much more. I recommend.")</f>
        <v>Very comfortable very comfortable, and very beautiful Same color in the photo. Ideal to spend hours standing, note that the foot rests much more. I recommend.</v>
      </c>
    </row>
    <row r="3307">
      <c r="A3307" s="1">
        <v>5.0</v>
      </c>
      <c r="B3307" s="1" t="s">
        <v>3291</v>
      </c>
      <c r="C3307" t="str">
        <f>IFERROR(__xludf.DUMMYFUNCTION("GOOGLETRANSLATE(B3307, ""es"", ""en"")"),"The perfect complement to my room &lt;div id = ""video-block-RSAHVMHNOC8HD"" class = ""a-section a-spacing-small a-spacing-top mini video-block""&gt; &lt;div tabindex = ""0"" class = "" airy airy-svg vmin-unsupported airy-skin-beacon ""style ="" background-color: "&amp;"rgb (0, 0, 0) position: relative; width: 100%; height: 100%; font-size: 0px; overflow : hidden; outline: none; ""&gt; &lt;div class ="" airy-renderer-container ""style ="" position: relative; height: 100%; width: 100%; ""&gt; &lt;video id ="" 59 ""preload ="" auto """&amp;"src ="" https://images-eu.ssl-images-amazon.com/images/I/91Sj9nL6R-S.mp4 ""style ="" position: absolute; left: 0px; top: 0px; overflow: hidden; height : 1px; width: 1px; ""&gt; &lt;/ video&gt; &lt;/ div&gt; &lt;div id ="" airy-slate-preload ""style ="" background-color: rg"&amp;"b (0, 0, 0); background-image: url ( &amp; quot; https: //images-eu.ssl-images-amazon.com/images/I/71S5TqcSxbS.png&amp;quot;); background-size: Contain; background-position: center center; background-repeat: no-repeat; position : absolute; top: 0px; left: 0px; vi"&amp;"sibility: visible; width: 100%; height: 10 0%; ""&gt; &lt;/ div&gt; &lt;iframe scrolling ="" no ""frameborder ="" 0 ""src ="" about: blank ""style ="" display: none; ""&gt; &lt;/ iframe&gt; &lt;div tabindex ="" - 1 ""class = ""airy-controls-container"" style = ""opacity: 0; visi"&amp;"bility: hidden; ""&gt; &lt;div tabindex ="" - 1 ""class ="" airy-screen-size-toggle airy-fullscreen ""&gt; &lt;/ div&gt; &lt;div tabindex ="" - 1 ""class ="" airy-container-bottom "" &gt; &lt;div tabindex = ""- 1"" class = ""airy-track-bar-spacer-left"" style = ""width: 11px;""&gt;"&amp;" &lt;/ div&gt; &lt;div tabindex = ""- 1"" class = ""airy-play- airy toggle-play ""style ="" width: 12px; margin-right: 12px; ""&gt; &lt;/ div&gt; &lt;div tabindex ="" - 1 ""class ="" airy-audio-elements ""style ="" float: right; width: 34px; ""&gt; &lt;div tabindex ="" - 1 ""class "&amp;"="" airy-audio-toggle airy-on ""&gt; &lt;/ div&gt; &lt;div tabindex ="" - 1 ""class ="" airy-audio-container ""style = ""opacity: 0; visibility: hidden; ""&gt; &lt;div tabindex ="" - 1 ""class ="" airy-audio-track-bar ""style ="" height: 80%; ""&gt; &lt;div tabindex ="" - 1 ""cl"&amp;"ass ="" airy-audio- Scrubber-bar ""style ="" height: 85%; ""&gt; &lt;/ div&gt; &lt;div tabindex ="" - 1 ""class ="" airy-audio-scrubber ""style ="" height: 12px; bottom 85% ""&gt; &lt;/ div&gt; &lt;/ div&gt; &lt;/ div&gt; &lt;/ div&gt; &lt;div tabindex ="" - 1 ""class ="" airy-duration-label ""st"&amp;"yle ="" float: right; width: 26px; margin-right: 4px; text-align: center; ""&gt; 0:00 &lt;/ div&gt; &lt;div tabindex ="" - 1 ""class ="" airy-track-bar-spacer-right ""style ="" float: right; width: 11px; ""&gt; &lt;/ div&gt; &lt;div tabindex ="" - 1 ""class ="" airy-track-bar-co"&amp;"ntainer ""style ="" margin-left: 35px; margin-right: 75px; ""&gt; &lt;div tabindex ="" - 1 ""class ="" airy-airy-track-bar vertically-centering-table ""&gt; &lt;div tabindex ="" - 1 ""class ="" airy-Vertical-centering- table-cell ""&gt; &lt;div tabindex ="" - 1 ""class ="""&amp;" airy-track-bar-elements ""&gt; &lt;div tabindex ="" - 1 ""class ="" airy-progress-bar ""&gt; &lt;/ div&gt; &lt;div tabindex = ""- 1"" class = ""airy-scrubber-bar""&gt; &lt;/ div&gt; &lt;div tabindex = ""- 1"" class = ""airy-scrubber""&gt; &lt;div tabindex = ""- 1"" class = ""airy-scrubber-"&amp;" icon ""&gt; &lt;/ div&gt; &lt;div tabindex ="" - 1 ""class ="" airy-adjusted-AUI-tooltip ""style ="" opacity: 0; visibility: hidden; ""&gt; &lt;div tabindex ="" - 1 ""class ="" airy-adjusted-aui-tooltip-inner ""&gt; &lt;div tabindex ="" - 1 ""class ="" airy-current-time-label "&amp;"""&gt; 0: 00 &lt;/ div&gt; &lt;/ div&gt; &lt;div tabindex = ""- 1"" class = ""airy-adjusted-AUI-arrow-border""&gt; &lt;div tabindex = ""- 1"" class = ""airy-adjusted-AUI-arrow"" &gt; &lt;/ div&gt; &lt;/ div&gt; &lt;/ div&gt; &lt;/ div&gt; &lt;/ div&gt; &lt;/ div&gt; &lt;/ div&gt; &lt;/ div&gt; &lt;/ div&gt; &lt;/ div&gt; &lt;div tabindex = ""-"&amp;" 1"" class = ""airy-age-gate airy-stage airy-Vertical-centering-table airy-dialog"" style = ""opacity: 0; visibility: hidden; ""&gt; &lt;div tabindex ="" - 1 ""class ="" airy-age-gate-Vertical-centering-table-cell airy-Vertical-centering-table-cell ""&gt; &lt;div tab"&amp;"index ="" - 1 ""class = ""airy-Vertical-centering-wrapper airy-age-gate-elements-wrapper""&gt; &lt;div tabindex = ""- 1"" class = ""airy-age-gate-elements airy-dialog-elements""&gt; &lt;div tabindex = "" -1 ""class ="" airy-age-gate-prompt ""&gt; This video is not Inten"&amp;"ded for all audiences What date were you born &lt;/ div&gt; &lt;div tabindex =.?"" - 1 ""class ="" airy-age-gate -inputs airy-dialog-inner-elements ""&gt; &lt;select tabindex ="" - 1 ""class ="" airy-age-gate-month ""&gt; &lt;option value ="" 1 ""&gt; January &lt;/ option&gt; &lt;option "&amp;"value ="" 2 ""&gt; February &lt;/ option&gt; &lt;option value ="" 3 ""&gt; March &lt;/ option&gt; &lt;option value ="" 4 ""&gt; April &lt;/ option&gt; &lt;option value ="" 5 ""&gt; May &lt;/ option&gt; &lt;option value = ""6""&gt; June &lt;/ option&gt; &lt;option value = ""7""&gt; July &lt;/ option&gt; &lt;option value = ""8"&amp;"""&gt; August &lt;/ option&gt; &lt;option value = ""9""&gt; September &lt;/ option&gt; &lt;option value = ""10""&gt; October &lt;/ option&gt; &lt;option value = ""11""&gt; November &lt;/ option&gt; &lt;option value = ""12""&gt; December &lt;/ option&gt; &lt;/ select&gt; &lt;select tabindex = ""- 1"" class = ""airy-age-g"&amp;"ate-day""&gt; &lt;opti on value = ""1""&gt; 1 &lt;/ option&gt; &lt;option value = ""2""&gt; 2 &lt;/ option&gt; &lt;option value = ""3""&gt; 3 &lt;/ option&gt; &lt;option value = ""4""&gt; 4 &lt;/ option &gt; &lt;option value = ""5""&gt; 5 &lt;/ option&gt; &lt;option value = ""6""&gt; 6 &lt;/ option&gt; &lt;option value = ""7""&gt; 7 &lt;"&amp;"/ option&gt; &lt;option value = ""8""&gt; 8 &lt; / option&gt; &lt;option value = ""9""&gt; 9 &lt;/ option&gt; &lt;option value = ""10""&gt; 10 &lt;/ option&gt; &lt;option value = ""11""&gt; 11 &lt;/ option&gt; &lt;option value = ""12""&gt; 12 &lt;/ option&gt; &lt;option value = ""13""&gt; 13 &lt;/ option&gt; &lt;option value = ""14"&amp;"""&gt; 14 &lt;/ option&gt; &lt;option value = ""15""&gt; 15 &lt;/ option&gt; &lt;option value = ""16 ""&gt; 16 &lt;/ option&gt; &lt;option value ="" 17 ""&gt; 17 &lt;/ option&gt; &lt;option value ="" 18 ""&gt; 18 &lt;/ option&gt; &lt;option value ="" 19 ""&gt; 19 &lt;/ option&gt; &lt;option value = ""20""&gt; 20 &lt;/ option&gt; &lt;opti"&amp;"on value = ""21""&gt; 21 &lt;/ option&gt; &lt;option value = ""22""&gt; 22 &lt;/ option&gt; &lt;option value = ""23""&gt; 23 &lt;/ option&gt; &lt;option value = ""24""&gt; 24 &lt;/ option&gt; &lt;option value = ""25""&gt; 25 &lt;/ option&gt; &lt;option value = ""26""&gt; 26 &lt;/ option&gt; &lt;option value = ""27""&gt; 27 &lt;/ op"&amp;"tion&gt; &lt;option value = ""28""&gt; 28 &lt;/ option&gt; &lt;option value = ""29""&gt; 29 &lt;/ option&gt; &lt;option value = ""30""&gt; 30 &lt;/ option&gt; &lt;option value = ""31""&gt; 31 &lt;/ option&gt; &lt;/ select&gt; &lt;select tabindex = ""- 1"" class = ""airy-age-gate-year""&gt; &lt;option value = ""2019""&gt; 2"&amp;"019 &lt;/ option&gt; &lt; option value = ""2018""&gt; 2018 &lt;/ option&gt; &lt;option value = ""2017""&gt; 2017 &lt;/ option&gt; &lt;option value = ""2016""&gt; ​​2016 &lt;/ option&gt; &lt;option value = ""2015""&gt; 2015 &lt;/ option &gt; &lt;option value = ""2014""&gt; 2014 &lt;/ option&gt; &lt;option value = ""2013""&gt; "&amp;"2013 &lt;/ option&gt; &lt;option value = ""2012""&gt; 2012 &lt;/ option&gt; &lt;option value = ""2011""&gt; 2011 &lt; / option&gt; &lt;option value = ""2010""&gt; 2010 &lt;/ option&gt; &lt;option value = ""2009""&gt; 2009 &lt;/ option&gt; &lt;option value = ""2008""&gt; 2008 &lt;/ option&gt; &lt;option value = ""2007""&gt; 20"&amp;"07 &lt;/ option&gt; &lt;option value = ""2006""&gt; 2006 &lt;/ option&gt; &lt;option value = ""2005""&gt; 2005 &lt;/ option&gt; &lt;option value = ""2004""&gt; 2004 &lt;/ option&gt; &lt;option value = ""2003 ""&gt; 2003 &lt;/ option&gt; &lt;option value ="" 2002 ""&gt; 2002 &lt;/ option&gt; &lt;option value ="" 2001 ""&gt; 20"&amp;"01 &lt;/ option&gt; &lt;option value ="" 2000 ""&gt; 2000 &lt;/ option&gt; &lt;option value = ""1999""&gt; 1999 &lt;/ option&gt; &lt;option value = ""1998""&gt; 1998 &lt;/ option&gt; &lt;option value = ""1997""&gt; 1997 &lt;/ option&gt; &lt;option value = ""1996""&gt; 1996 &lt;/ option&gt; &lt;option value = ""1995""&gt; 1995"&amp;" &lt;/ option&gt; &lt;option value = ""1994""&gt; 1994 &lt;/ option&gt; &lt;option value = ""1993""&gt; 1993 &lt;/ option&gt; &lt;option value = ""1992""&gt; 1992 &lt;/ option&gt; &lt;option value = ""1991""&gt; 1991 &lt;/ option&gt; &lt;option value = ""1990""&gt; 1990 &lt;/ option&gt; &lt;option value = "" 1989 ""&gt; 1989 "&amp;"&lt;/ option&gt; &lt;option value ="" 1988 ""&gt; 1988 &lt;/ option&gt; &lt;option value ="" 1987 ""&gt; 1987 &lt;/ option&gt; &lt;option value ="" 1986 ""&gt; 1986 &lt;/ option&gt; &lt;value option = ""1985""&gt; 1985 &lt;/ option&gt; &lt;option value = ""1984""&gt; 1984 &lt;/ option&gt; &lt;option value = ""1983""&gt; 1983 "&amp;"&lt;/ option&gt; &lt;option value = ""1982""&gt; 1982 &lt;/ option&gt; &lt; option value = ""1981""&gt; 1981 &lt;/ option&gt; &lt;option value = ""1980""&gt; 1980 &lt;/ option&gt; &lt;option value = ""1979""&gt; 1979 &lt;/ option&gt; &lt;option value = ""1978""&gt; 1978 &lt;/ option &gt; &lt;option value = ""1977""&gt; 1977 &lt;"&amp;"/ option&gt; &lt;option value = ""1976""&gt; 1976 &lt;/ option&gt; &lt;option value = ""1975""&gt; 1975 &lt;/ option&gt; &lt;option value = ""1974""&gt; 1974 &lt; / option&gt; &lt;option value = ""1973""&gt; 1973 &lt;/ option&gt; &lt;option value = ""1972""&gt; 1972 &lt;/ option&gt; &lt;option value = ""1971""&gt; 1971 &lt;/ "&amp;"option&gt; &lt;option value = ""1970""&gt; 1970 &lt;/ option&gt; &lt;option value = ""1969""&gt; 1969 &lt;/ option&gt; &lt;option value = ""1968""&gt; 1968 &lt;/ option&gt; &lt;option value = ""1967""&gt; 1967 &lt;/ option&gt; &lt;option value = ""1966 ""&gt; 1966 &lt;/ option&gt; &lt;option value ="" 1965 ""&gt; 1965 &lt;/ o"&amp;"ption&gt; &lt;option value ="" 1964 ""&gt; 1964 &lt;/ option&gt; &lt;option value ="" 1963 ""&gt; 1963 &lt;/ option&gt; &lt;option value = ""1962""&gt; 1962 &lt;/ option&gt; &lt;option value = ""1961""&gt; 1961 &lt;/ option&gt; &lt;option value = ""1960""&gt; 1960 &lt;/ op tion&gt; &lt;option value = ""1959""&gt; 1959 &lt;/ o"&amp;"ption&gt; &lt;option value = ""1958""&gt; 1958 &lt;/ option&gt; &lt;option value = ""1957""&gt; 1957 &lt;/ option&gt; &lt;option value = ""1956""&gt; 1956 &lt;/ option&gt; &lt;option value = ""1955""&gt; 1955 &lt;/ option&gt; &lt;option value = ""1954""&gt; 1954 &lt;/ option&gt; &lt;option value = ""1953""&gt; 1953 &lt;/ opti"&amp;"on&gt; &lt;option value = ""1952"" &gt; 1952 &lt;/ option&gt; &lt;option value = ""1951""&gt; 1951 &lt;/ option&gt; &lt;option value = ""1950""&gt; 1950 &lt;/ option&gt; &lt;option value = ""1949""&gt; 1949 &lt;/ option&gt; &lt;option value = "" 1948 ""&gt; 1948 &lt;/ option&gt; &lt;option value ="" 1947 ""&gt; 1947 &lt;/ opt"&amp;"ion&gt; &lt;option value ="" 1946 ""&gt; 1946 &lt;/ option&gt; &lt;option value ="" 1945 ""&gt; 1945 &lt;/ option&gt; &lt;value option = ""1944""&gt; 1944 &lt;/ option&gt; &lt;option value = ""1943""&gt; 1943 &lt;/ option&gt; &lt;option value = ""1942""&gt; 1942 &lt;/ option&gt; &lt;option value = ""1941""&gt; 1941 &lt;/ opti"&amp;"on&gt; &lt; option value = ""1940""&gt; 1940 &lt;/ option&gt; &lt;option value = ""1939""&gt; 1939 &lt;/ option&gt; &lt;option value = ""1938""&gt; 1938 &lt;/ option&gt; &lt;option value = ""1937""&gt; 1937 &lt;/ option &gt; &lt;option value = ""1936""&gt; 1936 &lt;/ option&gt; &lt;option value = ""1935""&gt; 1935 &lt;/ optio"&amp;"n&gt; &lt;option value = ""1934""&gt; 1934 &lt;/ option&gt; &lt;option value = ""1933""&gt; 1933 &lt; / option&gt; &lt;option value = ""1932""&gt; 1932 &lt;/ option&gt; &lt;option value = ""1931""&gt; 1931 &lt;/ option&gt; &lt;option v alue = ""1930""&gt; 1930 &lt;/ option&gt; &lt;option value = ""1929""&gt; 1929 &lt;/ option"&amp;"&gt; &lt;option value = ""1928""&gt; 1928 &lt;/ option&gt; &lt;option value = ""1927""&gt; 1927 &lt;/ option&gt; &lt;option value = ""1926""&gt; 1926 &lt;/ option&gt; &lt;option value = ""1925""&gt; 1925 &lt;/ option&gt; &lt;option value = ""1924""&gt; 1924 &lt;/ option&gt; &lt;option value = ""1923""&gt; 1923 &lt;/ option&gt; &lt;"&amp;"option value = ""1922""&gt; 1922 &lt;/ option&gt; &lt;option value = ""1921""&gt; 1921 &lt;/ option&gt; &lt;option value = ""1920""&gt; 1920 &lt;/ option&gt; &lt;option value = ""1919""&gt; 1919 &lt;/ option&gt; &lt;option value = ""1918""&gt; 1918 &lt;/ option&gt; &lt;option value = ""1917""&gt; 1917 &lt;/ option&gt; &lt;opt"&amp;"ion value = ""1916""&gt; 1916 &lt;/ option&gt; &lt;option value = ""1915"" &gt; 1915 &lt;/ option&gt; &lt;option value = ""1914""&gt; 1914 &lt;/ option&gt; &lt;option value = ""1913""&gt; 1913 &lt;/ option&gt; &lt;option value = ""1912""&gt; 1912 &lt;/ option&gt; &lt;option value = "" 1911 ""&gt; 1911 &lt;/ option&gt; &lt;opt"&amp;"ion value ="" 1910 ""&gt; 1910 &lt;/ option&gt; &lt;option value ="" 1909 ""&gt; 1909 &lt;/ option&gt; &lt;option value ="" 1908 ""&gt; 1908 &lt;/ option&gt; &lt;value option = ""1907""&gt; 1907 &lt;/ option&gt; &lt;option value = ""1906""&gt; 1906 &lt;/ option&gt; &lt;option value = ""1905""&gt; 1905 &lt;/ option&gt; &lt;opt"&amp;"ion value = ""1904""&gt; 1904 &lt;/ option&gt; &lt; option value = ""1903""&gt; 1903 &lt;/ option&gt; &lt;option value = ""1902""&gt; 1902 &lt;/ option&gt; &lt;option value = ""1901""&gt; 19 01 &lt;/ option&gt; &lt;option value = ""1900""&gt; 1900 &lt;/ option&gt; &lt;/ select&gt; &lt;div tabindex = ""- 1"" class = ""ai"&amp;"ry-age-gate-submit airy-submit-button airy airy-submit- disabled ""&gt; Submit &lt;/ div&gt; &lt;/ div&gt; &lt;/ div&gt; &lt;/ div&gt; &lt;/ div&gt; &lt;/ div&gt; &lt;div tabindex ="" - 1 ""class ="" airy-install-flash-dialog airy-stage airy -vertical-centering-table-dialog airy airy-denied ""sty"&amp;"le ="" opacity: 0; visibility: hidden; ""&gt; &lt;div tabindex ="" - 1 ""class ="" airy-install-flash-Vertical-centering-table-cell airy-Vertical-centering-table-cell ""&gt; &lt;div tabindex ="" - 1 ""class = ""airy-Vertical-centering-wrapper airy-install-flash-eleme"&amp;"nts-wrapper""&gt; &lt;div tabindex = ""- 1"" class = ""airy-install-flash-elements airy-dialog-elements""&gt; &lt;div tabindex = "" -1 ""class ="" airy-install-flash-prompt ""&gt; Adobe Flash Player is required to watch this video &lt;/ div&gt; &lt;div tabindex =."" - 1 ""class "&amp;"="" airy-install-flash-button-wrapper airy -dialog-inner-elements ""&gt; &lt;div tabindex ="" - 1 ""class ="" airy-install-flash-button airy-button ""&gt; install Flash Player &lt;/ div&gt; &lt;/ div&gt; &lt;/ div&gt; &lt;/ div&gt; &lt;/ div&gt; &lt;/ div&gt; &lt;div tabindex = ""- 1"" class = ""airy-v"&amp;"ideo-unsupported-dialog airy-stage airy-Vertical-centering-table airy-dialog airy-denied"" style = ""opacity: 0; visibility: hidden; ""&gt; &lt;div tabindex ="" - 1 ""class ="" airy-video-unsupported-Vertical-centering-table-cell airy-Vertical-centering-table-c"&amp;"ell ""&gt; &lt;div tabindex ="" - 1 ""class = ""airy-Vertical-centering-wrapper airy-video-unsupported-elements-wrapper""&gt; &lt;div tabindex = ""- 1"" class = ""airy-video-unsupported-elements airy-dialog-elements""&gt; &lt;div tabindex = "" -1 ""class ="" airy-video-uns"&amp;"upported-prompt ""&gt; &lt;/ div&gt; &lt;/ div&gt; &lt;/ div&gt; &lt;/ div&gt; &lt;/ div&gt; &lt;div tabindex ="" - 1 ""class ="" airy-loading- spinner-stage airy-stage ""&gt; &lt;div tabindex ="" - 1 ""class ="" airy-loading-spinner-Vertical-centering-table-cell airy-Vertical-centering-table-cel"&amp;"l ""&gt; &lt;div tabindex ="" - 1 ""class ="" airy-loading-spinner-container airy-scalable-hint-container ""&gt; &lt;div tabindex ="" - 1 ""class ="" airy-loading-spinner-dummy airy-scalable-dummy ""&gt; &lt;/ div&gt; &lt; div tabindex = ""- 1"" class = ""airy-loading-spinner ai"&amp;"ry-hint"" style = ""visibility: hidden;""&gt; &lt;/ div&gt; &lt;/ div&gt; &lt;/ div&gt; &lt;/ div&gt; &lt;div tabindex = ""- 1 ""class ="" airy-ads-screen-size-toggle airy-screen-size-toggle-fullscreen airy ""style ="" visibility: hidden; ""&gt; &lt;/ div&gt; &lt;div tabindex = ""-1"" class = ""a"&amp;"iry-ad-prompt-container"" style = ""visibility: hidden;""&gt; &lt;div tabindex = ""- 1"" class = ""airy-ad-prompt-Vertical-centering-table-vertically airy centering-table ""&gt; &lt;div tabindex ="" - 1 ""class ="" airy-ad-prompt-Vertical-centering-table-cell airy-Ve"&amp;"rtical-centering-table-cell ""&gt; &lt;div tabindex ="" - 1 ""class = ""airy-ad-prompt-label""&gt; &lt;/ div&gt; &lt;/ div&gt; &lt;/ div&gt; &lt;/ div&gt; &lt;div tabindex = ""- 1"" class = ""airy-ads-controls-container"" style = ""visibility: hidden; ""&gt; &lt;div tabindex ="" - 1 ""class ="" a"&amp;"iry-ads-audio-toggle airy-audio-toggle airy-on ""style ="" visibility: hidden; ""&gt; &lt;/ div&gt; &lt;div tabindex ="" - 1 ""class ="" airy-time-remaining-label-container ""&gt; &lt;div tabindex ="" - 1 ""class ="" airy-time-remaining-Vertical-centering-table airy-Vertic"&amp;"al-centering-table ""&gt; &lt;div tabindex = ""- 1"" class = ""airy-time-remaining-Vertical-centering-table-cell airy-Vertical-centering-table-cell""&gt; &lt;div tabindex = ""- 1"" class = ""airy-Vertical-centering-wrapper airy-time-remaining-label-wrapper ""&gt; &lt;div t"&amp;"abindex ="" - 1 ""class ="" airy-time-remaining-label ""style ="" visibility: hidden; ""&gt; &lt;/ div&gt; &lt;div tabi ndex = ""- 1"" class = ""airy-ad-skip"" style = ""visibility: hidden;""&gt; &lt;/ div&gt; &lt;div tabindex = ""- 1"" class = ""airy-ad-end"" style = ""visibili"&amp;"ty: hidden ""&gt; &lt;/ div&gt; &lt;/ div&gt; &lt;/ div&gt; &lt;/ div&gt; &lt;/ div&gt; &lt;div tabindex ="" - 1 ""class ="" airy-learn-more ""style ="" visibility: hidden; ""&gt; &lt;/ div&gt; &lt;/ div&gt; &lt;div tabindex = ""- 1"" class = ""airy-play-toggle-hint-stage airy-stage airy-cursor""&gt; &lt;div tabin"&amp;"dex = ""- 1"" class = ""airy-play -toggle-hint-Vertical-centering-table-cell airy-Vertical-centering-table-cell airy-cursor ""&gt; &lt;div tabindex ="" - 1 ""class ="" airy-play-toggle-hint-container airy-scalable- Hint-container ""&gt; &lt;div tabindex ="" - 1 ""cla"&amp;"ss ="" airy-play-toggle-hint-dummy airy-scalable-dummy ""&gt; &lt;/ div&gt; &lt;div tabindex ="" - 1 ""class ="" airy-play -toggle-hint hint airy-airy-play-hint ""style ="" opacity: 1; visibility: visible; ""&gt; &lt;/ div&gt; &lt;/ div&gt; &lt;/ div&gt; &lt;/ div&gt; &lt;div tabindex ="" - 1 ""c"&amp;"lass ="" airy-replay-hint-stage airy-stage ""style ="" visibility: hidden ; ""&gt; &lt;div tabindex ="" - 1 ""class ="" airy-replay-hint-Vertical-centering-table-cell airy-Vertical-centering-table-cell airy-cursor ""&gt; &lt;div tabindex ="" - 1 ""class = ""airy-repl"&amp;"ay-hint-container airy-scalable-hint-container""&gt; &lt;div tabindex = ""- 1"" class = ""airy-replay-hint-dummy airy-scalable-dummy""&gt; &lt;/ div&gt; &lt;div tabindex = ""- 1"" class = ""airy-replay-hint airy-hint""&gt; &lt;/ div&gt; &lt;/ div&gt; &lt;/ div&gt; &lt;/ div&gt; &lt;div tabindex = ""- 1"&amp;""" class = ""airy-autoplay-hint -stage airy-stage ""style ="" visibility: hidden; ""&gt; &lt;div tabindex ="" - 1 ""class ="" airy-autoplay-hint-Vertical-centering-table-cell airy-Vertical-centering-table-cell airy- cursor ""&gt; &lt;div tabindex ="" - 1 ""class ="" "&amp;"autoplay airy-airy-hint-container-scalable-hint-container ""&gt; &lt;div tabindex ="" - 1 ""class ="" airy-autoplay-hint-dummy airy- scalable-dummy ""&gt; &lt;/ div&gt; &lt;/ div&gt; &lt;/ div&gt; &lt;/ div&gt; &lt;/ div&gt; &lt;/ div&gt; &lt;input type ="" hidden ""name ="" ""value ="" https: // image"&amp;"s-eu .ssl-images-amazon.com / images / I / 91Sj9nL6R-S.mp4 ""Class ="" video-url ""&gt; &lt;input type ="" hidden ""name ="" ""value ="" https://images-eu.ssl-images-amazon.com/images/I/71S5TqcSxbS.png ""class ="" video-slate-img-url ""&gt; &amp; nbsp; the truth is th"&amp;"at surprised me for good, good product super quiet and easy to use, the remote control is a punch and you can operate it from the same couch giving a nice scent to stay with one click. The touch of color change (you can also leave fixed one) is something "&amp;"I like for my room gamer led by highly recommended the truth")</f>
        <v>The perfect complement to my room &lt;div id = "video-block-RSAHVMHNOC8HD" class = "a-section a-spacing-small a-spacing-top mini video-block"&gt; &lt;div tabindex = "0" class = " airy airy-svg vmin-unsupported airy-skin-beacon "style =" background-color: rgb (0, 0, 0) position: relative; width: 100%; height: 100%; font-size: 0px; overflow : hidden; outline: none; "&gt; &lt;div class =" airy-renderer-container "style =" position: relative; height: 100%; width: 100%; "&gt; &lt;video id =" 59 "preload =" auto "src =" https://images-eu.ssl-images-amazon.com/images/I/91Sj9nL6R-S.mp4 "style =" position: absolute; left: 0px; top: 0px; overflow: hidden; height : 1px; width: 1px; "&gt; &lt;/ video&gt; &lt;/ div&gt; &lt;div id =" airy-slate-preload "style =" background-color: rgb (0, 0, 0); background-image: url ( &amp; quot; https: //images-eu.ssl-images-amazon.com/images/I/71S5TqcSxbS.png&amp;quot;); background-size: Contain; background-position: center center; background-repeat: no-repeat; position : absolute; top: 0px; left: 0px; visibility: visible; width: 100%; height: 10 0%; "&gt; &lt;/ div&gt; &lt;iframe scrolling =" no "frameborder =" 0 "src =" about: blank "style =" display: none; "&gt; &lt;/ iframe&gt; &lt;div tabindex =" - 1 "class = "airy-controls-container" style = "opacity: 0; visibility: hidden; "&gt; &lt;div tabindex =" - 1 "class =" airy-screen-size-toggle airy-fullscreen "&gt; &lt;/ div&gt; &lt;div tabindex =" - 1 "class =" airy-container-bottom " &gt; &lt;div tabindex = "- 1" class = "airy-track-bar-spacer-left" style = "width: 11px;"&gt; &lt;/ div&gt; &lt;div tabindex = "- 1" class = "airy-play- airy toggle-play "style =" width: 12px; margin-right: 12px; "&gt; &lt;/ div&gt; &lt;div tabindex =" - 1 "class =" airy-audio-elements "style =" float: right; width: 34px; "&gt; &lt;div tabindex =" - 1 "class =" airy-audio-toggle airy-on "&gt; &lt;/ div&gt; &lt;div tabindex =" - 1 "class =" airy-audio-container "style = "opacity: 0; visibility: hidden; "&gt; &lt;div tabindex =" - 1 "class =" airy-audio-track-bar "style =" height: 80%; "&gt; &lt;div tabindex =" - 1 "class =" airy-audio- Scrubber-bar "style =" height: 85%; "&gt; &lt;/ div&gt; &lt;div tabindex =" - 1 "class =" airy-audio-scrubber "style =" height: 12px; bottom 85% "&gt; &lt;/ div&gt; &lt;/ div&gt; &lt;/ div&gt; &lt;/ div&gt; &lt;div tabindex =" - 1 "class =" airy-duration-label "style =" float: right; width: 26px; margin-right: 4px; text-align: center; "&gt; 0:00 &lt;/ div&gt; &lt;div tabindex =" - 1 "class =" airy-track-bar-spacer-right "style =" float: right; width: 11px; "&gt; &lt;/ div&gt; &lt;div tabindex =" - 1 "class =" airy-track-bar-container "style =" margin-left: 35px; margin-right: 75px; "&gt; &lt;div tabindex =" - 1 "class =" airy-airy-track-bar vertically-centering-table "&gt; &lt;div tabindex =" - 1 "class =" airy-Vertical-centering- table-cell "&gt; &lt;div tabindex =" - 1 "class =" airy-track-bar-elements "&gt; &lt;div tabindex =" - 1 "class =" airy-progress-bar "&gt; &lt;/ div&gt; &lt;div tabindex = "- 1" class = "airy-scrubber-bar"&gt; &lt;/ div&gt; &lt;div tabindex = "- 1" class = "airy-scrubber"&gt; &lt;div tabindex = "- 1" class = "airy-scrubber- icon "&gt; &lt;/ div&gt; &lt;div tabindex =" - 1 "class =" airy-adjusted-AUI-tooltip "style =" opacity: 0; visibility: hidden; "&gt; &lt;div tabindex =" - 1 "class =" airy-adjusted-aui-tooltip-inner "&gt; &lt;div tabindex =" - 1 "class =" airy-current-time-label "&gt; 0: 00 &lt;/ div&gt; &lt;/ div&gt; &lt;div tabindex = "- 1" class = "airy-adjusted-AUI-arrow-border"&gt; &lt;div tabindex = "- 1" class = "airy-adjusted-AUI-arrow" &gt; &lt;/ div&gt; &lt;/ div&gt; &lt;/ div&gt; &lt;/ div&gt; &lt;/ div&gt; &lt;/ div&gt; &lt;/ div&gt; &lt;/ div&gt; &lt;/ div&gt; &lt;/ div&gt; &lt;div tabindex = "- 1" class = "airy-age-gate airy-stage airy-Vertical-centering-table airy-dialog" style = "opacity: 0; visibility: hidden; "&gt; &lt;div tabindex =" - 1 "class =" airy-age-gate-Vertical-centering-table-cell airy-Vertical-centering-table-cell "&gt; &lt;div tabindex =" - 1 "class = "airy-Vertical-centering-wrapper airy-age-gate-elements-wrapper"&gt; &lt;div tabindex = "- 1" class = "airy-age-gate-elements airy-dialog-elements"&gt; &lt;div tabindex = " -1 "class =" airy-age-gate-prompt "&gt; This video is not Intended for all audiences What date were you born &lt;/ div&gt; &lt;div tabindex =.?" - 1 "class =" airy-age-gate -inputs airy-dialog-inner-elements "&gt; &lt;select tabindex =" - 1 "class =" airy-age-gate-month "&gt; &lt;option value =" 1 "&gt; January &lt;/ option&gt; &lt;option value =" 2 "&gt; February &lt;/ option&gt; &lt;option value =" 3 "&gt; March &lt;/ option&gt; &lt;option value =" 4 "&gt; April &lt;/ option&gt; &lt;option value =" 5 "&gt; May &lt;/ option&gt; &lt;option value = "6"&gt; June &lt;/ option&gt; &lt;option value = "7"&gt; July &lt;/ option&gt; &lt;option value = "8"&gt; August &lt;/ option&gt; &lt;option value = "9"&gt; September &lt;/ option&gt; &lt;option value = "10"&gt; October &lt;/ option&gt; &lt;option value = "11"&gt; November &lt;/ option&gt; &lt;option value = "12"&gt; December &lt;/ option&gt; &lt;/ select&gt; &lt;select tabindex = "- 1" class = "airy-age-gate-day"&gt; &lt;opti on value = "1"&gt; 1 &lt;/ option&gt; &lt;option value = "2"&gt; 2 &lt;/ option&gt; &lt;option value = "3"&gt; 3 &lt;/ option&gt; &lt;option value = "4"&gt; 4 &lt;/ option &gt; &lt;option value = "5"&gt; 5 &lt;/ option&gt; &lt;option value = "6"&gt; 6 &lt;/ option&gt; &lt;option value = "7"&gt; 7 &lt;/ option&gt; &lt;option value = "8"&gt; 8 &lt; / option&gt; &lt;option value = "9"&gt; 9 &lt;/ option&gt; &lt;option value = "10"&gt; 10 &lt;/ option&gt; &lt;option value = "11"&gt; 11 &lt;/ option&gt; &lt;option value = "12"&gt; 12 &lt;/ option&gt; &lt;option value = "13"&gt; 13 &lt;/ option&gt; &lt;option value = "14"&gt; 14 &lt;/ option&gt; &lt;option value = "15"&gt; 15 &lt;/ option&gt; &lt;option value = "16 "&gt; 16 &lt;/ option&gt; &lt;option value =" 17 "&gt; 17 &lt;/ option&gt; &lt;option value =" 18 "&gt; 18 &lt;/ option&gt; &lt;option value =" 19 "&gt; 19 &lt;/ option&gt; &lt;option value = "20"&gt; 20 &lt;/ option&gt; &lt;option value = "21"&gt; 21 &lt;/ option&gt; &lt;option value = "22"&gt; 22 &lt;/ option&gt; &lt;option value = "23"&gt; 23 &lt;/ option&gt; &lt;option value = "24"&gt; 24 &lt;/ option&gt; &lt;option value = "25"&gt; 25 &lt;/ option&gt; &lt;option value = "26"&gt; 26 &lt;/ option&gt; &lt;option value = "27"&gt; 27 &lt;/ option&gt; &lt;option value = "28"&gt; 28 &lt;/ option&gt; &lt;option value = "29"&gt; 29 &lt;/ option&gt; &lt;option value = "30"&gt; 30 &lt;/ option&gt; &lt;option value = "31"&gt; 31 &lt;/ option&gt; &lt;/ select&gt; &lt;select tabindex = "- 1" class = "airy-age-gate-year"&gt; &lt;option value = "2019"&gt; 2019 &lt;/ option&gt; &lt; option value = "2018"&gt; 2018 &lt;/ option&gt; &lt;option value = "2017"&gt; 2017 &lt;/ option&gt; &lt;option value = "2016"&gt; ​​2016 &lt;/ option&gt; &lt;option value = "2015"&gt; 2015 &lt;/ option &gt; &lt;option value = "2014"&gt; 2014 &lt;/ option&gt; &lt;option value = "2013"&gt; 2013 &lt;/ option&gt; &lt;option value = "2012"&gt; 2012 &lt;/ option&gt; &lt;option value = "2011"&gt; 2011 &lt; / option&gt; &lt;option value = "2010"&gt; 2010 &lt;/ option&gt; &lt;option value = "2009"&gt; 2009 &lt;/ option&gt; &lt;option value = "2008"&gt; 2008 &lt;/ option&gt; &lt;option value = "2007"&gt; 2007 &lt;/ option&gt; &lt;option value = "2006"&gt; 2006 &lt;/ option&gt; &lt;option value = "2005"&gt; 2005 &lt;/ option&gt; &lt;option value = "2004"&gt; 2004 &lt;/ option&gt; &lt;option value = "2003 "&gt; 2003 &lt;/ option&gt; &lt;option value =" 2002 "&gt; 2002 &lt;/ option&gt; &lt;option value =" 2001 "&gt; 2001 &lt;/ option&gt; &lt;option value =" 2000 "&gt; 2000 &lt;/ option&gt; &lt;option value = "1999"&gt; 1999 &lt;/ option&gt; &lt;option value = "1998"&gt; 1998 &lt;/ option&gt; &lt;option value = "1997"&gt; 1997 &lt;/ option&gt; &lt;option value = "1996"&gt; 1996 &lt;/ option&gt; &lt;option value = "1995"&gt; 1995 &lt;/ option&gt; &lt;option value = "1994"&gt; 1994 &lt;/ option&gt; &lt;option value = "1993"&gt; 1993 &lt;/ option&gt; &lt;option value = "1992"&gt; 1992 &lt;/ option&gt; &lt;option value = "1991"&gt; 1991 &lt;/ option&gt; &lt;option value = "1990"&gt; 1990 &lt;/ option&gt; &lt;option value = " 1989 "&gt; 1989 &lt;/ option&gt; &lt;option value =" 1988 "&gt; 1988 &lt;/ option&gt; &lt;option value =" 1987 "&gt; 1987 &lt;/ option&gt; &lt;option value =" 1986 "&gt; 1986 &lt;/ option&gt; &lt;value option = "1985"&gt; 1985 &lt;/ option&gt; &lt;option value = "1984"&gt; 1984 &lt;/ option&gt; &lt;option value = "1983"&gt; 1983 &lt;/ option&gt; &lt;option value = "1982"&gt; 1982 &lt;/ option&gt; &lt; option value = "1981"&gt; 1981 &lt;/ option&gt; &lt;option value = "1980"&gt; 1980 &lt;/ option&gt; &lt;option value = "1979"&gt; 1979 &lt;/ option&gt; &lt;option value = "1978"&gt; 1978 &lt;/ option &gt; &lt;option value = "1977"&gt; 1977 &lt;/ option&gt; &lt;option value = "1976"&gt; 1976 &lt;/ option&gt; &lt;option value = "1975"&gt; 1975 &lt;/ option&gt; &lt;option value = "1974"&gt; 1974 &lt; / option&gt; &lt;option value = "1973"&gt; 1973 &lt;/ option&gt; &lt;option value = "1972"&gt; 1972 &lt;/ option&gt; &lt;option value = "1971"&gt; 1971 &lt;/ option&gt; &lt;option value = "1970"&gt; 1970 &lt;/ option&gt; &lt;option value = "1969"&gt; 1969 &lt;/ option&gt; &lt;option value = "1968"&gt; 1968 &lt;/ option&gt; &lt;option value = "1967"&gt; 1967 &lt;/ option&gt; &lt;option value = "1966 "&gt; 1966 &lt;/ option&gt; &lt;option value =" 1965 "&gt; 1965 &lt;/ option&gt; &lt;option value =" 1964 "&gt; 1964 &lt;/ option&gt; &lt;option value =" 1963 "&gt; 1963 &lt;/ option&gt; &lt;option value = "1962"&gt; 1962 &lt;/ option&gt; &lt;option value = "1961"&gt; 1961 &lt;/ option&gt; &lt;option value = "1960"&gt; 1960 &lt;/ op tion&gt; &lt;option value = "1959"&gt; 1959 &lt;/ option&gt; &lt;option value = "1958"&gt; 1958 &lt;/ option&gt; &lt;option value = "1957"&gt; 1957 &lt;/ option&gt; &lt;option value = "1956"&gt; 1956 &lt;/ option&gt; &lt;option value = "1955"&gt; 1955 &lt;/ option&gt; &lt;option value = "1954"&gt; 1954 &lt;/ option&gt; &lt;option value = "1953"&gt; 1953 &lt;/ option&gt; &lt;option value = "1952" &gt; 1952 &lt;/ option&gt; &lt;option value = "1951"&gt; 1951 &lt;/ option&gt; &lt;option value = "1950"&gt; 1950 &lt;/ option&gt; &lt;option value = "1949"&gt; 1949 &lt;/ option&gt; &lt;option value = " 1948 "&gt; 1948 &lt;/ option&gt; &lt;option value =" 1947 "&gt; 1947 &lt;/ option&gt; &lt;option value =" 1946 "&gt; 1946 &lt;/ option&gt; &lt;option value =" 1945 "&gt; 1945 &lt;/ option&gt; &lt;value option = "1944"&gt; 1944 &lt;/ option&gt; &lt;option value = "1943"&gt; 1943 &lt;/ option&gt; &lt;option value = "1942"&gt; 1942 &lt;/ option&gt; &lt;option value = "1941"&gt; 1941 &lt;/ option&gt; &lt; option value = "1940"&gt; 1940 &lt;/ option&gt; &lt;option value = "1939"&gt; 1939 &lt;/ option&gt; &lt;option value = "1938"&gt; 1938 &lt;/ option&gt; &lt;option value = "1937"&gt; 1937 &lt;/ option &gt; &lt;option value = "1936"&gt; 1936 &lt;/ option&gt; &lt;option value = "1935"&gt; 1935 &lt;/ option&gt; &lt;option value = "1934"&gt; 1934 &lt;/ option&gt; &lt;option value = "1933"&gt; 1933 &lt; / option&gt; &lt;option value = "1932"&gt; 1932 &lt;/ option&gt; &lt;option value = "1931"&gt; 1931 &lt;/ option&gt; &lt;option v alue = "1930"&gt; 1930 &lt;/ option&gt; &lt;option value = "1929"&gt; 1929 &lt;/ option&gt; &lt;option value = "1928"&gt; 1928 &lt;/ option&gt; &lt;option value = "1927"&gt; 1927 &lt;/ option&gt; &lt;option value = "1926"&gt; 1926 &lt;/ option&gt; &lt;option value = "1925"&gt; 1925 &lt;/ option&gt; &lt;option value = "1924"&gt; 1924 &lt;/ option&gt; &lt;option value = "1923"&gt; 1923 &lt;/ option&gt; &lt;option value = "1922"&gt; 1922 &lt;/ option&gt; &lt;option value = "1921"&gt; 1921 &lt;/ option&gt; &lt;option value = "1920"&gt; 1920 &lt;/ option&gt; &lt;option value = "1919"&gt; 1919 &lt;/ option&gt; &lt;option value = "1918"&gt; 1918 &lt;/ option&gt; &lt;option value = "1917"&gt; 1917 &lt;/ option&gt; &lt;option value = "1916"&gt; 1916 &lt;/ option&gt; &lt;option value = "1915" &gt; 1915 &lt;/ option&gt; &lt;option value = "1914"&gt; 1914 &lt;/ option&gt; &lt;option value = "1913"&gt; 1913 &lt;/ option&gt; &lt;option value = "1912"&gt; 1912 &lt;/ option&gt; &lt;option value = " 1911 "&gt; 1911 &lt;/ option&gt; &lt;option value =" 1910 "&gt; 1910 &lt;/ option&gt; &lt;option value =" 1909 "&gt; 1909 &lt;/ option&gt; &lt;option value =" 1908 "&gt; 1908 &lt;/ option&gt; &lt;value option = "1907"&gt; 1907 &lt;/ option&gt; &lt;option value = "1906"&gt; 1906 &lt;/ option&gt; &lt;option value = "1905"&gt; 1905 &lt;/ option&gt; &lt;option value = "1904"&gt; 1904 &lt;/ option&gt; &lt; option value = "1903"&gt; 1903 &lt;/ option&gt; &lt;option value = "1902"&gt; 1902 &lt;/ option&gt; &lt;option value = "1901"&gt; 19 01 &lt;/ option&gt; &lt;option value = "1900"&gt; 1900 &lt;/ option&gt; &lt;/ select&gt; &lt;div tabindex = "- 1" class = "airy-age-gate-submit airy-submit-button airy airy-submit- disabled "&gt; Submit &lt;/ div&gt; &lt;/ div&gt; &lt;/ div&gt; &lt;/ div&gt; &lt;/ div&gt; &lt;/ div&gt; &lt;div tabindex =" - 1 "class =" airy-install-flash-dialog airy-stage airy -vertical-centering-table-dialog airy airy-denied "style =" opacity: 0; visibility: hidden; "&gt; &lt;div tabindex =" - 1 "class =" airy-install-flash-Vertical-centering-table-cell airy-Vertical-centering-table-cell "&gt; &lt;div tabindex =" - 1 "class = "airy-Vertical-centering-wrapper airy-install-flash-elements-wrapper"&gt; &lt;div tabindex = "- 1" class = "airy-install-flash-elements airy-dialog-elements"&gt; &lt;div tabindex = " -1 "class =" airy-install-flash-prompt "&gt; Adobe Flash Player is required to watch this video &lt;/ div&gt; &lt;div tabindex =." - 1 "class =" airy-install-flash-button-wrapper airy -dialog-inner-elements "&gt; &lt;div tabindex =" - 1 "class =" airy-install-flash-button airy-button "&gt; install Flash Player &lt;/ div&gt; &lt;/ div&gt; &lt;/ div&gt; &lt;/ div&gt; &lt;/ div&gt; &lt;/ div&gt; &lt;div tabindex = "- 1" class = "airy-video-unsupported-dialog airy-stage airy-Vertical-centering-table airy-dialog airy-denied" style = "opacity: 0; visibility: hidden; "&gt; &lt;div tabindex =" - 1 "class =" airy-video-unsupported-Vertical-centering-table-cell airy-Vertical-centering-table-cell "&gt; &lt;div tabindex =" - 1 "class = "airy-Vertical-centering-wrapper airy-video-unsupported-elements-wrapper"&gt; &lt;div tabindex = "- 1" class = "airy-video-unsupported-elements airy-dialog-elements"&gt; &lt;div tabindex = " -1 "class =" airy-video-unsupported-prompt "&gt; &lt;/ div&gt; &lt;/ div&gt; &lt;/ div&gt; &lt;/ div&gt; &lt;/ div&gt; &lt;div tabindex =" - 1 "class =" airy-loading- spinner-stage airy-stage "&gt; &lt;div tabindex =" - 1 "class =" airy-loading-spinner-Vertical-centering-table-cell airy-Vertical-centering-table-cell "&gt; &lt;div tabindex =" - 1 "class =" airy-loading-spinner-container airy-scalable-hint-container "&gt; &lt;div tabindex =" - 1 "class =" airy-loading-spinner-dummy airy-scalable-dummy "&gt; &lt;/ div&gt; &lt; div tabindex = "- 1" class = "airy-loading-spinner airy-hint" style = "visibility: hidden;"&gt; &lt;/ div&gt; &lt;/ div&gt; &lt;/ div&gt; &lt;/ div&gt; &lt;div tabindex = "- 1 "class =" airy-ads-screen-size-toggle airy-screen-size-toggle-fullscreen airy "style =" visibility: hidden; "&gt; &lt;/ div&gt; &lt;div tabindex = "-1" class = "airy-ad-prompt-container" style = "visibility: hidden;"&gt; &lt;div tabindex = "- 1" class = "airy-ad-prompt-Vertical-centering-table-vertically airy centering-table "&gt; &lt;div tabindex =" - 1 "class =" airy-ad-prompt-Vertical-centering-table-cell airy-Vertical-centering-table-cell "&gt; &lt;div tabindex =" - 1 "class = "airy-ad-prompt-label"&gt; &lt;/ div&gt; &lt;/ div&gt; &lt;/ div&gt; &lt;/ div&gt; &lt;div tabindex = "- 1" class = "airy-ads-controls-container" style = "visibility: hidden; "&gt; &lt;div tabindex =" - 1 "class =" airy-ads-audio-toggle airy-audio-toggle airy-on "style =" visibility: hidden; "&gt; &lt;/ div&gt; &lt;div tabindex =" - 1 "class =" airy-time-remaining-label-container "&gt; &lt;div tabindex =" - 1 "class =" airy-time-remaining-Vertical-centering-table airy-Vertical-centering-table "&gt; &lt;div tabindex = "- 1" class = "airy-time-remaining-Vertical-centering-table-cell airy-Vertical-centering-table-cell"&gt; &lt;div tabindex = "- 1" class = "airy-Vertical-centering-wrapper airy-time-remaining-label-wrapper "&gt; &lt;div tabindex =" - 1 "class =" airy-time-remaining-label "style =" visibility: hidden; "&gt; &lt;/ div&gt; &lt;div tabi ndex = "- 1" class = "airy-ad-skip" style = "visibility: hidden;"&gt; &lt;/ div&gt; &lt;div tabindex = "- 1" class = "airy-ad-end" style = "visibility: hidden "&gt; &lt;/ div&gt; &lt;/ div&gt; &lt;/ div&gt; &lt;/ div&gt; &lt;/ div&gt; &lt;div tabindex =" - 1 "class =" airy-learn-more "style =" visibility: hidden; "&gt; &lt;/ div&gt; &lt;/ div&gt; &lt;div tabindex = "- 1" class = "airy-play-toggle-hint-stage airy-stage airy-cursor"&gt; &lt;div tabindex = "- 1" class = "airy-play -toggle-hint-Vertical-centering-table-cell airy-Vertical-centering-table-cell airy-cursor "&gt; &lt;div tabindex =" - 1 "class =" airy-play-toggle-hint-container airy-scalable- Hint-container "&gt; &lt;div tabindex =" - 1 "class =" airy-play-toggle-hint-dummy airy-scalable-dummy "&gt; &lt;/ div&gt; &lt;div tabindex =" - 1 "class =" airy-play -toggle-hint hint airy-airy-play-hint "style =" opacity: 1; visibility: visible; "&gt; &lt;/ div&gt; &lt;/ div&gt; &lt;/ div&gt; &lt;/ div&gt; &lt;div tabindex =" - 1 "class =" airy-replay-hint-stage airy-stage "style =" visibility: hidden ; "&gt; &lt;div tabindex =" - 1 "class =" airy-replay-hint-Vertical-centering-table-cell airy-Vertical-centering-table-cell airy-cursor "&gt; &lt;div tabindex =" - 1 "class = "airy-replay-hint-container airy-scalable-hint-container"&gt; &lt;div tabindex = "- 1" class = "airy-replay-hint-dummy airy-scalable-dummy"&gt; &lt;/ div&gt; &lt;div tabindex = "- 1" class = "airy-replay-hint airy-hint"&gt; &lt;/ div&gt; &lt;/ div&gt; &lt;/ div&gt; &lt;/ div&gt; &lt;div tabindex = "- 1" class = "airy-autoplay-hint -stage airy-stage "style =" visibility: hidden; "&gt; &lt;div tabindex =" - 1 "class =" airy-autoplay-hint-Vertical-centering-table-cell airy-Vertical-centering-table-cell airy- cursor "&gt; &lt;div tabindex =" - 1 "class =" autoplay airy-airy-hint-container-scalable-hint-container "&gt; &lt;div tabindex =" - 1 "class =" airy-autoplay-hint-dummy airy- scalable-dummy "&gt; &lt;/ div&gt; &lt;/ div&gt; &lt;/ div&gt; &lt;/ div&gt; &lt;/ div&gt; &lt;/ div&gt; &lt;input type =" hidden "name =" "value =" https: // images-eu .ssl-images-amazon.com / images / I / 91Sj9nL6R-S.mp4 "Class =" video-url "&gt; &lt;input type =" hidden "name =" "value =" https://images-eu.ssl-images-amazon.com/images/I/71S5TqcSxbS.png "class =" video-slate-img-url "&gt; &amp; nbsp; the truth is that surprised me for good, good product super quiet and easy to use, the remote control is a punch and you can operate it from the same couch giving a nice scent to stay with one click. The touch of color change (you can also leave fixed one) is something I like for my room gamer led by highly recommended the truth</v>
      </c>
    </row>
    <row r="3308">
      <c r="A3308" s="1">
        <v>5.0</v>
      </c>
      <c r="B3308" s="1" t="s">
        <v>3292</v>
      </c>
      <c r="C3308" t="str">
        <f>IFERROR(__xludf.DUMMYFUNCTION("GOOGLETRANSLATE(B3308, ""es"", ""en"")"),"I have come in good condition. They are very nice, but for my taste, small ..")</f>
        <v>I have come in good condition. They are very nice, but for my taste, small ..</v>
      </c>
    </row>
    <row r="3309">
      <c r="A3309" s="1">
        <v>5.0</v>
      </c>
      <c r="B3309" s="1" t="s">
        <v>3293</v>
      </c>
      <c r="C3309" t="str">
        <f>IFERROR(__xludf.DUMMYFUNCTION("GOOGLETRANSLATE(B3309, ""es"", ""en"")"),"Comfort nice, comfortable and light")</f>
        <v>Comfort nice, comfortable and light</v>
      </c>
    </row>
    <row r="3310">
      <c r="A3310" s="1">
        <v>5.0</v>
      </c>
      <c r="B3310" s="1" t="s">
        <v>3294</v>
      </c>
      <c r="C3310" t="str">
        <f>IFERROR(__xludf.DUMMYFUNCTION("GOOGLETRANSLATE(B3310, ""es"", ""en"")"),"I chock the perfect fit one 43, that asked for and left me as a robust guante.Zapato también.Me came almost a week earlier than they had been told.")</f>
        <v>I chock the perfect fit one 43, that asked for and left me as a robust guante.Zapato también.Me came almost a week earlier than they had been told.</v>
      </c>
    </row>
    <row r="3311">
      <c r="A3311" s="1">
        <v>5.0</v>
      </c>
      <c r="B3311" s="1" t="s">
        <v>3295</v>
      </c>
      <c r="C3311" t="str">
        <f>IFERROR(__xludf.DUMMYFUNCTION("GOOGLETRANSLATE(B3311, ""es"", ""en"")"),"Perfect!! Is beautiful. I love. As it looks in the photos!!!! I love!!! Very happy with the purchase. Thank you!!!!")</f>
        <v>Perfect!! Is beautiful. I love. As it looks in the photos!!!! I love!!! Very happy with the purchase. Thank you!!!!</v>
      </c>
    </row>
    <row r="3312">
      <c r="A3312" s="1">
        <v>5.0</v>
      </c>
      <c r="B3312" s="1" t="s">
        <v>3296</v>
      </c>
      <c r="C3312" t="str">
        <f>IFERROR(__xludf.DUMMYFUNCTION("GOOGLETRANSLATE(B3312, ""es"", ""en"")"),"Good sound Tested on Ibanez srx350 gives an acceptable quality of bass,")</f>
        <v>Good sound Tested on Ibanez srx350 gives an acceptable quality of bass,</v>
      </c>
    </row>
    <row r="3313">
      <c r="A3313" s="1">
        <v>5.0</v>
      </c>
      <c r="B3313" s="1" t="s">
        <v>3297</v>
      </c>
      <c r="C3313" t="str">
        <f>IFERROR(__xludf.DUMMYFUNCTION("GOOGLETRANSLATE(B3313, ""es"", ""en"")"),"Convenient and comfortable bonitod")</f>
        <v>Convenient and comfortable bonitod</v>
      </c>
    </row>
    <row r="3314">
      <c r="A3314" s="1">
        <v>2.0</v>
      </c>
      <c r="B3314" s="1" t="s">
        <v>3298</v>
      </c>
      <c r="C3314" t="str">
        <f>IFERROR(__xludf.DUMMYFUNCTION("GOOGLETRANSLATE(B3314, ""es"", ""en"")"),"Pretty elegant but smaller than esperado.para gift")</f>
        <v>Pretty elegant but smaller than esperado.para gift</v>
      </c>
    </row>
    <row r="3315">
      <c r="A3315" s="1">
        <v>3.0</v>
      </c>
      <c r="B3315" s="1" t="s">
        <v>3299</v>
      </c>
      <c r="C3315" t="str">
        <f>IFERROR(__xludf.DUMMYFUNCTION("GOOGLETRANSLATE(B3315, ""es"", ""en"")"),"Incomplete I could not use because I did not enter the cell. I could not fully appreciate the description of the product")</f>
        <v>Incomplete I could not use because I did not enter the cell. I could not fully appreciate the description of the product</v>
      </c>
    </row>
    <row r="3316">
      <c r="A3316" s="1">
        <v>3.0</v>
      </c>
      <c r="B3316" s="1" t="s">
        <v>3300</v>
      </c>
      <c r="C3316" t="str">
        <f>IFERROR(__xludf.DUMMYFUNCTION("GOOGLETRANSLATE(B3316, ""es"", ""en"")"),"not clean not only clean the leather polishes")</f>
        <v>not clean not only clean the leather polishes</v>
      </c>
    </row>
    <row r="3317">
      <c r="A3317" s="1">
        <v>1.0</v>
      </c>
      <c r="B3317" s="1" t="s">
        <v>3301</v>
      </c>
      <c r="C3317" t="str">
        <f>IFERROR(__xludf.DUMMYFUNCTION("GOOGLETRANSLATE(B3317, ""es"", ""en"")"),"If it not was this not buy if you buy shoulder was")</f>
        <v>If it not was this not buy if you buy shoulder was</v>
      </c>
    </row>
    <row r="3318">
      <c r="A3318" s="1">
        <v>1.0</v>
      </c>
      <c r="B3318" s="1" t="s">
        <v>3302</v>
      </c>
      <c r="C3318" t="str">
        <f>IFERROR(__xludf.DUMMYFUNCTION("GOOGLETRANSLATE(B3318, ""es"", ""en"")"),"I would not just convinced Although it increased the speed of my laptop I did not just convince, sometimes does strange things and hangs about 40 seconds until it restarts.")</f>
        <v>I would not just convinced Although it increased the speed of my laptop I did not just convince, sometimes does strange things and hangs about 40 seconds until it restarts.</v>
      </c>
    </row>
    <row r="3319">
      <c r="A3319" s="1">
        <v>4.0</v>
      </c>
      <c r="B3319" s="1" t="s">
        <v>3303</v>
      </c>
      <c r="C3319" t="str">
        <f>IFERROR(__xludf.DUMMYFUNCTION("GOOGLETRANSLATE(B3319, ""es"", ""en"")"),"Heat perfect soft comfortable winter evenings")</f>
        <v>Heat perfect soft comfortable winter evenings</v>
      </c>
    </row>
    <row r="3320">
      <c r="A3320" s="1">
        <v>4.0</v>
      </c>
      <c r="B3320" s="1" t="s">
        <v>3304</v>
      </c>
      <c r="C3320" t="str">
        <f>IFERROR(__xludf.DUMMYFUNCTION("GOOGLETRANSLATE(B3320, ""es"", ""en"")"),"Very practical. very handy for when you go Sport bag has a small size but with much capacity, has 4 outside pockets and one inside allows ordenado.Estoy carry all very pleased with my purchase.")</f>
        <v>Very practical. very handy for when you go Sport bag has a small size but with much capacity, has 4 outside pockets and one inside allows ordenado.Estoy carry all very pleased with my purchase.</v>
      </c>
    </row>
    <row r="3321">
      <c r="A3321" s="1">
        <v>4.0</v>
      </c>
      <c r="B3321" s="1" t="s">
        <v>3305</v>
      </c>
      <c r="C3321" t="str">
        <f>IFERROR(__xludf.DUMMYFUNCTION("GOOGLETRANSLATE(B3321, ""es"", ""en"")"),"Javier GC Right, right and right. Ok ok ok ok ok ok ok ok ok ok ok ok ok ok ok .... ok perfect")</f>
        <v>Javier GC Right, right and right. Ok ok ok ok ok ok ok ok ok ok ok ok ok ok ok .... ok perfect</v>
      </c>
    </row>
    <row r="3322">
      <c r="A3322" s="1">
        <v>4.0</v>
      </c>
      <c r="B3322" s="1" t="s">
        <v>3306</v>
      </c>
      <c r="C3322" t="str">
        <f>IFERROR(__xludf.DUMMYFUNCTION("GOOGLETRANSLATE(B3322, ""es"", ""en"")"),"Good humidor &lt;div id = ""video-block-R32FUZ1S4QRJEE"" class = ""a-section a-spacing-small a-spacing-top mini video-block""&gt; &lt;div tabindex = ""0"" class = ""airy airy-svg vmin-supported airy-skin-beacon ""style ="" background-color: rgb (0, 0, 0) position:"&amp;" relative; width: 100%; height: 100%; font-size: 0px; overflow: hidden; outline : none; ""&gt; &lt;div class ="" airy-renderer-container ""style ="" position: relative; height: 100%; width: 100%; ""&gt; &lt;video id ="" 23 ""preload ="" auto ""src ="" https://images-"&amp;"eu.ssl-images-amazon.com/images/I/B1FM8pPI+QS.mp4 ""style ="" position: absolute; left: 0px; top: 0px; overflow: hidden; height: 1px; width : 1px; ""&gt; &lt;/ video&gt; &lt;/ div&gt; &lt;div id ="" airy-slate-preload ""style ="" background-color: rgb (0, 0, 0); background"&amp;"-image: url (&amp; quot; https: //images-eu.ssl-images-amazon.com/images/I/81hRDIT+MpS.png&amp;quot;); background-size: Contain; background-position: center center; background-repeat: no-repeat; position: absolute ; top: 0px; left: 0px; visibility: visible; width"&amp;": 100%; height: 100%; ""&gt; &lt;/ div&gt; &lt;iframe scrolling = ""No"" frameborder = ""0"" src = ""about: blank"" style = ""display: none;""&gt; &lt;/ iframe&gt; &lt;div tabindex = ""- 1"" class = ""airy-controls-container"" style = ""opacity : 0; visibility: hidden; ""&gt; &lt;div "&amp;"tabindex ="" - 1 ""class ="" airy-screen-size-toggle airy-fullscreen ""&gt; &lt;/ div&gt; &lt;div tabindex ="" - 1 ""class ="" airy-container-bottom "" &gt; &lt;div tabindex = ""- 1"" class = ""airy-track-bar-spacer-left"" style = ""width: 11px;""&gt; &lt;/ div&gt; &lt;div tabindex = "&amp;"""- 1"" class = ""airy-play- airy toggle-play ""style ="" width: 12px; margin-right: 12px; ""&gt; &lt;/ div&gt; &lt;div tabindex ="" - 1 ""class ="" airy-audio-elements ""style ="" float: right; width: 34px; ""&gt; &lt;div tabindex ="" - 1 ""class ="" airy-audio-toggle air"&amp;"y-on ""&gt; &lt;/ div&gt; &lt;div tabindex ="" - 1 ""class ="" airy-audio-container ""style = ""opacity: 0; visibility: hidden; ""&gt; &lt;div tabindex ="" - 1 ""class ="" airy-audio-track-bar ""style ="" height: 80%; ""&gt; &lt;div tabindex ="" - 1 ""class ="" airy-audio- Scrub"&amp;"ber-bar ""style ="" height: 85%; ""&gt; &lt;/ div&gt; &lt;div tabindex ="" - 1 ""class ="" airy-audio-scrubber ""style ="" height: 12px; bottom 85% ""&gt; &lt;/ div&gt; &lt;/ div&gt; &lt;/ div&gt; &lt;/ div&gt; &lt;div tabindex ="" - 1 ""class ="" airy-duration-label ""style ="" float: right; wid"&amp;"th: 26px; margin-right: 4px; text-align: center; ""&gt; 0:00 &lt;/ div&gt; &lt;div tabindex ="" - 1 ""class ="" airy-track-bar-spacer-right ""style ="" float: right; width: 11px; ""&gt; &lt;/ div&gt; &lt;div tabindex ="" - 1 ""class ="" airy-track-bar-container ""style ="" margi"&amp;"n-left: 35px; margin-right: 75px; ""&gt; &lt;div tabindex ="" - 1 ""class ="" airy-airy-track-bar vertically-centering-table ""&gt; &lt;div tabindex ="" - 1 ""class ="" airy-Vertical-centering- table-cell ""&gt; &lt;div tabindex ="" - 1 ""class ="" airy-track-bar-elements "&amp;"""&gt; &lt;div tabindex ="" - 1 ""class ="" airy-progress-bar ""&gt; &lt;/ div&gt; &lt;div tabindex = ""- 1"" class = ""airy-scrubber-bar""&gt; &lt;/ div&gt; &lt;div tabindex = ""- 1"" class = ""airy-scrubber""&gt; &lt;div tabindex = ""- 1"" class = ""airy-scrubber- icon ""&gt; &lt;/ div&gt; &lt;div ta"&amp;"bindex ="" - 1 ""class ="" airy-adjusted-AUI-tooltip ""style ="" opacity: 0; visibility: hidden; ""&gt; &lt;div tabindex ="" - 1 ""class ="" airy-adjusted-aui-tooltip-inner ""&gt; &lt;div tabindex ="" - 1 ""class ="" airy-current-time-label ""&gt; 0: 00 &lt;/ div&gt; &lt;/ div&gt; "&amp;"&lt;div tabindex = ""- 1"" class = ""airy-adjusted-AUI-arrow-border""&gt; &lt;div tabindex = ""- 1"" class = ""airy-adjusted-AUI-arrow"" &gt; &lt;/ div&gt; &lt;/ div&gt; &lt;/ div&gt; &lt;/ div&gt; &lt;/ div&gt; &lt;/ div&gt; &lt;/ div&gt; &lt;/ div&gt; &lt;/ div&gt; &lt;/ div&gt; &lt;div tabindex = ""- 1"" class = ""airy-age-ga"&amp;"te airy-stage airy-Vertical-centering-table airy-dialog"" style = ""opacity: 0; visibility: hidden; ""&gt; &lt;div tabindex ="" - 1 ""class ="" airy-age-gate-Vertical-centering-table-cell airy-Vertical-centering-table-cell ""&gt; &lt;div tabindex ="" - 1 ""class = """&amp;"airy-Vertical-centering-wrapper airy-age-gate-elements-wrapper""&gt; &lt;div tabindex = ""- 1"" class = ""airy-age-gate-elements airy-dialog-elements""&gt; &lt;div tabindex = "" -1 ""class ="" airy-age-gate-prompt ""&gt; This video is not Intended for all audiences What"&amp;" date were you born &lt;/ div&gt; &lt;div tabindex =.?"" - 1 ""class ="" airy-age-gate -inputs airy-dialog-inner-elements ""&gt; &lt;select tabindex ="" - 1 ""class ="" airy-age-gate-month ""&gt; &lt;option value ="" 1 ""&gt; January &lt;/ option&gt; &lt;option value ="" 2 ""&gt; February &lt;"&amp;"/ option&gt; &lt;option value ="" 3 ""&gt; March &lt;/ option&gt; &lt;option value ="" 4 ""&gt; April &lt;/ option&gt; &lt;option value ="" 5 ""&gt; May &lt;/ option&gt; &lt;option value = ""6""&gt; June &lt;/ option&gt; &lt;option value = ""7""&gt; July &lt;/ option&gt; &lt;option value = ""8""&gt; August &lt;/ option&gt; &lt;opti"&amp;"on value = ""9""&gt; September &lt;/ option&gt; &lt;option value = ""10""&gt; October &lt;/ option&gt; &lt;option value = ""11""&gt; November &lt;/ option&gt; &lt;option value = ""12""&gt; December &lt;/ option&gt; &lt;/ select&gt; &lt;select tabindex = ""- 1"" class = ""airy-age-gate-day""&gt; &lt;opti on value ="&amp;" ""1""&gt; 1 &lt;/ option&gt; &lt;option value = ""2""&gt; 2 &lt;/ option&gt; &lt;option value = ""3""&gt; 3 &lt;/ option&gt; &lt;option value = ""4""&gt; 4 &lt;/ option &gt; &lt;option value = ""5""&gt; 5 &lt;/ option&gt; &lt;option value = ""6""&gt; 6 &lt;/ option&gt; &lt;option value = ""7""&gt; 7 &lt;/ option&gt; &lt;option value = "&amp;"""8""&gt; 8 &lt; / option&gt; &lt;option value = ""9""&gt; 9 &lt;/ option&gt; &lt;option value = ""10""&gt; 10 &lt;/ option&gt; &lt;option value = ""11""&gt; 11 &lt;/ option&gt; &lt;option value = ""12""&gt; 12 &lt;/ option&gt; &lt;option value = ""13""&gt; 13 &lt;/ option&gt; &lt;option value = ""14""&gt; 14 &lt;/ option&gt; &lt;option "&amp;"value = ""15""&gt; 15 &lt;/ option&gt; &lt;option value = ""16 ""&gt; 16 &lt;/ option&gt; &lt;option value ="" 17 ""&gt; 17 &lt;/ option&gt; &lt;option value ="" 18 ""&gt; 18 &lt;/ option&gt; &lt;option value ="" 19 ""&gt; 19 &lt;/ option&gt; &lt;option value = ""20""&gt; 20 &lt;/ option&gt; &lt;option value = ""21""&gt; 21 &lt;/ o"&amp;"ption&gt; &lt;option value = ""22""&gt; 22 &lt;/ option&gt; &lt;option value = ""23""&gt; 23 &lt;/ option&gt; &lt;option value = ""24""&gt; 24 &lt;/ option&gt; &lt;option value = ""25""&gt; 25 &lt;/ option&gt; &lt;option value = ""26""&gt; 26 &lt;/ option&gt; &lt;option value = ""27""&gt; 27 &lt;/ option&gt; &lt;option value = ""28"&amp;"""&gt; 28 &lt;/ option&gt; &lt;option value = ""29""&gt; 29 &lt;/ option&gt; &lt;option value = ""30""&gt; 30 &lt;/ option&gt; &lt;option value = ""31""&gt; 31 &lt;/ option&gt; &lt;/ select&gt; &lt;select tabindex = ""- 1"" class = ""airy-age-gate-year""&gt; &lt;option value = ""2019""&gt; 2019 &lt;/ option&gt; &lt; option va"&amp;"lue = ""2018""&gt; 2018 &lt;/ option&gt; &lt;option value = ""2017""&gt; 2017 &lt;/ option&gt; &lt;option value = ""2016""&gt; ​​2016 &lt;/ option&gt; &lt;option value = ""2015""&gt; 2015 &lt;/ option &gt; &lt;option value = ""2014""&gt; 2014 &lt;/ option&gt; &lt;option value = ""2013""&gt; 2013 &lt;/ option&gt; &lt;option va"&amp;"lue = ""2012""&gt; 2012 &lt;/ option&gt; &lt;option value = ""2011""&gt; 2011 &lt; / option&gt; &lt;option value = ""2010""&gt; 2010 &lt;/ option&gt; &lt;option value = ""2009""&gt; 2009 &lt;/ option&gt; &lt;option value = ""2008""&gt; 2008 &lt;/ option&gt; &lt;option value = ""2007""&gt; 2007 &lt;/ option&gt; &lt;option valu"&amp;"e = ""2006""&gt; 2006 &lt;/ option&gt; &lt;option value = ""2005""&gt; 2005 &lt;/ option&gt; &lt;option value = ""2004""&gt; 2004 &lt;/ option&gt; &lt;option value = ""2003 ""&gt; 2003 &lt;/ option&gt; &lt;option value ="" 2002 ""&gt; 2002 &lt;/ option&gt; &lt;option value ="" 2001 ""&gt; 2001 &lt;/ option&gt; &lt;option valu"&amp;"e ="" 2000 ""&gt; 2000 &lt;/ option&gt; &lt;option value = ""1999""&gt; 1999 &lt;/ option&gt; &lt;option value = ""1998""&gt; 1998 &lt;/ option&gt; &lt;option value = ""1997""&gt; 1997 &lt;/ option&gt; &lt;option value = ""1996""&gt; 1996 &lt;/ option&gt; &lt;option value = ""1995""&gt; 1995 &lt;/ option&gt; &lt;option value "&amp;"= ""1994""&gt; 1994 &lt;/ option&gt; &lt;option value = ""1993""&gt; 1993 &lt;/ option&gt; &lt;option value = ""1992""&gt; 1992 &lt;/ option&gt; &lt;option value = ""1991""&gt; 1991 &lt;/ option&gt; &lt;option value = ""1990""&gt; 1990 &lt;/ option&gt; &lt;option value = "" 1989 ""&gt; 1989 &lt;/ option&gt; &lt;option value ="&amp;""" 1988 ""&gt; 1988 &lt;/ option&gt; &lt;option value ="" 1987 ""&gt; 1987 &lt;/ option&gt; &lt;option value ="" 1986 ""&gt; 1986 &lt;/ option&gt; &lt;value option = ""1985""&gt; 1985 &lt;/ option&gt; &lt;option value = ""1984""&gt; 1984 &lt;/ option&gt; &lt;option value = ""1983""&gt; 1983 &lt;/ option&gt; &lt;option value ="&amp;" ""1982""&gt; 1982 &lt;/ option&gt; &lt; option value = ""1981""&gt; 1981 &lt;/ option&gt; &lt;option value = ""1980""&gt; 1980 &lt;/ option&gt; &lt;option value = ""1979""&gt; 1979 &lt;/ option&gt; &lt;option value = ""1978""&gt; 1978 &lt;/ option &gt; &lt;option value = ""1977""&gt; 1977 &lt;/ option&gt; &lt;option value = "&amp;"""1976""&gt; 1976 &lt;/ option&gt; &lt;option value = ""1975""&gt; 1975 &lt;/ option&gt; &lt;option value = ""1974""&gt; 1974 &lt; / option&gt; &lt;option value = ""1973""&gt; 1973 &lt;/ option&gt; &lt;option value = ""1972""&gt; 1972 &lt;/ option&gt; &lt;option value = ""1971""&gt; 1971 &lt;/ option&gt; &lt;option value = """&amp;"1970""&gt; 1970 &lt;/ option&gt; &lt;option value = ""1969""&gt; 1969 &lt;/ option&gt; &lt;option value = ""1968""&gt; 1968 &lt;/ option&gt; &lt;option value = ""1967""&gt; 1967 &lt;/ option&gt; &lt;option value = ""1966 ""&gt; 1966 &lt;/ option&gt; &lt;option value ="" 1965 ""&gt; 1965 &lt;/ option&gt; &lt;option value ="" 1"&amp;"964 ""&gt; 1964 &lt;/ option&gt; &lt;option value ="" 1963 ""&gt; 1963 &lt;/ option&gt; &lt;option value = ""1962""&gt; 1962 &lt;/ option&gt; &lt;option value = ""1961""&gt; 1961 &lt;/ option&gt; &lt;option value = ""1960""&gt; 1960 &lt;/ op tion&gt; &lt;option value = ""1959""&gt; 1959 &lt;/ option&gt; &lt;option value = ""1"&amp;"958""&gt; 1958 &lt;/ option&gt; &lt;option value = ""1957""&gt; 1957 &lt;/ option&gt; &lt;option value = ""1956""&gt; 1956 &lt;/ option&gt; &lt;option value = ""1955""&gt; 1955 &lt;/ option&gt; &lt;option value = ""1954""&gt; 1954 &lt;/ option&gt; &lt;option value = ""1953""&gt; 1953 &lt;/ option&gt; &lt;option value = ""1952"&amp;""" &gt; 1952 &lt;/ option&gt; &lt;option value = ""1951""&gt; 1951 &lt;/ option&gt; &lt;option value = ""1950""&gt; 1950 &lt;/ option&gt; &lt;option value = ""1949""&gt; 1949 &lt;/ option&gt; &lt;option value = "" 1948 ""&gt; 1948 &lt;/ option&gt; &lt;option value ="" 1947 ""&gt; 1947 &lt;/ option&gt; &lt;option value ="" 194"&amp;"6 ""&gt; 1946 &lt;/ option&gt; &lt;option value ="" 1945 ""&gt; 1945 &lt;/ option&gt; &lt;value option = ""1944""&gt; 1944 &lt;/ option&gt; &lt;option value = ""1943""&gt; 1943 &lt;/ option&gt; &lt;option value = ""1942""&gt; 1942 &lt;/ option&gt; &lt;option value = ""1941""&gt; 1941 &lt;/ option&gt; &lt; option value = ""194"&amp;"0""&gt; 1940 &lt;/ option&gt; &lt;option value = ""1939""&gt; 1939 &lt;/ option&gt; &lt;option value = ""1938""&gt; 1938 &lt;/ option&gt; &lt;option value = ""1937""&gt; 1937 &lt;/ option &gt; &lt;option value = ""1936""&gt; 1936 &lt;/ option&gt; &lt;option value = ""1935""&gt; 1935 &lt;/ option&gt; &lt;option value = ""1934"&amp;"""&gt; 1934 &lt;/ option&gt; &lt;option value = ""1933""&gt; 1933 &lt; / option&gt; &lt;option value = ""1932""&gt; 1932 &lt;/ option&gt; &lt;option value = ""1931""&gt; 1931 &lt;/ option&gt; &lt;option v alue = ""1930""&gt; 1930 &lt;/ option&gt; &lt;option value = ""1929""&gt; 1929 &lt;/ option&gt; &lt;option value = ""1928"&amp;"""&gt; 1928 &lt;/ option&gt; &lt;option value = ""1927""&gt; 1927 &lt;/ option&gt; &lt;option value = ""1926""&gt; 1926 &lt;/ option&gt; &lt;option value = ""1925""&gt; 1925 &lt;/ option&gt; &lt;option value = ""1924""&gt; 1924 &lt;/ option&gt; &lt;option value = ""1923""&gt; 1923 &lt;/ option&gt; &lt;option value = ""1922""&gt;"&amp;" 1922 &lt;/ option&gt; &lt;option value = ""1921""&gt; 1921 &lt;/ option&gt; &lt;option value = ""1920""&gt; 1920 &lt;/ option&gt; &lt;option value = ""1919""&gt; 1919 &lt;/ option&gt; &lt;option value = ""1918""&gt; 1918 &lt;/ option&gt; &lt;option value = ""1917""&gt; 1917 &lt;/ option&gt; &lt;option value = ""1916""&gt; 19"&amp;"16 &lt;/ option&gt; &lt;option value = ""1915"" &gt; 1915 &lt;/ option&gt; &lt;option value = ""1914""&gt; 1914 &lt;/ option&gt; &lt;option value = ""1913""&gt; 1913 &lt;/ option&gt; &lt;option value = ""1912""&gt; 1912 &lt;/ option&gt; &lt;option value = "" 1911 ""&gt; 1911 &lt;/ option&gt; &lt;option value ="" 1910 ""&gt; 1"&amp;"910 &lt;/ option&gt; &lt;option value ="" 1909 ""&gt; 1909 &lt;/ option&gt; &lt;option value ="" 1908 ""&gt; 1908 &lt;/ option&gt; &lt;value option = ""1907""&gt; 1907 &lt;/ option&gt; &lt;option value = ""1906""&gt; 1906 &lt;/ option&gt; &lt;option value = ""1905""&gt; 1905 &lt;/ option&gt; &lt;option value = ""1904""&gt; 19"&amp;"04 &lt;/ option&gt; &lt; option value = ""1903""&gt; 1903 &lt;/ option&gt; &lt;option value = ""1902""&gt; 1902 &lt;/ option&gt; &lt;option value = ""1901""&gt; 19 01 &lt;/ option&gt; &lt;option value = ""1900""&gt; 1900 &lt;/ option&gt; &lt;/ select&gt; &lt;div tabindex = ""- 1"" class = ""airy-age-gate-submit airy-"&amp;"submit-button airy airy-submit- disabled ""&gt; Submit &lt;/ div&gt; &lt;/ div&gt; &lt;/ div&gt; &lt;/ div&gt; &lt;/ div&gt; &lt;/ div&gt; &lt;div tabindex ="" - 1 ""class ="" airy-install-flash-dialog airy-stage airy -vertical-centering-table-dialog airy airy-denied ""style ="" opacity: 0; visib"&amp;"ility: hidden; ""&gt; &lt;div tabindex ="" - 1 ""class ="" airy-install-flash-Vertical-centering-table-cell airy-Vertical-centering-table-cell ""&gt; &lt;div tabindex ="" - 1 ""class = ""airy-Vertical-centering-wrapper airy-install-flash-elements-wrapper""&gt; &lt;div tabi"&amp;"ndex = ""- 1"" class = ""airy-install-flash-elements airy-dialog-elements""&gt; &lt;div tabindex = "" -1 ""class ="" airy-install-flash-prompt ""&gt; Adobe Flash Player is required to watch this video &lt;/ div&gt; &lt;div tabindex =."" - 1 ""class ="" airy-install-flash-b"&amp;"utton-wrapper airy -dialog-inner-elements ""&gt; &lt;div tabindex ="" - 1 ""class ="" airy-install-flash-button airy-button ""&gt; install Flash Player &lt;/ div&gt; &lt;/ div&gt; &lt;/ div&gt; &lt;/ div&gt; &lt;/ div&gt; &lt;/ div&gt; &lt;div tabindex = ""- 1"" class = ""airy-video-unsupported-dialog "&amp;"airy-stage airy-Vertical-centering-table airy-dialog airy-denied"" style = ""opacity: 0; visibility: hidden; ""&gt; &lt;div tabindex ="" - 1 ""class ="" airy-video-unsupported-Vertical-centering-table-cell airy-Vertical-centering-table-cell ""&gt; &lt;div tabindex ="&amp;""" - 1 ""class = ""airy-Vertical-centering-wrapper airy-video-unsupported-elements-wrapper""&gt; &lt;div tabindex = ""- 1"" class = ""airy-video-unsupported-elements airy-dialog-elements""&gt; &lt;div tabindex = "" -1 ""class ="" airy-video-unsupported-prompt ""&gt; &lt;/ "&amp;"div&gt; &lt;/ div&gt; &lt;/ div&gt; &lt;/ div&gt; &lt;/ div&gt; &lt;div tabindex ="" - 1 ""class ="" airy-loading- spinner-stage airy-stage ""&gt; &lt;div tabindex ="" - 1 ""class ="" airy-loading-spinner-Vertical-centering-table-cell airy-Vertical-centering-table-cell ""&gt; &lt;div tabindex ="""&amp;" - 1 ""class ="" airy-loading-spinner-container airy-scalable-hint-container ""&gt; &lt;div tabindex ="" - 1 ""class ="" airy-loading-spinner-dummy airy-scalable-dummy ""&gt; &lt;/ div&gt; &lt; div tabindex = ""- 1"" class = ""airy-loading-spinner airy-hint"" style = ""vis"&amp;"ibility: hidden;""&gt; &lt;/ div&gt; &lt;/ div&gt; &lt;/ div&gt; &lt;/ div&gt; &lt;div tabindex = ""- 1 ""class ="" airy-ads-screen-size-toggle airy-screen-size-toggle-fullscreen airy ""style ="" visibility: hidden; ""&gt; &lt;/ div&gt; &lt;div tabindex = ""-1"" class = ""airy-ad-prompt-container"&amp;""" style = ""visibility: hidden;""&gt; &lt;div tabindex = ""- 1"" class = ""airy-ad-prompt-Vertical-centering-table-vertically airy centering-table ""&gt; &lt;div tabindex ="" - 1 ""class ="" airy-ad-prompt-Vertical-centering-table-cell airy-Vertical-centering-table-"&amp;"cell ""&gt; &lt;div tabindex ="" - 1 ""class = ""airy-ad-prompt-label""&gt; &lt;/ div&gt; &lt;/ div&gt; &lt;/ div&gt; &lt;/ div&gt; &lt;div tabindex = ""- 1"" class = ""airy-ads-controls-container"" style = ""visibility: hidden; ""&gt; &lt;div tabindex ="" - 1 ""class ="" airy-ads-audio-toggle ai"&amp;"ry-audio-toggle airy-on ""style ="" visibility: hidden; ""&gt; &lt;/ div&gt; &lt;div tabindex ="" - 1 ""class ="" airy-time-remaining-label-container ""&gt; &lt;div tabindex ="" - 1 ""class ="" airy-time-remaining-Vertical-centering-table airy-Vertical-centering-table ""&gt; "&amp;"&lt;div tabindex = ""- 1"" class = ""airy-time-remaining-Vertical-centering-table-cell airy-Vertical-centering-table-cell""&gt; &lt;div tabindex = ""- 1"" class = ""airy-Vertical-centering-wrapper airy-time-remaining-label-wrapper ""&gt; &lt;div tabindex ="" - 1 ""class"&amp;" ="" airy-time-remaining-label ""style ="" visibility: hidden; ""&gt; &lt;/ div&gt; &lt;div tabi ndex = ""- 1"" class = ""airy-ad-skip"" style = ""visibility: hidden;""&gt; &lt;/ div&gt; &lt;div tabindex = ""- 1"" class = ""airy-ad-end"" style = ""visibility: hidden ""&gt; &lt;/ div&gt; "&amp;"&lt;/ div&gt; &lt;/ div&gt; &lt;/ div&gt; &lt;/ div&gt; &lt;div tabindex ="" - 1 ""class ="" airy-learn-more ""style ="" visibility: hidden; ""&gt; &lt;/ div&gt; &lt;/ div&gt; &lt;div tabindex = ""- 1"" class = ""airy-play-toggle-hint-stage airy-stage airy-cursor""&gt; &lt;div tabindex = ""- 1"" class = "&amp;"""airy-play -toggle-hint-Vertical-centering-table-cell airy-Vertical-centering-table-cell airy-cursor ""&gt; &lt;div tabindex ="" - 1 ""class ="" airy-play-toggle-hint-container airy-scalable- Hint-container ""&gt; &lt;div tabindex ="" - 1 ""class ="" airy-play-toggl"&amp;"e-hint-dummy airy-scalable-dummy ""&gt; &lt;/ div&gt; &lt;div tabindex ="" - 1 ""class ="" airy-play -toggle-hint hint airy-airy-play-hint ""style ="" opacity: 1; visibility: visible; ""&gt; &lt;/ div&gt; &lt;/ div&gt; &lt;/ div&gt; &lt;/ div&gt; &lt;div tabindex ="" - 1 ""class ="" airy-replay-h"&amp;"int-stage airy-stage ""style ="" visibility: hidden ; ""&gt; &lt;div tabindex ="" - 1 ""class ="" airy-replay-hint-Vertical-centering-table-cell airy-Vertical-centering-table-cell airy-cursor ""&gt; &lt;div tabindex ="" - 1 ""class = ""airy-replay-hint-container airy"&amp;"-scalable-hint-container""&gt; &lt;div tabindex = ""- 1"" class = ""airy-replay-hint-dummy airy-scalable-dummy""&gt; &lt;/ div&gt; &lt;div tabindex = ""- 1"" class = ""airy-replay-hint airy-hint""&gt; &lt;/ div&gt; &lt;/ div&gt; &lt;/ div&gt; &lt;/ div&gt; &lt;div tabindex = ""- 1"" class = ""airy-auto"&amp;"play-hint -stage airy-stage ""style ="" visibility: hidden; ""&gt; &lt;div tabindex ="" - 1 ""class ="" airy-autoplay-hint-Vertical-centering-table-cell airy-Vertical-centering-table-cell airy- cursor ""&gt; &lt;div tabindex ="" - 1 ""class ="" autoplay airy-airy-hin"&amp;"t-container-scalable-hint-container ""&gt; &lt;div tabindex ="" - 1 ""class ="" airy-autoplay-hint-dummy airy- scalable-dummy ""&gt; &lt;/ div&gt; &lt;/ div&gt; &lt;/ div&gt; &lt;/ div&gt; &lt;/ div&gt; &lt;/ div&gt; &lt;input type ="" hidden ""name ="" ""value ="" https: // images-eu .ssl-images-amazo"&amp;"n.com / images / I / B1FM8pPI + QS.mp4 ""Class ="" video-url ""&gt; &lt;input type ="" hidden ""name ="" ""value ="" https://images-eu.ssl-images-amazon.com/images/I/81hRDIT+MpS.png ""class = ""video-slate-img-url""&gt; &amp; nbsp; good humidifier for the house smell "&amp;"good. I silent capacity, convina fragrances to smell as you like. I very satisfied with the very comfortable control.")</f>
        <v>Good humidor &lt;div id = "video-block-R32FUZ1S4QRJEE" class = "a-section a-spacing-small a-spacing-top mini video-block"&gt; &lt;div tabindex = "0" class = "airy airy-svg vmin-supported airy-skin-beacon "style =" background-color: rgb (0, 0, 0) position: relative; width: 100%; height: 100%; font-size: 0px; overflow: hidden; outline : none; "&gt; &lt;div class =" airy-renderer-container "style =" position: relative; height: 100%; width: 100%; "&gt; &lt;video id =" 23 "preload =" auto "src =" https://images-eu.ssl-images-amazon.com/images/I/B1FM8pPI+QS.mp4 "style =" position: absolute; left: 0px; top: 0px; overflow: hidden; height: 1px; width : 1px; "&gt; &lt;/ video&gt; &lt;/ div&gt; &lt;div id =" airy-slate-preload "style =" background-color: rgb (0, 0, 0); background-image: url (&amp; quot; https: //images-eu.ssl-images-amazon.com/images/I/81hRDIT+MpS.png&amp;quot;); background-size: Contain; background-position: center center; background-repeat: no-repeat; position: absolute ; top: 0px; left: 0px; visibility: visible; width: 100%; height: 100%; "&gt; &lt;/ div&gt; &lt;iframe scrolling = "No" frameborder = "0" src = "about: blank" style = "display: none;"&gt; &lt;/ iframe&gt; &lt;div tabindex = "- 1" class = "airy-controls-container" style = "opacity : 0; visibility: hidden; "&gt; &lt;div tabindex =" - 1 "class =" airy-screen-size-toggle airy-fullscreen "&gt; &lt;/ div&gt; &lt;div tabindex =" - 1 "class =" airy-container-bottom " &gt; &lt;div tabindex = "- 1" class = "airy-track-bar-spacer-left" style = "width: 11px;"&gt; &lt;/ div&gt; &lt;div tabindex = "- 1" class = "airy-play- airy toggle-play "style =" width: 12px; margin-right: 12px; "&gt; &lt;/ div&gt; &lt;div tabindex =" - 1 "class =" airy-audio-elements "style =" float: right; width: 34px; "&gt; &lt;div tabindex =" - 1 "class =" airy-audio-toggle airy-on "&gt; &lt;/ div&gt; &lt;div tabindex =" - 1 "class =" airy-audio-container "style = "opacity: 0; visibility: hidden; "&gt; &lt;div tabindex =" - 1 "class =" airy-audio-track-bar "style =" height: 80%; "&gt; &lt;div tabindex =" - 1 "class =" airy-audio- Scrubber-bar "style =" height: 85%; "&gt; &lt;/ div&gt; &lt;div tabindex =" - 1 "class =" airy-audio-scrubber "style =" height: 12px; bottom 85% "&gt; &lt;/ div&gt; &lt;/ div&gt; &lt;/ div&gt; &lt;/ div&gt; &lt;div tabindex =" - 1 "class =" airy-duration-label "style =" float: right; width: 26px; margin-right: 4px; text-align: center; "&gt; 0:00 &lt;/ div&gt; &lt;div tabindex =" - 1 "class =" airy-track-bar-spacer-right "style =" float: right; width: 11px; "&gt; &lt;/ div&gt; &lt;div tabindex =" - 1 "class =" airy-track-bar-container "style =" margin-left: 35px; margin-right: 75px; "&gt; &lt;div tabindex =" - 1 "class =" airy-airy-track-bar vertically-centering-table "&gt; &lt;div tabindex =" - 1 "class =" airy-Vertical-centering- table-cell "&gt; &lt;div tabindex =" - 1 "class =" airy-track-bar-elements "&gt; &lt;div tabindex =" - 1 "class =" airy-progress-bar "&gt; &lt;/ div&gt; &lt;div tabindex = "- 1" class = "airy-scrubber-bar"&gt; &lt;/ div&gt; &lt;div tabindex = "- 1" class = "airy-scrubber"&gt; &lt;div tabindex = "- 1" class = "airy-scrubber- icon "&gt; &lt;/ div&gt; &lt;div tabindex =" - 1 "class =" airy-adjusted-AUI-tooltip "style =" opacity: 0; visibility: hidden; "&gt; &lt;div tabindex =" - 1 "class =" airy-adjusted-aui-tooltip-inner "&gt; &lt;div tabindex =" - 1 "class =" airy-current-time-label "&gt; 0: 00 &lt;/ div&gt; &lt;/ div&gt; &lt;div tabindex = "- 1" class = "airy-adjusted-AUI-arrow-border"&gt; &lt;div tabindex = "- 1" class = "airy-adjusted-AUI-arrow" &gt; &lt;/ div&gt; &lt;/ div&gt; &lt;/ div&gt; &lt;/ div&gt; &lt;/ div&gt; &lt;/ div&gt; &lt;/ div&gt; &lt;/ div&gt; &lt;/ div&gt; &lt;/ div&gt; &lt;div tabindex = "- 1" class = "airy-age-gate airy-stage airy-Vertical-centering-table airy-dialog" style = "opacity: 0; visibility: hidden; "&gt; &lt;div tabindex =" - 1 "class =" airy-age-gate-Vertical-centering-table-cell airy-Vertical-centering-table-cell "&gt; &lt;div tabindex =" - 1 "class = "airy-Vertical-centering-wrapper airy-age-gate-elements-wrapper"&gt; &lt;div tabindex = "- 1" class = "airy-age-gate-elements airy-dialog-elements"&gt; &lt;div tabindex = " -1 "class =" airy-age-gate-prompt "&gt; This video is not Intended for all audiences What date were you born &lt;/ div&gt; &lt;div tabindex =.?" - 1 "class =" airy-age-gate -inputs airy-dialog-inner-elements "&gt; &lt;select tabindex =" - 1 "class =" airy-age-gate-month "&gt; &lt;option value =" 1 "&gt; January &lt;/ option&gt; &lt;option value =" 2 "&gt; February &lt;/ option&gt; &lt;option value =" 3 "&gt; March &lt;/ option&gt; &lt;option value =" 4 "&gt; April &lt;/ option&gt; &lt;option value =" 5 "&gt; May &lt;/ option&gt; &lt;option value = "6"&gt; June &lt;/ option&gt; &lt;option value = "7"&gt; July &lt;/ option&gt; &lt;option value = "8"&gt; August &lt;/ option&gt; &lt;option value = "9"&gt; September &lt;/ option&gt; &lt;option value = "10"&gt; October &lt;/ option&gt; &lt;option value = "11"&gt; November &lt;/ option&gt; &lt;option value = "12"&gt; December &lt;/ option&gt; &lt;/ select&gt; &lt;select tabindex = "- 1" class = "airy-age-gate-day"&gt; &lt;opti on value = "1"&gt; 1 &lt;/ option&gt; &lt;option value = "2"&gt; 2 &lt;/ option&gt; &lt;option value = "3"&gt; 3 &lt;/ option&gt; &lt;option value = "4"&gt; 4 &lt;/ option &gt; &lt;option value = "5"&gt; 5 &lt;/ option&gt; &lt;option value = "6"&gt; 6 &lt;/ option&gt; &lt;option value = "7"&gt; 7 &lt;/ option&gt; &lt;option value = "8"&gt; 8 &lt; / option&gt; &lt;option value = "9"&gt; 9 &lt;/ option&gt; &lt;option value = "10"&gt; 10 &lt;/ option&gt; &lt;option value = "11"&gt; 11 &lt;/ option&gt; &lt;option value = "12"&gt; 12 &lt;/ option&gt; &lt;option value = "13"&gt; 13 &lt;/ option&gt; &lt;option value = "14"&gt; 14 &lt;/ option&gt; &lt;option value = "15"&gt; 15 &lt;/ option&gt; &lt;option value = "16 "&gt; 16 &lt;/ option&gt; &lt;option value =" 17 "&gt; 17 &lt;/ option&gt; &lt;option value =" 18 "&gt; 18 &lt;/ option&gt; &lt;option value =" 19 "&gt; 19 &lt;/ option&gt; &lt;option value = "20"&gt; 20 &lt;/ option&gt; &lt;option value = "21"&gt; 21 &lt;/ option&gt; &lt;option value = "22"&gt; 22 &lt;/ option&gt; &lt;option value = "23"&gt; 23 &lt;/ option&gt; &lt;option value = "24"&gt; 24 &lt;/ option&gt; &lt;option value = "25"&gt; 25 &lt;/ option&gt; &lt;option value = "26"&gt; 26 &lt;/ option&gt; &lt;option value = "27"&gt; 27 &lt;/ option&gt; &lt;option value = "28"&gt; 28 &lt;/ option&gt; &lt;option value = "29"&gt; 29 &lt;/ option&gt; &lt;option value = "30"&gt; 30 &lt;/ option&gt; &lt;option value = "31"&gt; 31 &lt;/ option&gt; &lt;/ select&gt; &lt;select tabindex = "- 1" class = "airy-age-gate-year"&gt; &lt;option value = "2019"&gt; 2019 &lt;/ option&gt; &lt; option value = "2018"&gt; 2018 &lt;/ option&gt; &lt;option value = "2017"&gt; 2017 &lt;/ option&gt; &lt;option value = "2016"&gt; ​​2016 &lt;/ option&gt; &lt;option value = "2015"&gt; 2015 &lt;/ option &gt; &lt;option value = "2014"&gt; 2014 &lt;/ option&gt; &lt;option value = "2013"&gt; 2013 &lt;/ option&gt; &lt;option value = "2012"&gt; 2012 &lt;/ option&gt; &lt;option value = "2011"&gt; 2011 &lt; / option&gt; &lt;option value = "2010"&gt; 2010 &lt;/ option&gt; &lt;option value = "2009"&gt; 2009 &lt;/ option&gt; &lt;option value = "2008"&gt; 2008 &lt;/ option&gt; &lt;option value = "2007"&gt; 2007 &lt;/ option&gt; &lt;option value = "2006"&gt; 2006 &lt;/ option&gt; &lt;option value = "2005"&gt; 2005 &lt;/ option&gt; &lt;option value = "2004"&gt; 2004 &lt;/ option&gt; &lt;option value = "2003 "&gt; 2003 &lt;/ option&gt; &lt;option value =" 2002 "&gt; 2002 &lt;/ option&gt; &lt;option value =" 2001 "&gt; 2001 &lt;/ option&gt; &lt;option value =" 2000 "&gt; 2000 &lt;/ option&gt; &lt;option value = "1999"&gt; 1999 &lt;/ option&gt; &lt;option value = "1998"&gt; 1998 &lt;/ option&gt; &lt;option value = "1997"&gt; 1997 &lt;/ option&gt; &lt;option value = "1996"&gt; 1996 &lt;/ option&gt; &lt;option value = "1995"&gt; 1995 &lt;/ option&gt; &lt;option value = "1994"&gt; 1994 &lt;/ option&gt; &lt;option value = "1993"&gt; 1993 &lt;/ option&gt; &lt;option value = "1992"&gt; 1992 &lt;/ option&gt; &lt;option value = "1991"&gt; 1991 &lt;/ option&gt; &lt;option value = "1990"&gt; 1990 &lt;/ option&gt; &lt;option value = " 1989 "&gt; 1989 &lt;/ option&gt; &lt;option value =" 1988 "&gt; 1988 &lt;/ option&gt; &lt;option value =" 1987 "&gt; 1987 &lt;/ option&gt; &lt;option value =" 1986 "&gt; 1986 &lt;/ option&gt; &lt;value option = "1985"&gt; 1985 &lt;/ option&gt; &lt;option value = "1984"&gt; 1984 &lt;/ option&gt; &lt;option value = "1983"&gt; 1983 &lt;/ option&gt; &lt;option value = "1982"&gt; 1982 &lt;/ option&gt; &lt; option value = "1981"&gt; 1981 &lt;/ option&gt; &lt;option value = "1980"&gt; 1980 &lt;/ option&gt; &lt;option value = "1979"&gt; 1979 &lt;/ option&gt; &lt;option value = "1978"&gt; 1978 &lt;/ option &gt; &lt;option value = "1977"&gt; 1977 &lt;/ option&gt; &lt;option value = "1976"&gt; 1976 &lt;/ option&gt; &lt;option value = "1975"&gt; 1975 &lt;/ option&gt; &lt;option value = "1974"&gt; 1974 &lt; / option&gt; &lt;option value = "1973"&gt; 1973 &lt;/ option&gt; &lt;option value = "1972"&gt; 1972 &lt;/ option&gt; &lt;option value = "1971"&gt; 1971 &lt;/ option&gt; &lt;option value = "1970"&gt; 1970 &lt;/ option&gt; &lt;option value = "1969"&gt; 1969 &lt;/ option&gt; &lt;option value = "1968"&gt; 1968 &lt;/ option&gt; &lt;option value = "1967"&gt; 1967 &lt;/ option&gt; &lt;option value = "1966 "&gt; 1966 &lt;/ option&gt; &lt;option value =" 1965 "&gt; 1965 &lt;/ option&gt; &lt;option value =" 1964 "&gt; 1964 &lt;/ option&gt; &lt;option value =" 1963 "&gt; 1963 &lt;/ option&gt; &lt;option value = "1962"&gt; 1962 &lt;/ option&gt; &lt;option value = "1961"&gt; 1961 &lt;/ option&gt; &lt;option value = "1960"&gt; 1960 &lt;/ op tion&gt; &lt;option value = "1959"&gt; 1959 &lt;/ option&gt; &lt;option value = "1958"&gt; 1958 &lt;/ option&gt; &lt;option value = "1957"&gt; 1957 &lt;/ option&gt; &lt;option value = "1956"&gt; 1956 &lt;/ option&gt; &lt;option value = "1955"&gt; 1955 &lt;/ option&gt; &lt;option value = "1954"&gt; 1954 &lt;/ option&gt; &lt;option value = "1953"&gt; 1953 &lt;/ option&gt; &lt;option value = "1952" &gt; 1952 &lt;/ option&gt; &lt;option value = "1951"&gt; 1951 &lt;/ option&gt; &lt;option value = "1950"&gt; 1950 &lt;/ option&gt; &lt;option value = "1949"&gt; 1949 &lt;/ option&gt; &lt;option value = " 1948 "&gt; 1948 &lt;/ option&gt; &lt;option value =" 1947 "&gt; 1947 &lt;/ option&gt; &lt;option value =" 1946 "&gt; 1946 &lt;/ option&gt; &lt;option value =" 1945 "&gt; 1945 &lt;/ option&gt; &lt;value option = "1944"&gt; 1944 &lt;/ option&gt; &lt;option value = "1943"&gt; 1943 &lt;/ option&gt; &lt;option value = "1942"&gt; 1942 &lt;/ option&gt; &lt;option value = "1941"&gt; 1941 &lt;/ option&gt; &lt; option value = "1940"&gt; 1940 &lt;/ option&gt; &lt;option value = "1939"&gt; 1939 &lt;/ option&gt; &lt;option value = "1938"&gt; 1938 &lt;/ option&gt; &lt;option value = "1937"&gt; 1937 &lt;/ option &gt; &lt;option value = "1936"&gt; 1936 &lt;/ option&gt; &lt;option value = "1935"&gt; 1935 &lt;/ option&gt; &lt;option value = "1934"&gt; 1934 &lt;/ option&gt; &lt;option value = "1933"&gt; 1933 &lt; / option&gt; &lt;option value = "1932"&gt; 1932 &lt;/ option&gt; &lt;option value = "1931"&gt; 1931 &lt;/ option&gt; &lt;option v alue = "1930"&gt; 1930 &lt;/ option&gt; &lt;option value = "1929"&gt; 1929 &lt;/ option&gt; &lt;option value = "1928"&gt; 1928 &lt;/ option&gt; &lt;option value = "1927"&gt; 1927 &lt;/ option&gt; &lt;option value = "1926"&gt; 1926 &lt;/ option&gt; &lt;option value = "1925"&gt; 1925 &lt;/ option&gt; &lt;option value = "1924"&gt; 1924 &lt;/ option&gt; &lt;option value = "1923"&gt; 1923 &lt;/ option&gt; &lt;option value = "1922"&gt; 1922 &lt;/ option&gt; &lt;option value = "1921"&gt; 1921 &lt;/ option&gt; &lt;option value = "1920"&gt; 1920 &lt;/ option&gt; &lt;option value = "1919"&gt; 1919 &lt;/ option&gt; &lt;option value = "1918"&gt; 1918 &lt;/ option&gt; &lt;option value = "1917"&gt; 1917 &lt;/ option&gt; &lt;option value = "1916"&gt; 1916 &lt;/ option&gt; &lt;option value = "1915" &gt; 1915 &lt;/ option&gt; &lt;option value = "1914"&gt; 1914 &lt;/ option&gt; &lt;option value = "1913"&gt; 1913 &lt;/ option&gt; &lt;option value = "1912"&gt; 1912 &lt;/ option&gt; &lt;option value = " 1911 "&gt; 1911 &lt;/ option&gt; &lt;option value =" 1910 "&gt; 1910 &lt;/ option&gt; &lt;option value =" 1909 "&gt; 1909 &lt;/ option&gt; &lt;option value =" 1908 "&gt; 1908 &lt;/ option&gt; &lt;value option = "1907"&gt; 1907 &lt;/ option&gt; &lt;option value = "1906"&gt; 1906 &lt;/ option&gt; &lt;option value = "1905"&gt; 1905 &lt;/ option&gt; &lt;option value = "1904"&gt; 1904 &lt;/ option&gt; &lt; option value = "1903"&gt; 1903 &lt;/ option&gt; &lt;option value = "1902"&gt; 1902 &lt;/ option&gt; &lt;option value = "1901"&gt; 19 01 &lt;/ option&gt; &lt;option value = "1900"&gt; 1900 &lt;/ option&gt; &lt;/ select&gt; &lt;div tabindex = "- 1" class = "airy-age-gate-submit airy-submit-button airy airy-submit- disabled "&gt; Submit &lt;/ div&gt; &lt;/ div&gt; &lt;/ div&gt; &lt;/ div&gt; &lt;/ div&gt; &lt;/ div&gt; &lt;div tabindex =" - 1 "class =" airy-install-flash-dialog airy-stage airy -vertical-centering-table-dialog airy airy-denied "style =" opacity: 0; visibility: hidden; "&gt; &lt;div tabindex =" - 1 "class =" airy-install-flash-Vertical-centering-table-cell airy-Vertical-centering-table-cell "&gt; &lt;div tabindex =" - 1 "class = "airy-Vertical-centering-wrapper airy-install-flash-elements-wrapper"&gt; &lt;div tabindex = "- 1" class = "airy-install-flash-elements airy-dialog-elements"&gt; &lt;div tabindex = " -1 "class =" airy-install-flash-prompt "&gt; Adobe Flash Player is required to watch this video &lt;/ div&gt; &lt;div tabindex =." - 1 "class =" airy-install-flash-button-wrapper airy -dialog-inner-elements "&gt; &lt;div tabindex =" - 1 "class =" airy-install-flash-button airy-button "&gt; install Flash Player &lt;/ div&gt; &lt;/ div&gt; &lt;/ div&gt; &lt;/ div&gt; &lt;/ div&gt; &lt;/ div&gt; &lt;div tabindex = "- 1" class = "airy-video-unsupported-dialog airy-stage airy-Vertical-centering-table airy-dialog airy-denied" style = "opacity: 0; visibility: hidden; "&gt; &lt;div tabindex =" - 1 "class =" airy-video-unsupported-Vertical-centering-table-cell airy-Vertical-centering-table-cell "&gt; &lt;div tabindex =" - 1 "class = "airy-Vertical-centering-wrapper airy-video-unsupported-elements-wrapper"&gt; &lt;div tabindex = "- 1" class = "airy-video-unsupported-elements airy-dialog-elements"&gt; &lt;div tabindex = " -1 "class =" airy-video-unsupported-prompt "&gt; &lt;/ div&gt; &lt;/ div&gt; &lt;/ div&gt; &lt;/ div&gt; &lt;/ div&gt; &lt;div tabindex =" - 1 "class =" airy-loading- spinner-stage airy-stage "&gt; &lt;div tabindex =" - 1 "class =" airy-loading-spinner-Vertical-centering-table-cell airy-Vertical-centering-table-cell "&gt; &lt;div tabindex =" - 1 "class =" airy-loading-spinner-container airy-scalable-hint-container "&gt; &lt;div tabindex =" - 1 "class =" airy-loading-spinner-dummy airy-scalable-dummy "&gt; &lt;/ div&gt; &lt; div tabindex = "- 1" class = "airy-loading-spinner airy-hint" style = "visibility: hidden;"&gt; &lt;/ div&gt; &lt;/ div&gt; &lt;/ div&gt; &lt;/ div&gt; &lt;div tabindex = "- 1 "class =" airy-ads-screen-size-toggle airy-screen-size-toggle-fullscreen airy "style =" visibility: hidden; "&gt; &lt;/ div&gt; &lt;div tabindex = "-1" class = "airy-ad-prompt-container" style = "visibility: hidden;"&gt; &lt;div tabindex = "- 1" class = "airy-ad-prompt-Vertical-centering-table-vertically airy centering-table "&gt; &lt;div tabindex =" - 1 "class =" airy-ad-prompt-Vertical-centering-table-cell airy-Vertical-centering-table-cell "&gt; &lt;div tabindex =" - 1 "class = "airy-ad-prompt-label"&gt; &lt;/ div&gt; &lt;/ div&gt; &lt;/ div&gt; &lt;/ div&gt; &lt;div tabindex = "- 1" class = "airy-ads-controls-container" style = "visibility: hidden; "&gt; &lt;div tabindex =" - 1 "class =" airy-ads-audio-toggle airy-audio-toggle airy-on "style =" visibility: hidden; "&gt; &lt;/ div&gt; &lt;div tabindex =" - 1 "class =" airy-time-remaining-label-container "&gt; &lt;div tabindex =" - 1 "class =" airy-time-remaining-Vertical-centering-table airy-Vertical-centering-table "&gt; &lt;div tabindex = "- 1" class = "airy-time-remaining-Vertical-centering-table-cell airy-Vertical-centering-table-cell"&gt; &lt;div tabindex = "- 1" class = "airy-Vertical-centering-wrapper airy-time-remaining-label-wrapper "&gt; &lt;div tabindex =" - 1 "class =" airy-time-remaining-label "style =" visibility: hidden; "&gt; &lt;/ div&gt; &lt;div tabi ndex = "- 1" class = "airy-ad-skip" style = "visibility: hidden;"&gt; &lt;/ div&gt; &lt;div tabindex = "- 1" class = "airy-ad-end" style = "visibility: hidden "&gt; &lt;/ div&gt; &lt;/ div&gt; &lt;/ div&gt; &lt;/ div&gt; &lt;/ div&gt; &lt;div tabindex =" - 1 "class =" airy-learn-more "style =" visibility: hidden; "&gt; &lt;/ div&gt; &lt;/ div&gt; &lt;div tabindex = "- 1" class = "airy-play-toggle-hint-stage airy-stage airy-cursor"&gt; &lt;div tabindex = "- 1" class = "airy-play -toggle-hint-Vertical-centering-table-cell airy-Vertical-centering-table-cell airy-cursor "&gt; &lt;div tabindex =" - 1 "class =" airy-play-toggle-hint-container airy-scalable- Hint-container "&gt; &lt;div tabindex =" - 1 "class =" airy-play-toggle-hint-dummy airy-scalable-dummy "&gt; &lt;/ div&gt; &lt;div tabindex =" - 1 "class =" airy-play -toggle-hint hint airy-airy-play-hint "style =" opacity: 1; visibility: visible; "&gt; &lt;/ div&gt; &lt;/ div&gt; &lt;/ div&gt; &lt;/ div&gt; &lt;div tabindex =" - 1 "class =" airy-replay-hint-stage airy-stage "style =" visibility: hidden ; "&gt; &lt;div tabindex =" - 1 "class =" airy-replay-hint-Vertical-centering-table-cell airy-Vertical-centering-table-cell airy-cursor "&gt; &lt;div tabindex =" - 1 "class = "airy-replay-hint-container airy-scalable-hint-container"&gt; &lt;div tabindex = "- 1" class = "airy-replay-hint-dummy airy-scalable-dummy"&gt; &lt;/ div&gt; &lt;div tabindex = "- 1" class = "airy-replay-hint airy-hint"&gt; &lt;/ div&gt; &lt;/ div&gt; &lt;/ div&gt; &lt;/ div&gt; &lt;div tabindex = "- 1" class = "airy-autoplay-hint -stage airy-stage "style =" visibility: hidden; "&gt; &lt;div tabindex =" - 1 "class =" airy-autoplay-hint-Vertical-centering-table-cell airy-Vertical-centering-table-cell airy- cursor "&gt; &lt;div tabindex =" - 1 "class =" autoplay airy-airy-hint-container-scalable-hint-container "&gt; &lt;div tabindex =" - 1 "class =" airy-autoplay-hint-dummy airy- scalable-dummy "&gt; &lt;/ div&gt; &lt;/ div&gt; &lt;/ div&gt; &lt;/ div&gt; &lt;/ div&gt; &lt;/ div&gt; &lt;input type =" hidden "name =" "value =" https: // images-eu .ssl-images-amazon.com / images / I / B1FM8pPI + QS.mp4 "Class =" video-url "&gt; &lt;input type =" hidden "name =" "value =" https://images-eu.ssl-images-amazon.com/images/I/81hRDIT+MpS.png "class = "video-slate-img-url"&gt; &amp; nbsp; good humidifier for the house smell good. I silent capacity, convina fragrances to smell as you like. I very satisfied with the very comfortable control.</v>
      </c>
    </row>
    <row r="3323">
      <c r="A3323" s="1">
        <v>5.0</v>
      </c>
      <c r="B3323" s="1" t="s">
        <v>3307</v>
      </c>
      <c r="C3323" t="str">
        <f>IFERROR(__xludf.DUMMYFUNCTION("GOOGLETRANSLATE(B3323, ""es"", ""en"")"),"Good sound The charging base has a lot of autonomy. They have good sound quality. At the beginning you have to get used to them, but once you get used without problem.")</f>
        <v>Good sound The charging base has a lot of autonomy. They have good sound quality. At the beginning you have to get used to them, but once you get used without problem.</v>
      </c>
    </row>
    <row r="3324">
      <c r="A3324" s="1">
        <v>5.0</v>
      </c>
      <c r="B3324" s="1" t="s">
        <v>3308</v>
      </c>
      <c r="C3324" t="str">
        <f>IFERROR(__xludf.DUMMYFUNCTION("GOOGLETRANSLATE(B3324, ""es"", ""en"")"),"Great product and quality. As it looks in the photos. Very good quality production and materials. Great brand of undergarments.")</f>
        <v>Great product and quality. As it looks in the photos. Very good quality production and materials. Great brand of undergarments.</v>
      </c>
    </row>
    <row r="3325">
      <c r="A3325" s="1">
        <v>5.0</v>
      </c>
      <c r="B3325" s="1" t="s">
        <v>3309</v>
      </c>
      <c r="C3325" t="str">
        <f>IFERROR(__xludf.DUMMYFUNCTION("GOOGLETRANSLATE(B3325, ""es"", ""en"")"),"Clock clock performance and super practical and very comfortable. It weighs nothing, has several functions and looks great in the dark. For everyday is very good option even when you're more settled.")</f>
        <v>Clock clock performance and super practical and very comfortable. It weighs nothing, has several functions and looks great in the dark. For everyday is very good option even when you're more settled.</v>
      </c>
    </row>
    <row r="3326">
      <c r="A3326" s="1">
        <v>5.0</v>
      </c>
      <c r="B3326" s="1" t="s">
        <v>3310</v>
      </c>
      <c r="C3326" t="str">
        <f>IFERROR(__xludf.DUMMYFUNCTION("GOOGLETRANSLATE(B3326, ""es"", ""en"")"),"Quality and comfort perfect and very toasty!")</f>
        <v>Quality and comfort perfect and very toasty!</v>
      </c>
    </row>
    <row r="3327">
      <c r="A3327" s="1">
        <v>5.0</v>
      </c>
      <c r="B3327" s="1" t="s">
        <v>3311</v>
      </c>
      <c r="C3327" t="str">
        <f>IFERROR(__xludf.DUMMYFUNCTION("GOOGLETRANSLATE(B3327, ""es"", ""en"")"),"Incredible quality incredible quality for the price")</f>
        <v>Incredible quality incredible quality for the price</v>
      </c>
    </row>
    <row r="3328">
      <c r="A3328" s="1">
        <v>5.0</v>
      </c>
      <c r="B3328" s="1" t="s">
        <v>3312</v>
      </c>
      <c r="C3328" t="str">
        <f>IFERROR(__xludf.DUMMYFUNCTION("GOOGLETRANSLATE(B3328, ""es"", ""en"")"),"Good helmets are very good value for money, sound great, I have no complaint and quite high, soon I became deaf, are comfortable, and the battery lasts enough, start to load when I remember and I do not usually get me out of battery the only ""catch"" is "&amp;"that you would put as much use for the gym, working, etc do not have earmarks of being too tough and I possibly lasting less than what would last, but that's my case. The truth that is a great comfort to be wireless and they work quite a distance from the"&amp;" device which is connected. I recommend it.")</f>
        <v>Good helmets are very good value for money, sound great, I have no complaint and quite high, soon I became deaf, are comfortable, and the battery lasts enough, start to load when I remember and I do not usually get me out of battery the only "catch" is that you would put as much use for the gym, working, etc do not have earmarks of being too tough and I possibly lasting less than what would last, but that's my case. The truth that is a great comfort to be wireless and they work quite a distance from the device which is connected. I recommend it.</v>
      </c>
    </row>
    <row r="3329">
      <c r="A3329" s="1">
        <v>5.0</v>
      </c>
      <c r="B3329" s="1" t="s">
        <v>3313</v>
      </c>
      <c r="C3329" t="str">
        <f>IFERROR(__xludf.DUMMYFUNCTION("GOOGLETRANSLATE(B3329, ""es"", ""en"")"),"Quality and price the speed of the process")</f>
        <v>Quality and price the speed of the process</v>
      </c>
    </row>
    <row r="3330">
      <c r="A3330" s="1">
        <v>5.0</v>
      </c>
      <c r="B3330" s="1" t="s">
        <v>3314</v>
      </c>
      <c r="C3330" t="str">
        <f>IFERROR(__xludf.DUMMYFUNCTION("GOOGLETRANSLATE(B3330, ""es"", ""en"")"),"A good product and with the expected quality is just what I wanted and is perfect")</f>
        <v>A good product and with the expected quality is just what I wanted and is perfect</v>
      </c>
    </row>
    <row r="3331">
      <c r="A3331" s="1">
        <v>5.0</v>
      </c>
      <c r="B3331" s="1" t="s">
        <v>3315</v>
      </c>
      <c r="C3331" t="str">
        <f>IFERROR(__xludf.DUMMYFUNCTION("GOOGLETRANSLATE(B3331, ""es"", ""en"")"),"Powerful and balanced sound for portable devices and good fit in the ear Just what I expected from this brand and for that price range. I'm used to a Sennheiser studio and I am not satisfied with anything. These MX 365 offer a clean sound, without striden"&amp;"t treble and bass with good presence. Regarding the latter, of course, you do not expect the same response as in a standard headset helmets 25-30 euros, but get used to listening to electronic music and drums and bass are very present and without distorti"&amp;"on. Logically, the bass also lost a bit in environments with traffic or wind. I recommend especially for mp3 and mobile, which is what they are designed. Connected to the audio output of a PC, for example, the sound is weaker appreciated that portable dev"&amp;"ices mentioned. The adjustment in the ear is pretty good. I've used to run and, with pads placed, not one iota move. Not transmit noise and vibrations of internal components, as some users say the Sennheiser MX 170 in the elbow end of the pin see it a lit"&amp;"tle thin, although it seems tough. The pair of pads included is also fine, and if the headphones are not removed carefully, can fall. For these reasons, I recommend buying replacement pads (I bought a batch of 30 per € 0.90). In short, perfect in value.")</f>
        <v>Powerful and balanced sound for portable devices and good fit in the ear Just what I expected from this brand and for that price range. I'm used to a Sennheiser studio and I am not satisfied with anything. These MX 365 offer a clean sound, without strident treble and bass with good presence. Regarding the latter, of course, you do not expect the same response as in a standard headset helmets 25-30 euros, but get used to listening to electronic music and drums and bass are very present and without distortion. Logically, the bass also lost a bit in environments with traffic or wind. I recommend especially for mp3 and mobile, which is what they are designed. Connected to the audio output of a PC, for example, the sound is weaker appreciated that portable devices mentioned. The adjustment in the ear is pretty good. I've used to run and, with pads placed, not one iota move. Not transmit noise and vibrations of internal components, as some users say the Sennheiser MX 170 in the elbow end of the pin see it a little thin, although it seems tough. The pair of pads included is also fine, and if the headphones are not removed carefully, can fall. For these reasons, I recommend buying replacement pads (I bought a batch of 30 per € 0.90). In short, perfect in value.</v>
      </c>
    </row>
    <row r="3332">
      <c r="A3332" s="1">
        <v>5.0</v>
      </c>
      <c r="B3332" s="1" t="s">
        <v>3316</v>
      </c>
      <c r="C3332" t="str">
        <f>IFERROR(__xludf.DUMMYFUNCTION("GOOGLETRANSLATE(B3332, ""es"", ""en"")"),"The comfort. They are very comfortable!")</f>
        <v>The comfort. They are very comfortable!</v>
      </c>
    </row>
    <row r="3333">
      <c r="A3333" s="1">
        <v>5.0</v>
      </c>
      <c r="B3333" s="1" t="s">
        <v>3317</v>
      </c>
      <c r="C3333" t="str">
        <f>IFERROR(__xludf.DUMMYFUNCTION("GOOGLETRANSLATE(B3333, ""es"", ""en"")"),"Better than expected Much better than I expected. Quiet, and very effective. I have a query I use massage and 10 minutes before each massage. I used to have one that cost me 150 euros and burned. It's clear that if this burns me buy another the same. I am"&amp;" very satisfied.")</f>
        <v>Better than expected Much better than I expected. Quiet, and very effective. I have a query I use massage and 10 minutes before each massage. I used to have one that cost me 150 euros and burned. It's clear that if this burns me buy another the same. I am very satisfied.</v>
      </c>
    </row>
    <row r="3334">
      <c r="A3334" s="1">
        <v>5.0</v>
      </c>
      <c r="B3334" s="1" t="s">
        <v>3318</v>
      </c>
      <c r="C3334" t="str">
        <f>IFERROR(__xludf.DUMMYFUNCTION("GOOGLETRANSLATE(B3334, ""es"", ""en"")"),"Recistente Very nice and beautiful and very recistente tube to return the vape but the case charm me,")</f>
        <v>Recistente Very nice and beautiful and very recistente tube to return the vape but the case charm me,</v>
      </c>
    </row>
    <row r="3335">
      <c r="A3335" s="1">
        <v>5.0</v>
      </c>
      <c r="B3335" s="1" t="s">
        <v>3319</v>
      </c>
      <c r="C3335" t="str">
        <f>IFERROR(__xludf.DUMMYFUNCTION("GOOGLETRANSLATE(B3335, ""es"", ""en"")"),"They are very comfortable perfect. The Embio very fast and resist all kinds of liquid")</f>
        <v>They are very comfortable perfect. The Embio very fast and resist all kinds of liquid</v>
      </c>
    </row>
    <row r="3336">
      <c r="A3336" s="1">
        <v>5.0</v>
      </c>
      <c r="B3336" s="1" t="s">
        <v>3320</v>
      </c>
      <c r="C3336" t="str">
        <f>IFERROR(__xludf.DUMMYFUNCTION("GOOGLETRANSLATE(B3336, ""es"", ""en"")"),"THE JOY OF MY DRINK my baby is 5 months old and I played incorporme work was alone with exclusive breastfeeding spent a week trying to cogiese biberon but a brand that utilize cuandi born who did not know even my nipple (4 days until I climbed milk) and a"&amp;"s queeeeva that tetina not like him much crying her pediatrician recommended me this brand and was uman asierto total and the first two or three shots takes his bottle apacionadamente .lo RECOMIENDO")</f>
        <v>THE JOY OF MY DRINK my baby is 5 months old and I played incorporme work was alone with exclusive breastfeeding spent a week trying to cogiese biberon but a brand that utilize cuandi born who did not know even my nipple (4 days until I climbed milk) and as queeeeva that tetina not like him much crying her pediatrician recommended me this brand and was uman asierto total and the first two or three shots takes his bottle apacionadamente .lo RECOMIENDO</v>
      </c>
    </row>
    <row r="3337">
      <c r="A3337" s="1">
        <v>5.0</v>
      </c>
      <c r="B3337" s="1" t="s">
        <v>3321</v>
      </c>
      <c r="C3337" t="str">
        <f>IFERROR(__xludf.DUMMYFUNCTION("GOOGLETRANSLATE(B3337, ""es"", ""en"")"),"Joma All products in perfect condition have time and are very comfortable. Yes you measure 180 or more have to buy the XXL on for a perfect fit because")</f>
        <v>Joma All products in perfect condition have time and are very comfortable. Yes you measure 180 or more have to buy the XXL on for a perfect fit because</v>
      </c>
    </row>
    <row r="3338">
      <c r="A3338" s="1">
        <v>5.0</v>
      </c>
      <c r="B3338" s="1" t="s">
        <v>3322</v>
      </c>
      <c r="C3338" t="str">
        <f>IFERROR(__xludf.DUMMYFUNCTION("GOOGLETRANSLATE(B3338, ""es"", ""en"")"),"May I use daily and is perfect")</f>
        <v>May I use daily and is perfect</v>
      </c>
    </row>
    <row r="3339">
      <c r="A3339" s="1">
        <v>5.0</v>
      </c>
      <c r="B3339" s="1" t="s">
        <v>3323</v>
      </c>
      <c r="C3339" t="str">
        <f>IFERROR(__xludf.DUMMYFUNCTION("GOOGLETRANSLATE(B3339, ""es"", ""en"")"),"Well presented and very good aroma Las bought for the humidifier and leave very good whiff in the room throwing a 3 drops per 100ml is enough. There are 3 soft aroma and 3 other fairly intense aroma; 6 boats come in a box very well presented and have a co"&amp;"nsiderable size.")</f>
        <v>Well presented and very good aroma Las bought for the humidifier and leave very good whiff in the room throwing a 3 drops per 100ml is enough. There are 3 soft aroma and 3 other fairly intense aroma; 6 boats come in a box very well presented and have a considerable size.</v>
      </c>
    </row>
    <row r="3340">
      <c r="A3340" s="1">
        <v>5.0</v>
      </c>
      <c r="B3340" s="1" t="s">
        <v>3324</v>
      </c>
      <c r="C3340" t="str">
        <f>IFERROR(__xludf.DUMMYFUNCTION("GOOGLETRANSLATE(B3340, ""es"", ""en"")"),"Staples High Quality No rust. Took several boxes bought and certainly no problem with staplers. It is not clogged and the result is firm.")</f>
        <v>Staples High Quality No rust. Took several boxes bought and certainly no problem with staplers. It is not clogged and the result is firm.</v>
      </c>
    </row>
    <row r="3341">
      <c r="A3341" s="1">
        <v>5.0</v>
      </c>
      <c r="B3341" s="1" t="s">
        <v>3325</v>
      </c>
      <c r="C3341" t="str">
        <f>IFERROR(__xludf.DUMMYFUNCTION("GOOGLETRANSLATE(B3341, ""es"", ""en"")"),"Simply excellent!!! It is one of these articles in paragraph value is second to none. You can hardly believe that just over 25 € get a headset well done in terms of materials, outstanding sound (always considering the price), bluetooth, hands-free, super "&amp;"comfortable and a long battery. Come on .., at that price .. impossible! The first had bought for my son. I arrived today and after trying other feel free to ask for me. I had many ... today was wearing a JBL C45BT (I cost 69 €). Well I prefer MPOW H7, no"&amp;" doubt!")</f>
        <v>Simply excellent!!! It is one of these articles in paragraph value is second to none. You can hardly believe that just over 25 € get a headset well done in terms of materials, outstanding sound (always considering the price), bluetooth, hands-free, super comfortable and a long battery. Come on .., at that price .. impossible! The first had bought for my son. I arrived today and after trying other feel free to ask for me. I had many ... today was wearing a JBL C45BT (I cost 69 €). Well I prefer MPOW H7, no doubt!</v>
      </c>
    </row>
    <row r="3342">
      <c r="A3342" s="1">
        <v>2.0</v>
      </c>
      <c r="B3342" s="1" t="s">
        <v>3326</v>
      </c>
      <c r="C3342" t="str">
        <f>IFERROR(__xludf.DUMMYFUNCTION("GOOGLETRANSLATE(B3342, ""es"", ""en"")"),"The I requested disappointed thinking I was going to be useful and have a bit disappointed because I thought I would give more heat. Take to a temperature hot but I see a lot, I'm used to be a sack I have to heat it in the microwave, which gets hotter and"&amp;" also spread around the sack. And in this pad, it takes on some areas and too low, even setting it to the maximum.")</f>
        <v>The I requested disappointed thinking I was going to be useful and have a bit disappointed because I thought I would give more heat. Take to a temperature hot but I see a lot, I'm used to be a sack I have to heat it in the microwave, which gets hotter and also spread around the sack. And in this pad, it takes on some areas and too low, even setting it to the maximum.</v>
      </c>
    </row>
    <row r="3343">
      <c r="A3343" s="1">
        <v>3.0</v>
      </c>
      <c r="B3343" s="1" t="s">
        <v>3327</v>
      </c>
      <c r="C3343" t="str">
        <f>IFERROR(__xludf.DUMMYFUNCTION("GOOGLETRANSLATE(B3343, ""es"", ""en"")"),"No harsh odor in the diffuser I sincerely buy Diffuser and the first 5-10 min smells pretty but no longer ... then put it drops to 5 but I made at least 15 and no .... smell and hard as I applied it if the body is not hydrated or not ....")</f>
        <v>No harsh odor in the diffuser I sincerely buy Diffuser and the first 5-10 min smells pretty but no longer ... then put it drops to 5 but I made at least 15 and no .... smell and hard as I applied it if the body is not hydrated or not ....</v>
      </c>
    </row>
    <row r="3344">
      <c r="A3344" s="1">
        <v>1.0</v>
      </c>
      <c r="B3344" s="1" t="s">
        <v>3328</v>
      </c>
      <c r="C3344" t="str">
        <f>IFERROR(__xludf.DUMMYFUNCTION("GOOGLETRANSLATE(B3344, ""es"", ""en"")"),"Until he stopped working very well worked one month; then he stopped working, without more. Or USB, or changing batteries ... nothing. It is connected and turned on but no longer works. Does nothing. Until it stopped working was perfect. Shame is picked w"&amp;"ell, it worked quite a distance, very convenient for presentations ... they only hold one month !!!!")</f>
        <v>Until he stopped working very well worked one month; then he stopped working, without more. Or USB, or changing batteries ... nothing. It is connected and turned on but no longer works. Does nothing. Until it stopped working was perfect. Shame is picked well, it worked quite a distance, very convenient for presentations ... they only hold one month !!!!</v>
      </c>
    </row>
    <row r="3345">
      <c r="A3345" s="1">
        <v>1.0</v>
      </c>
      <c r="B3345" s="1" t="s">
        <v>3329</v>
      </c>
      <c r="C3345" t="str">
        <f>IFERROR(__xludf.DUMMYFUNCTION("GOOGLETRANSLATE(B3345, ""es"", ""en"")"),"Failures wheel adjustment wheel adjustment (which is the most important of this article) fails regularly and makes it difficult securing compass.")</f>
        <v>Failures wheel adjustment wheel adjustment (which is the most important of this article) fails regularly and makes it difficult securing compass.</v>
      </c>
    </row>
    <row r="3346">
      <c r="A3346" s="1">
        <v>4.0</v>
      </c>
      <c r="B3346" s="1" t="s">
        <v>3330</v>
      </c>
      <c r="C3346" t="str">
        <f>IFERROR(__xludf.DUMMYFUNCTION("GOOGLETRANSLATE(B3346, ""es"", ""en"")"),"A little weak but well priced. I see a little shaky at the least the connectors although the price is not more you can ask.")</f>
        <v>A little weak but well priced. I see a little shaky at the least the connectors although the price is not more you can ask.</v>
      </c>
    </row>
    <row r="3347">
      <c r="A3347" s="1">
        <v>4.0</v>
      </c>
      <c r="B3347" s="1" t="s">
        <v>3331</v>
      </c>
      <c r="C3347" t="str">
        <f>IFERROR(__xludf.DUMMYFUNCTION("GOOGLETRANSLATE(B3347, ""es"", ""en"")"),"Do their job like I have a perfect medium to stay connected with helmets to the computer, so far they have not given me any failure")</f>
        <v>Do their job like I have a perfect medium to stay connected with helmets to the computer, so far they have not given me any failure</v>
      </c>
    </row>
    <row r="3348">
      <c r="A3348" s="1">
        <v>4.0</v>
      </c>
      <c r="B3348" s="1" t="s">
        <v>3332</v>
      </c>
      <c r="C3348" t="str">
        <f>IFERROR(__xludf.DUMMYFUNCTION("GOOGLETRANSLATE(B3348, ""es"", ""en"")"),"The best you can get at that price are very good headphones for the price they have, their case is very practical and small, but I struggled out of their magnetic base and hit the button are wanting, also putting them in the ears, and wanting to further a"&amp;"djust the bottom, push the button to turn off. they are still very good.")</f>
        <v>The best you can get at that price are very good headphones for the price they have, their case is very practical and small, but I struggled out of their magnetic base and hit the button are wanting, also putting them in the ears, and wanting to further adjust the bottom, push the button to turn off. they are still very good.</v>
      </c>
    </row>
    <row r="3349">
      <c r="A3349" s="1">
        <v>4.0</v>
      </c>
      <c r="B3349" s="1" t="s">
        <v>3333</v>
      </c>
      <c r="C3349" t="str">
        <f>IFERROR(__xludf.DUMMYFUNCTION("GOOGLETRANSLATE(B3349, ""es"", ""en"")"),"Good product met expectations. Good design. Comfortable.")</f>
        <v>Good product met expectations. Good design. Comfortable.</v>
      </c>
    </row>
    <row r="3350">
      <c r="A3350" s="1">
        <v>4.0</v>
      </c>
      <c r="B3350" s="1" t="s">
        <v>3334</v>
      </c>
      <c r="C3350" t="str">
        <f>IFERROR(__xludf.DUMMYFUNCTION("GOOGLETRANSLATE(B3350, ""es"", ""en"")"),"By recomendabiles very Prieco are two best phines of the market! Excellent! I recommend! No Isolan noise, perhaps the only falha !!")</f>
        <v>By recomendabiles very Prieco are two best phines of the market! Excellent! I recommend! No Isolan noise, perhaps the only falha !!</v>
      </c>
    </row>
    <row r="3351">
      <c r="A3351" s="1">
        <v>5.0</v>
      </c>
      <c r="B3351" s="1" t="s">
        <v>3335</v>
      </c>
      <c r="C3351" t="str">
        <f>IFERROR(__xludf.DUMMYFUNCTION("GOOGLETRANSLATE(B3351, ""es"", ""en"")"),"Perfect Very good")</f>
        <v>Perfect Very good</v>
      </c>
    </row>
    <row r="3352">
      <c r="A3352" s="1">
        <v>5.0</v>
      </c>
      <c r="B3352" s="1" t="s">
        <v>3336</v>
      </c>
      <c r="C3352" t="str">
        <f>IFERROR(__xludf.DUMMYFUNCTION("GOOGLETRANSLATE(B3352, ""es"", ""en"")"),"They are very discrete perfect headphones, I used while doing sports and it seems neither that you shall bear positions. The design and the cargo box are very elegant.")</f>
        <v>They are very discrete perfect headphones, I used while doing sports and it seems neither that you shall bear positions. The design and the cargo box are very elegant.</v>
      </c>
    </row>
    <row r="3353">
      <c r="A3353" s="1">
        <v>5.0</v>
      </c>
      <c r="B3353" s="1" t="s">
        <v>3337</v>
      </c>
      <c r="C3353" t="str">
        <f>IFERROR(__xludf.DUMMYFUNCTION("GOOGLETRANSLATE(B3353, ""es"", ""en"")"),"Successful gift I bought for a gift. The addressee was encantanda both the jewel design as the presentation of the product, and after using it two weeks, almost every day, has not had any type of allergy, has not obscured the chain, and stones continue th"&amp;"e same brightness. Therefore, I give full marks but I must admit that I personally thought it was a little bigger.")</f>
        <v>Successful gift I bought for a gift. The addressee was encantanda both the jewel design as the presentation of the product, and after using it two weeks, almost every day, has not had any type of allergy, has not obscured the chain, and stones continue the same brightness. Therefore, I give full marks but I must admit that I personally thought it was a little bigger.</v>
      </c>
    </row>
    <row r="3354">
      <c r="A3354" s="1">
        <v>5.0</v>
      </c>
      <c r="B3354" s="1" t="s">
        <v>3338</v>
      </c>
      <c r="C3354" t="str">
        <f>IFERROR(__xludf.DUMMYFUNCTION("GOOGLETRANSLATE(B3354, ""es"", ""en"")"),"Excellent photo studio is perfect for items or if you have a web page upload photos of products etc. A good photo studio for a small price Intercambiamles comes with various backgrounds and lamps are very good. I am delighted with the product.")</f>
        <v>Excellent photo studio is perfect for items or if you have a web page upload photos of products etc. A good photo studio for a small price Intercambiamles comes with various backgrounds and lamps are very good. I am delighted with the product.</v>
      </c>
    </row>
    <row r="3355">
      <c r="A3355" s="1">
        <v>5.0</v>
      </c>
      <c r="B3355" s="1" t="s">
        <v>3339</v>
      </c>
      <c r="C3355" t="str">
        <f>IFERROR(__xludf.DUMMYFUNCTION("GOOGLETRANSLATE(B3355, ""es"", ""en"")"),"Good proportion finishes and size. I bought it for the lobe and it's just perfect. I is what I wanted.")</f>
        <v>Good proportion finishes and size. I bought it for the lobe and it's just perfect. I is what I wanted.</v>
      </c>
    </row>
    <row r="3356">
      <c r="A3356" s="1">
        <v>5.0</v>
      </c>
      <c r="B3356" s="1" t="s">
        <v>3340</v>
      </c>
      <c r="C3356" t="str">
        <f>IFERROR(__xludf.DUMMYFUNCTION("GOOGLETRANSLATE(B3356, ""es"", ""en"")"),"Fast and quality With I not see very competitive price best choice. After a few months of use she did not give me a single problem, and I can no longer use a computer without this fluidity and speed when turning and opening applications")</f>
        <v>Fast and quality With I not see very competitive price best choice. After a few months of use she did not give me a single problem, and I can no longer use a computer without this fluidity and speed when turning and opening applications</v>
      </c>
    </row>
    <row r="3357">
      <c r="A3357" s="1">
        <v>5.0</v>
      </c>
      <c r="B3357" s="1" t="s">
        <v>3341</v>
      </c>
      <c r="C3357" t="str">
        <f>IFERROR(__xludf.DUMMYFUNCTION("GOOGLETRANSLATE(B3357, ""es"", ""en"")"),"Excellent Very good all")</f>
        <v>Excellent Very good all</v>
      </c>
    </row>
    <row r="3358">
      <c r="A3358" s="1">
        <v>5.0</v>
      </c>
      <c r="B3358" s="1" t="s">
        <v>3342</v>
      </c>
      <c r="C3358" t="str">
        <f>IFERROR(__xludf.DUMMYFUNCTION("GOOGLETRANSLATE(B3358, ""es"", ""en"")"),"Very good buy. It is very small and once set in an almost does not protrude port that is what I wanted because I drive a bus and passing people had already broken me 2. To this without that problem until it breaks by itself. I usually only use for music, "&amp;"it warmed a bit but it should be normal with this size. It is scratching a little because it is very tight but not too much notice. From now on whenever you need a skewer of this capacity certainly I buy this.")</f>
        <v>Very good buy. It is very small and once set in an almost does not protrude port that is what I wanted because I drive a bus and passing people had already broken me 2. To this without that problem until it breaks by itself. I usually only use for music, it warmed a bit but it should be normal with this size. It is scratching a little because it is very tight but not too much notice. From now on whenever you need a skewer of this capacity certainly I buy this.</v>
      </c>
    </row>
    <row r="3359">
      <c r="A3359" s="1">
        <v>5.0</v>
      </c>
      <c r="B3359" s="1" t="s">
        <v>3343</v>
      </c>
      <c r="C3359" t="str">
        <f>IFERROR(__xludf.DUMMYFUNCTION("GOOGLETRANSLATE(B3359, ""es"", ""en"")"),"He was looking for ice symbol symbol pendant ice as Frozen drawings for my niece and I found this and perfect. This delighted to wear it and think of it as the wrist! Very satisfied with this brand.")</f>
        <v>He was looking for ice symbol symbol pendant ice as Frozen drawings for my niece and I found this and perfect. This delighted to wear it and think of it as the wrist! Very satisfied with this brand.</v>
      </c>
    </row>
    <row r="3360">
      <c r="A3360" s="1">
        <v>5.0</v>
      </c>
      <c r="B3360" s="1" t="s">
        <v>3344</v>
      </c>
      <c r="C3360" t="str">
        <f>IFERROR(__xludf.DUMMYFUNCTION("GOOGLETRANSLATE(B3360, ""es"", ""en"")"),"The great produto! I use it to calientar my bed, and it works very well.")</f>
        <v>The great produto! I use it to calientar my bed, and it works very well.</v>
      </c>
    </row>
    <row r="3361">
      <c r="A3361" s="1">
        <v>5.0</v>
      </c>
      <c r="B3361" s="1" t="s">
        <v>3345</v>
      </c>
      <c r="C3361" t="str">
        <f>IFERROR(__xludf.DUMMYFUNCTION("GOOGLETRANSLATE(B3361, ""es"", ""en"")"),"Very good product good buy, everyone who has tried my happy family, I know more than one gift for his birthday jejejej. The massage gives the pressure as you efectúes to the couch gets you well contractures, I recommend good buy.")</f>
        <v>Very good product good buy, everyone who has tried my happy family, I know more than one gift for his birthday jejejej. The massage gives the pressure as you efectúes to the couch gets you well contractures, I recommend good buy.</v>
      </c>
    </row>
    <row r="3362">
      <c r="A3362" s="1">
        <v>5.0</v>
      </c>
      <c r="B3362" s="1" t="s">
        <v>3346</v>
      </c>
      <c r="C3362" t="str">
        <f>IFERROR(__xludf.DUMMYFUNCTION("GOOGLETRANSLATE(B3362, ""es"", ""en"")"),"Light and strong grip. The battery lasts long, with the advantage of being loaded into the same box where are stored when not in use (you just have to be aware of burdening box, of course). You can use both or only one (being the right the principal), whi"&amp;"ch sometimes is appreciated if you do not want / can isolate much. I have connected to the phone, a computer and the SMART TV. When the power of the cargo is less than 20%, the indicator light load box flash red every 3 seconds. Load the cargo in time and"&amp;" can be fully charged in about 1.5 hours. A Load the cargo box, the indicator of the cargo will continue lit red, and full light will become a steady blue light. HD stereo headphones provide a truly natural sound with powerful bass response. These headpho"&amp;"nes will make you enjoy music with great sound quality. They are very good headphones, as I have understood, this is an update of the headset.")</f>
        <v>Light and strong grip. The battery lasts long, with the advantage of being loaded into the same box where are stored when not in use (you just have to be aware of burdening box, of course). You can use both or only one (being the right the principal), which sometimes is appreciated if you do not want / can isolate much. I have connected to the phone, a computer and the SMART TV. When the power of the cargo is less than 20%, the indicator light load box flash red every 3 seconds. Load the cargo in time and can be fully charged in about 1.5 hours. A Load the cargo box, the indicator of the cargo will continue lit red, and full light will become a steady blue light. HD stereo headphones provide a truly natural sound with powerful bass response. These headphones will make you enjoy music with great sound quality. They are very good headphones, as I have understood, this is an update of the headset.</v>
      </c>
    </row>
    <row r="3363">
      <c r="A3363" s="1">
        <v>5.0</v>
      </c>
      <c r="B3363" s="1" t="s">
        <v>3347</v>
      </c>
      <c r="C3363" t="str">
        <f>IFERROR(__xludf.DUMMYFUNCTION("GOOGLETRANSLATE(B3363, ""es"", ""en"")"),"Great value Just what I expected")</f>
        <v>Great value Just what I expected</v>
      </c>
    </row>
    <row r="3364">
      <c r="A3364" s="1">
        <v>5.0</v>
      </c>
      <c r="B3364" s="1" t="s">
        <v>3348</v>
      </c>
      <c r="C3364" t="str">
        <f>IFERROR(__xludf.DUMMYFUNCTION("GOOGLETRANSLATE(B3364, ""es"", ""en"")"),"Good value for money Easy to install, amazing value for money")</f>
        <v>Good value for money Easy to install, amazing value for money</v>
      </c>
    </row>
    <row r="3365">
      <c r="A3365" s="1">
        <v>5.0</v>
      </c>
      <c r="B3365" s="1" t="s">
        <v>3349</v>
      </c>
      <c r="C3365" t="str">
        <f>IFERROR(__xludf.DUMMYFUNCTION("GOOGLETRANSLATE(B3365, ""es"", ""en"")"),"Recommended Quin loves to the massage is great. Massage that gives pleasure. It has two balls on each side as seen in the photo. It has two positions, fixed with heat light or rotating giving a massage with light. Who would love massages, I recommend")</f>
        <v>Recommended Quin loves to the massage is great. Massage that gives pleasure. It has two balls on each side as seen in the photo. It has two positions, fixed with heat light or rotating giving a massage with light. Who would love massages, I recommend</v>
      </c>
    </row>
    <row r="3366">
      <c r="A3366" s="1">
        <v>5.0</v>
      </c>
      <c r="B3366" s="1" t="s">
        <v>3350</v>
      </c>
      <c r="C3366" t="str">
        <f>IFERROR(__xludf.DUMMYFUNCTION("GOOGLETRANSLATE(B3366, ""es"", ""en"")"),"Velcro adhesive, and Buenos tots. Velcro adhesives come in 10 sheets, 5 of each. They are smaller than I expected, but the velcro is quality, as well as are small they can get better and if necessary can 2. They are good.")</f>
        <v>Velcro adhesive, and Buenos tots. Velcro adhesives come in 10 sheets, 5 of each. They are smaller than I expected, but the velcro is quality, as well as are small they can get better and if necessary can 2. They are good.</v>
      </c>
    </row>
    <row r="3367">
      <c r="A3367" s="1">
        <v>5.0</v>
      </c>
      <c r="B3367" s="1" t="s">
        <v>3351</v>
      </c>
      <c r="C3367" t="str">
        <f>IFERROR(__xludf.DUMMYFUNCTION("GOOGLETRANSLATE(B3367, ""es"", ""en"")"),"Good buy The purchase was very good and very fast. The book came in excellent condition, so if you're worried about sending in my case I had no problem with. About the Book there is little to say, it was exactly what I wanted.")</f>
        <v>Good buy The purchase was very good and very fast. The book came in excellent condition, so if you're worried about sending in my case I had no problem with. About the Book there is little to say, it was exactly what I wanted.</v>
      </c>
    </row>
    <row r="3368">
      <c r="A3368" s="1">
        <v>5.0</v>
      </c>
      <c r="B3368" s="1" t="s">
        <v>3352</v>
      </c>
      <c r="C3368" t="str">
        <f>IFERROR(__xludf.DUMMYFUNCTION("GOOGLETRANSLATE(B3368, ""es"", ""en"")"),"Perfect, good quality. It just works.")</f>
        <v>Perfect, good quality. It just works.</v>
      </c>
    </row>
    <row r="3369">
      <c r="A3369" s="1">
        <v>5.0</v>
      </c>
      <c r="B3369" s="1" t="s">
        <v>3353</v>
      </c>
      <c r="C3369" t="str">
        <f>IFERROR(__xludf.DUMMYFUNCTION("GOOGLETRANSLATE(B3369, ""es"", ""en"")"),"Very comfortable very comfortable, ideal for the beach, to be at home or walking in summer. They dry in a minute and do not sweat the feet. They are not plastic like the Chinese. Thanks very well allow you to walk back to the tape. Would buy them.")</f>
        <v>Very comfortable very comfortable, ideal for the beach, to be at home or walking in summer. They dry in a minute and do not sweat the feet. They are not plastic like the Chinese. Thanks very well allow you to walk back to the tape. Would buy them.</v>
      </c>
    </row>
    <row r="3370">
      <c r="A3370" s="1">
        <v>2.0</v>
      </c>
      <c r="B3370" s="1" t="s">
        <v>3354</v>
      </c>
      <c r="C3370" t="str">
        <f>IFERROR(__xludf.DUMMYFUNCTION("GOOGLETRANSLATE(B3370, ""es"", ""en"")"),"Cable takes turns chose the product by customer feedback, but I think I overlooked if one of them said he was taking turns. And take them. It is away a bit of the amplifier, and back away again and I have to disconnect that has taken many turns. So you ca"&amp;"n not touch. No I've put fewer stars because the sound is good (of course) but initially not recommend it.")</f>
        <v>Cable takes turns chose the product by customer feedback, but I think I overlooked if one of them said he was taking turns. And take them. It is away a bit of the amplifier, and back away again and I have to disconnect that has taken many turns. So you can not touch. No I've put fewer stars because the sound is good (of course) but initially not recommend it.</v>
      </c>
    </row>
    <row r="3371">
      <c r="A3371" s="1">
        <v>3.0</v>
      </c>
      <c r="B3371" s="1" t="s">
        <v>3355</v>
      </c>
      <c r="C3371" t="str">
        <f>IFERROR(__xludf.DUMMYFUNCTION("GOOGLETRANSLATE(B3371, ""es"", ""en"")"),"I did not like the order as it was sent did not like to come every trinket separately, I would have liked to have Biera come all together in a box")</f>
        <v>I did not like the order as it was sent did not like to come every trinket separately, I would have liked to have Biera come all together in a box</v>
      </c>
    </row>
    <row r="3372">
      <c r="A3372" s="1">
        <v>3.0</v>
      </c>
      <c r="B3372" s="1" t="s">
        <v>3356</v>
      </c>
      <c r="C3372" t="str">
        <f>IFERROR(__xludf.DUMMYFUNCTION("GOOGLETRANSLATE(B3372, ""es"", ""en"")"),"Smart For the price it is very well ...")</f>
        <v>Smart For the price it is very well ...</v>
      </c>
    </row>
    <row r="3373">
      <c r="A3373" s="1">
        <v>1.0</v>
      </c>
      <c r="B3373" s="1" t="s">
        <v>3357</v>
      </c>
      <c r="C3373" t="str">
        <f>IFERROR(__xludf.DUMMYFUNCTION("GOOGLETRANSLATE(B3373, ""es"", ""en"")"),"Everything bad choice will ironing is leaving adhered to its board had some, then mancharte the next garment. Very unhappy with it.")</f>
        <v>Everything bad choice will ironing is leaving adhered to its board had some, then mancharte the next garment. Very unhappy with it.</v>
      </c>
    </row>
    <row r="3374">
      <c r="A3374" s="1">
        <v>1.0</v>
      </c>
      <c r="B3374" s="1" t="s">
        <v>3358</v>
      </c>
      <c r="C3374" t="str">
        <f>IFERROR(__xludf.DUMMYFUNCTION("GOOGLETRANSLATE(B3374, ""es"", ""en"")"),"one is awful light it is heated and it reaches 60 °. With a little work remains in fixed 65and that temperature never drops. Copying a file from a USB hard drive you reach the 69th so automatically transfer rate rising from 128 mb / s to 1.4 mb / s is low"&amp;". It is a useless and slow disk M.2 on the subject of temperature, so you always will have to be constantly monitoring the temperature. Adding an even lower temperature sink. DO NOT RECOMMEND TO PURCHASE.")</f>
        <v>one is awful light it is heated and it reaches 60 °. With a little work remains in fixed 65and that temperature never drops. Copying a file from a USB hard drive you reach the 69th so automatically transfer rate rising from 128 mb / s to 1.4 mb / s is low. It is a useless and slow disk M.2 on the subject of temperature, so you always will have to be constantly monitoring the temperature. Adding an even lower temperature sink. DO NOT RECOMMEND TO PURCHASE.</v>
      </c>
    </row>
    <row r="3375">
      <c r="A3375" s="1">
        <v>1.0</v>
      </c>
      <c r="B3375" s="1" t="s">
        <v>3359</v>
      </c>
      <c r="C3375" t="str">
        <f>IFERROR(__xludf.DUMMYFUNCTION("GOOGLETRANSLATE(B3375, ""es"", ""en"")"),"IPhone is not worth not work for iPhone !!!!!")</f>
        <v>IPhone is not worth not work for iPhone !!!!!</v>
      </c>
    </row>
    <row r="3376">
      <c r="A3376" s="1">
        <v>4.0</v>
      </c>
      <c r="B3376" s="1" t="s">
        <v>3360</v>
      </c>
      <c r="C3376" t="str">
        <f>IFERROR(__xludf.DUMMYFUNCTION("GOOGLETRANSLATE(B3376, ""es"", ""en"")"),"Very correct very complete and economical. perfectly meets")</f>
        <v>Very correct very complete and economical. perfectly meets</v>
      </c>
    </row>
    <row r="3377">
      <c r="A3377" s="1">
        <v>4.0</v>
      </c>
      <c r="B3377" s="1" t="s">
        <v>3361</v>
      </c>
      <c r="C3377" t="str">
        <f>IFERROR(__xludf.DUMMYFUNCTION("GOOGLETRANSLATE(B3377, ""es"", ""en"")"),"They are nice and pretty good size and good quality, have a good size")</f>
        <v>They are nice and pretty good size and good quality, have a good size</v>
      </c>
    </row>
    <row r="3378">
      <c r="A3378" s="1">
        <v>4.0</v>
      </c>
      <c r="B3378" s="1" t="s">
        <v>3362</v>
      </c>
      <c r="C3378" t="str">
        <f>IFERROR(__xludf.DUMMYFUNCTION("GOOGLETRANSLATE(B3378, ""es"", ""en"")"),"Good quality and design. Although I had some timing issues, I've tried I found a quality article. Good materials and finished feeling good. Remarkable sound quality, although that everyone is very subjective. The microphone works reasonably well. modern d"&amp;"esign and is striking for elegance. The box with leather finish adds a little elegance. Buy recommended 100%")</f>
        <v>Good quality and design. Although I had some timing issues, I've tried I found a quality article. Good materials and finished feeling good. Remarkable sound quality, although that everyone is very subjective. The microphone works reasonably well. modern design and is striking for elegance. The box with leather finish adds a little elegance. Buy recommended 100%</v>
      </c>
    </row>
    <row r="3379">
      <c r="A3379" s="1">
        <v>4.0</v>
      </c>
      <c r="B3379" s="1" t="s">
        <v>3363</v>
      </c>
      <c r="C3379" t="str">
        <f>IFERROR(__xludf.DUMMYFUNCTION("GOOGLETRANSLATE(B3379, ""es"", ""en"")"),"Handy was a gift for my wife, liked")</f>
        <v>Handy was a gift for my wife, liked</v>
      </c>
    </row>
    <row r="3380">
      <c r="A3380" s="1">
        <v>4.0</v>
      </c>
      <c r="B3380" s="1" t="s">
        <v>3364</v>
      </c>
      <c r="C3380" t="str">
        <f>IFERROR(__xludf.DUMMYFUNCTION("GOOGLETRANSLATE(B3380, ""es"", ""en"")"),"Ideal massage I liked how powerful is the only drawback the cable should be longer.")</f>
        <v>Ideal massage I liked how powerful is the only drawback the cable should be longer.</v>
      </c>
    </row>
    <row r="3381">
      <c r="A3381" s="1">
        <v>5.0</v>
      </c>
      <c r="B3381" s="1" t="s">
        <v>3365</v>
      </c>
      <c r="C3381" t="str">
        <f>IFERROR(__xludf.DUMMYFUNCTION("GOOGLETRANSLATE(B3381, ""es"", ""en"")"),"Very good buy I bought it to get started in learning synthesizers and perfectly meets my expectations. The finish, even though plastic is more than good. I would recommend it for those who want to start in this world, but if you already mastered surely fa"&amp;"ll short.")</f>
        <v>Very good buy I bought it to get started in learning synthesizers and perfectly meets my expectations. The finish, even though plastic is more than good. I would recommend it for those who want to start in this world, but if you already mastered surely fall short.</v>
      </c>
    </row>
    <row r="3382">
      <c r="A3382" s="1">
        <v>5.0</v>
      </c>
      <c r="B3382" s="1" t="s">
        <v>3366</v>
      </c>
      <c r="C3382" t="str">
        <f>IFERROR(__xludf.DUMMYFUNCTION("GOOGLETRANSLATE(B3382, ""es"", ""en"")"),"Perfect good buy pants good quality and aesthetic October 1")</f>
        <v>Perfect good buy pants good quality and aesthetic October 1</v>
      </c>
    </row>
    <row r="3383">
      <c r="A3383" s="1">
        <v>5.0</v>
      </c>
      <c r="B3383" s="1" t="s">
        <v>3367</v>
      </c>
      <c r="C3383" t="str">
        <f>IFERROR(__xludf.DUMMYFUNCTION("GOOGLETRANSLATE(B3383, ""es"", ""en"")"),"the microphone came perfect perfect")</f>
        <v>the microphone came perfect perfect</v>
      </c>
    </row>
    <row r="3384">
      <c r="A3384" s="1">
        <v>5.0</v>
      </c>
      <c r="B3384" s="1" t="s">
        <v>3368</v>
      </c>
      <c r="C3384" t="str">
        <f>IFERROR(__xludf.DUMMYFUNCTION("GOOGLETRANSLATE(B3384, ""es"", ""en"")"),"pretty Cool")</f>
        <v>pretty Cool</v>
      </c>
    </row>
    <row r="3385">
      <c r="A3385" s="1">
        <v>5.0</v>
      </c>
      <c r="B3385" s="1" t="s">
        <v>3369</v>
      </c>
      <c r="C3385" t="str">
        <f>IFERROR(__xludf.DUMMYFUNCTION("GOOGLETRANSLATE(B3385, ""es"", ""en"")"),"Nothing seen so far in blenders. Fantastic. It is not comparable with mixer apparatus fantastic currents. Leave the food finely ground and in record time. I recommend it without any hesitation.")</f>
        <v>Nothing seen so far in blenders. Fantastic. It is not comparable with mixer apparatus fantastic currents. Leave the food finely ground and in record time. I recommend it without any hesitation.</v>
      </c>
    </row>
    <row r="3386">
      <c r="A3386" s="1">
        <v>5.0</v>
      </c>
      <c r="B3386" s="1" t="s">
        <v>3370</v>
      </c>
      <c r="C3386" t="str">
        <f>IFERROR(__xludf.DUMMYFUNCTION("GOOGLETRANSLATE(B3386, ""es"", ""en"")"),"Value Hi. I bought these headphones, despite initially having some reticence for not being a known brand. After seeing the views I encouraged me, as the price seems more than good. I arrived a few days ago and I could try with an iPhone 8. They are comfor"&amp;"table to wear and the music is heard with a correct volume. I think the maximum volume is more than enough and more knowing that they are wireless, but equally at fault anyone can take more power if there is a lot of noise environment (as with any handset"&amp;", I think). I use to work in an office and I look correct. To me I have not moved from the ears or walking down the street or doing household chores. I found the packaging very carefully. The box where everything comes, takes a correct presentation and th"&amp;"e box where you store is quite small (remember we're talking about a headset 50 €) and also has loads while protected from shocks. They are fixed to the box by magnet, so do not move easily. In short, I think they are a very good buy if you do not want to"&amp;" spend that cost 180 € each brand. Surely I repeat purchase for a gift this Christmas.")</f>
        <v>Value Hi. I bought these headphones, despite initially having some reticence for not being a known brand. After seeing the views I encouraged me, as the price seems more than good. I arrived a few days ago and I could try with an iPhone 8. They are comfortable to wear and the music is heard with a correct volume. I think the maximum volume is more than enough and more knowing that they are wireless, but equally at fault anyone can take more power if there is a lot of noise environment (as with any handset, I think). I use to work in an office and I look correct. To me I have not moved from the ears or walking down the street or doing household chores. I found the packaging very carefully. The box where everything comes, takes a correct presentation and the box where you store is quite small (remember we're talking about a headset 50 €) and also has loads while protected from shocks. They are fixed to the box by magnet, so do not move easily. In short, I think they are a very good buy if you do not want to spend that cost 180 € each brand. Surely I repeat purchase for a gift this Christmas.</v>
      </c>
    </row>
    <row r="3387">
      <c r="A3387" s="1">
        <v>5.0</v>
      </c>
      <c r="B3387" s="1" t="s">
        <v>3371</v>
      </c>
      <c r="C3387" t="str">
        <f>IFERROR(__xludf.DUMMYFUNCTION("GOOGLETRANSLATE(B3387, ""es"", ""en"")"),"A perfect my girlfriend have him encantado.Un month later and still perfect.")</f>
        <v>A perfect my girlfriend have him encantado.Un month later and still perfect.</v>
      </c>
    </row>
    <row r="3388">
      <c r="A3388" s="1">
        <v>5.0</v>
      </c>
      <c r="B3388" s="1" t="s">
        <v>3372</v>
      </c>
      <c r="C3388" t="str">
        <f>IFERROR(__xludf.DUMMYFUNCTION("GOOGLETRANSLATE(B3388, ""es"", ""en"")"),"I recommend it 100% recommended for exercise! It has been custom-made and the material is good and strong")</f>
        <v>I recommend it 100% recommended for exercise! It has been custom-made and the material is good and strong</v>
      </c>
    </row>
    <row r="3389">
      <c r="A3389" s="1">
        <v>5.0</v>
      </c>
      <c r="B3389" s="1" t="s">
        <v>3373</v>
      </c>
      <c r="C3389" t="str">
        <f>IFERROR(__xludf.DUMMYFUNCTION("GOOGLETRANSLATE(B3389, ""es"", ""en"")"),"MAGNIFICENT EXCEED MY EXPECTATIONS both quality DESIGN AND CONVENIENCE AND FINISHES.")</f>
        <v>MAGNIFICENT EXCEED MY EXPECTATIONS both quality DESIGN AND CONVENIENCE AND FINISHES.</v>
      </c>
    </row>
    <row r="3390">
      <c r="A3390" s="1">
        <v>5.0</v>
      </c>
      <c r="B3390" s="1" t="s">
        <v>3374</v>
      </c>
      <c r="C3390" t="str">
        <f>IFERROR(__xludf.DUMMYFUNCTION("GOOGLETRANSLATE(B3390, ""es"", ""en"")"),"I guided by the opinions and am very happy so far, I've tried on a couple of occasions and I can tell that is a very good product. Its power is more than enough to use that I'm going to give. That itself is not a good choice if you want a grinder ice.")</f>
        <v>I guided by the opinions and am very happy so far, I've tried on a couple of occasions and I can tell that is a very good product. Its power is more than enough to use that I'm going to give. That itself is not a good choice if you want a grinder ice.</v>
      </c>
    </row>
    <row r="3391">
      <c r="A3391" s="1">
        <v>5.0</v>
      </c>
      <c r="B3391" s="1" t="s">
        <v>3375</v>
      </c>
      <c r="C3391" t="str">
        <f>IFERROR(__xludf.DUMMYFUNCTION("GOOGLETRANSLATE(B3391, ""es"", ""en"")"),"Cloud Domestic affordable I've purchased to control the fate of my photos, documents and other items to decha venain being stuck in the dropbox or OneDrive. Not that unreliable but more info more you pay, this system turns a while to give your functions a"&amp;"nd startup you set up your cloud the size you want and expandable addition to backing RAID. I totally recommend it")</f>
        <v>Cloud Domestic affordable I've purchased to control the fate of my photos, documents and other items to decha venain being stuck in the dropbox or OneDrive. Not that unreliable but more info more you pay, this system turns a while to give your functions and startup you set up your cloud the size you want and expandable addition to backing RAID. I totally recommend it</v>
      </c>
    </row>
    <row r="3392">
      <c r="A3392" s="1">
        <v>5.0</v>
      </c>
      <c r="B3392" s="1" t="s">
        <v>3376</v>
      </c>
      <c r="C3392" t="str">
        <f>IFERROR(__xludf.DUMMYFUNCTION("GOOGLETRANSLATE(B3392, ""es"", ""en"")"),"Very handy is very convenient because most trays of this type have only three compartments and stay small. Very good finish and easy to assemble.")</f>
        <v>Very handy is very convenient because most trays of this type have only three compartments and stay small. Very good finish and easy to assemble.</v>
      </c>
    </row>
    <row r="3393">
      <c r="A3393" s="1">
        <v>5.0</v>
      </c>
      <c r="B3393" s="1" t="s">
        <v>3377</v>
      </c>
      <c r="C3393" t="str">
        <f>IFERROR(__xludf.DUMMYFUNCTION("GOOGLETRANSLATE(B3393, ""es"", ""en"")"),"Good quality. I liked to design and looks even more like all their inner mechanism. The quality is good and corresponds to its price.")</f>
        <v>Good quality. I liked to design and looks even more like all their inner mechanism. The quality is good and corresponds to its price.</v>
      </c>
    </row>
    <row r="3394">
      <c r="A3394" s="1">
        <v>5.0</v>
      </c>
      <c r="B3394" s="1" t="s">
        <v>3378</v>
      </c>
      <c r="C3394" t="str">
        <f>IFERROR(__xludf.DUMMYFUNCTION("GOOGLETRANSLATE(B3394, ""es"", ""en"")"),"right right")</f>
        <v>right right</v>
      </c>
    </row>
    <row r="3395">
      <c r="A3395" s="1">
        <v>5.0</v>
      </c>
      <c r="B3395" s="1" t="s">
        <v>3379</v>
      </c>
      <c r="C3395" t="str">
        <f>IFERROR(__xludf.DUMMYFUNCTION("GOOGLETRANSLATE(B3395, ""es"", ""en"")"),"With voltage selection. It works quickly and takes up little room no objection. Performs its functions perfectly.")</f>
        <v>With voltage selection. It works quickly and takes up little room no objection. Performs its functions perfectly.</v>
      </c>
    </row>
    <row r="3396">
      <c r="A3396" s="1">
        <v>5.0</v>
      </c>
      <c r="B3396" s="1" t="s">
        <v>3380</v>
      </c>
      <c r="C3396" t="str">
        <f>IFERROR(__xludf.DUMMYFUNCTION("GOOGLETRANSLATE(B3396, ""es"", ""en"")"),"They're perfect super comfortable perhaps a little big")</f>
        <v>They're perfect super comfortable perhaps a little big</v>
      </c>
    </row>
    <row r="3397">
      <c r="A3397" s="1">
        <v>5.0</v>
      </c>
      <c r="B3397" s="1" t="s">
        <v>3381</v>
      </c>
      <c r="C3397" t="str">
        <f>IFERROR(__xludf.DUMMYFUNCTION("GOOGLETRANSLATE(B3397, ""es"", ""en"")"),"I expected was what I expected and arrived within stated !! After several weeks of operation I have not noticed any problems!")</f>
        <v>I expected was what I expected and arrived within stated !! After several weeks of operation I have not noticed any problems!</v>
      </c>
    </row>
    <row r="3398">
      <c r="A3398" s="1">
        <v>5.0</v>
      </c>
      <c r="B3398" s="1" t="s">
        <v>3382</v>
      </c>
      <c r="C3398" t="str">
        <f>IFERROR(__xludf.DUMMYFUNCTION("GOOGLETRANSLATE(B3398, ""es"", ""en"")"),"Very good and advisable. It is a plate that covers all the needs I need. Easy to use, it slides well on all surfaces. Very good.")</f>
        <v>Very good and advisable. It is a plate that covers all the needs I need. Easy to use, it slides well on all surfaces. Very good.</v>
      </c>
    </row>
    <row r="3399">
      <c r="A3399" s="1">
        <v>2.0</v>
      </c>
      <c r="B3399" s="1" t="s">
        <v>3383</v>
      </c>
      <c r="C3399" t="str">
        <f>IFERROR(__xludf.DUMMYFUNCTION("GOOGLETRANSLATE(B3399, ""es"", ""en"")"),"Poor quality for the price so exaggerated I bought this product for its ""good reputation"". I did not mind the price, but when before two years, I warmed one of the containers and left parts of me the products in my food, I talked to Amazon, and I got a "&amp;"new one. A few days ago doing a gazpacho, he grabbed my husband, in this case, the mixer and stopped working. Amazon no longer takes care of it for having spent over 2 years, and I am left with a lot of packaging that can no longer use. The problem with t"&amp;"his is that what turns a lot of packaging is a piece of plastic that easily gives way with a little heat. Really, not to buy it because it is done to stop working in a few months.")</f>
        <v>Poor quality for the price so exaggerated I bought this product for its "good reputation". I did not mind the price, but when before two years, I warmed one of the containers and left parts of me the products in my food, I talked to Amazon, and I got a new one. A few days ago doing a gazpacho, he grabbed my husband, in this case, the mixer and stopped working. Amazon no longer takes care of it for having spent over 2 years, and I am left with a lot of packaging that can no longer use. The problem with this is that what turns a lot of packaging is a piece of plastic that easily gives way with a little heat. Really, not to buy it because it is done to stop working in a few months.</v>
      </c>
    </row>
    <row r="3400">
      <c r="A3400" s="1">
        <v>3.0</v>
      </c>
      <c r="B3400" s="1" t="s">
        <v>3384</v>
      </c>
      <c r="C3400" t="str">
        <f>IFERROR(__xludf.DUMMYFUNCTION("GOOGLETRANSLATE(B3400, ""es"", ""en"")"),"Uncomfortable heavy and uncomfortable. The bezel moves with difficulty")</f>
        <v>Uncomfortable heavy and uncomfortable. The bezel moves with difficulty</v>
      </c>
    </row>
    <row r="3401">
      <c r="A3401" s="1">
        <v>3.0</v>
      </c>
      <c r="B3401" s="1" t="s">
        <v>3385</v>
      </c>
      <c r="C3401" t="str">
        <f>IFERROR(__xludf.DUMMYFUNCTION("GOOGLETRANSLATE(B3401, ""es"", ""en"")"),"Very nice watch but difficult to read. Good quality. Good size, but an insurmountable problem for me, the area is completely black and there is no other color marks for hours. Plus digital screens are black also makes them difficult to see and little ligh"&amp;"t. very nice but difficult to read a clock is not very useful time. Excellent seller to the managing shipping and return.")</f>
        <v>Very nice watch but difficult to read. Good quality. Good size, but an insurmountable problem for me, the area is completely black and there is no other color marks for hours. Plus digital screens are black also makes them difficult to see and little light. very nice but difficult to read a clock is not very useful time. Excellent seller to the managing shipping and return.</v>
      </c>
    </row>
    <row r="3402">
      <c r="A3402" s="1">
        <v>1.0</v>
      </c>
      <c r="B3402" s="1" t="s">
        <v>3386</v>
      </c>
      <c r="C3402" t="str">
        <f>IFERROR(__xludf.DUMMYFUNCTION("GOOGLETRANSLATE(B3402, ""es"", ""en"")"),"Estafais swindle photos with photos")</f>
        <v>Estafais swindle photos with photos</v>
      </c>
    </row>
    <row r="3403">
      <c r="A3403" s="1">
        <v>1.0</v>
      </c>
      <c r="B3403" s="1" t="s">
        <v>3387</v>
      </c>
      <c r="C3403" t="str">
        <f>IFERROR(__xludf.DUMMYFUNCTION("GOOGLETRANSLATE(B3403, ""es"", ""en"")"),"Blender is comfortable and powerful, but his arm fell to the ground and immediately broke the insert to the mixer, I lasted a week.")</f>
        <v>Blender is comfortable and powerful, but his arm fell to the ground and immediately broke the insert to the mixer, I lasted a week.</v>
      </c>
    </row>
    <row r="3404">
      <c r="A3404" s="1">
        <v>4.0</v>
      </c>
      <c r="B3404" s="1" t="s">
        <v>3388</v>
      </c>
      <c r="C3404" t="str">
        <f>IFERROR(__xludf.DUMMYFUNCTION("GOOGLETRANSLATE(B3404, ""es"", ""en"")"),"FLOCK OF SUB Overall a good design bag for people looking to have several separate compartments, with slots for pens, notebooks, tarjetas..o what you think of. The fabric is not bad, it is quite robust, and the like zippers. The belt is a little short for"&amp;" my taste, but can be changed for one more suited to your needs. The only downside would you be the color of the fabric. My purchase was negro.pero version is not an intense black, gray strip and fabric style sight it seems aged, not at all like a new bag"&amp;", it's not a good black uniform. Regarding the price, it is at the limit of what seems to me consistent pay for a bag of this size and features.")</f>
        <v>FLOCK OF SUB Overall a good design bag for people looking to have several separate compartments, with slots for pens, notebooks, tarjetas..o what you think of. The fabric is not bad, it is quite robust, and the like zippers. The belt is a little short for my taste, but can be changed for one more suited to your needs. The only downside would you be the color of the fabric. My purchase was negro.pero version is not an intense black, gray strip and fabric style sight it seems aged, not at all like a new bag, it's not a good black uniform. Regarding the price, it is at the limit of what seems to me consistent pay for a bag of this size and features.</v>
      </c>
    </row>
    <row r="3405">
      <c r="A3405" s="1">
        <v>4.0</v>
      </c>
      <c r="B3405" s="1" t="s">
        <v>3389</v>
      </c>
      <c r="C3405" t="str">
        <f>IFERROR(__xludf.DUMMYFUNCTION("GOOGLETRANSLATE(B3405, ""es"", ""en"")"),"great is fine, ordered a full size case, and the truth is I'm very happy, even subject very well and I greatly reduced chest certainly repeat.")</f>
        <v>great is fine, ordered a full size case, and the truth is I'm very happy, even subject very well and I greatly reduced chest certainly repeat.</v>
      </c>
    </row>
    <row r="3406">
      <c r="A3406" s="1">
        <v>4.0</v>
      </c>
      <c r="B3406" s="1" t="s">
        <v>3390</v>
      </c>
      <c r="C3406" t="str">
        <f>IFERROR(__xludf.DUMMYFUNCTION("GOOGLETRANSLATE(B3406, ""es"", ""en"")"),"It is my favorite milk falls into its proper place, with others it stuck, and others went too fast and choked, the nipple is very comfortable for the child.")</f>
        <v>It is my favorite milk falls into its proper place, with others it stuck, and others went too fast and choked, the nipple is very comfortable for the child.</v>
      </c>
    </row>
    <row r="3407">
      <c r="A3407" s="1">
        <v>4.0</v>
      </c>
      <c r="B3407" s="1" t="s">
        <v>3391</v>
      </c>
      <c r="C3407" t="str">
        <f>IFERROR(__xludf.DUMMYFUNCTION("GOOGLETRANSLATE(B3407, ""es"", ""en"")"),"Good choice My size is 43, the well ordered and perfect as a glove. You comfortable! See qtal the winter prxmo behave em twice but I'm happy I have put")</f>
        <v>Good choice My size is 43, the well ordered and perfect as a glove. You comfortable! See qtal the winter prxmo behave em twice but I'm happy I have put</v>
      </c>
    </row>
    <row r="3408">
      <c r="A3408" s="1">
        <v>5.0</v>
      </c>
      <c r="B3408" s="1" t="s">
        <v>3392</v>
      </c>
      <c r="C3408" t="str">
        <f>IFERROR(__xludf.DUMMYFUNCTION("GOOGLETRANSLATE(B3408, ""es"", ""en"")"),"comfortable, warm. Comfortable, rain also go well and shelter and do not imbibe. I caught another number in the subject of socks fat.")</f>
        <v>comfortable, warm. Comfortable, rain also go well and shelter and do not imbibe. I caught another number in the subject of socks fat.</v>
      </c>
    </row>
    <row r="3409">
      <c r="A3409" s="1">
        <v>5.0</v>
      </c>
      <c r="B3409" s="1" t="s">
        <v>3393</v>
      </c>
      <c r="C3409" t="str">
        <f>IFERROR(__xludf.DUMMYFUNCTION("GOOGLETRANSLATE(B3409, ""es"", ""en"")"),"Light Good product")</f>
        <v>Light Good product</v>
      </c>
    </row>
    <row r="3410">
      <c r="A3410" s="1">
        <v>5.0</v>
      </c>
      <c r="B3410" s="1" t="s">
        <v>3394</v>
      </c>
      <c r="C3410" t="str">
        <f>IFERROR(__xludf.DUMMYFUNCTION("GOOGLETRANSLATE(B3410, ""es"", ""en"")"),"handsome is what I expected")</f>
        <v>handsome is what I expected</v>
      </c>
    </row>
    <row r="3411">
      <c r="A3411" s="1">
        <v>5.0</v>
      </c>
      <c r="B3411" s="1" t="s">
        <v>3395</v>
      </c>
      <c r="C3411" t="str">
        <f>IFERROR(__xludf.DUMMYFUNCTION("GOOGLETRANSLATE(B3411, ""es"", ""en"")"),"o.k O.k very functional")</f>
        <v>o.k O.k very functional</v>
      </c>
    </row>
    <row r="3412">
      <c r="A3412" s="1">
        <v>5.0</v>
      </c>
      <c r="B3412" s="1" t="s">
        <v>3396</v>
      </c>
      <c r="C3412" t="str">
        <f>IFERROR(__xludf.DUMMYFUNCTION("GOOGLETRANSLATE(B3412, ""es"", ""en"")"),"I struggled to find them in store A classic no surprises. Carve brand like always (does not match other carvings)")</f>
        <v>I struggled to find them in store A classic no surprises. Carve brand like always (does not match other carvings)</v>
      </c>
    </row>
    <row r="3413">
      <c r="A3413" s="1">
        <v>5.0</v>
      </c>
      <c r="B3413" s="1" t="s">
        <v>3397</v>
      </c>
      <c r="C3413" t="str">
        <f>IFERROR(__xludf.DUMMYFUNCTION("GOOGLETRANSLATE(B3413, ""es"", ""en"")"),"Good record and very good speed Good investment bottle eliminates coello formed by the magnetic disks and much faster than sata port. Once you give the power button for 5 to 6 seconds you have windows already operational. To play very fast loading.")</f>
        <v>Good record and very good speed Good investment bottle eliminates coello formed by the magnetic disks and much faster than sata port. Once you give the power button for 5 to 6 seconds you have windows already operational. To play very fast loading.</v>
      </c>
    </row>
    <row r="3414">
      <c r="A3414" s="1">
        <v>5.0</v>
      </c>
      <c r="B3414" s="1" t="s">
        <v>3398</v>
      </c>
      <c r="C3414" t="str">
        <f>IFERROR(__xludf.DUMMYFUNCTION("GOOGLETRANSLATE(B3414, ""es"", ""en"")"),"Is what was ordered and shipping was right I really liked the color, I used to essential oils to carry in your bag")</f>
        <v>Is what was ordered and shipping was right I really liked the color, I used to essential oils to carry in your bag</v>
      </c>
    </row>
    <row r="3415">
      <c r="A3415" s="1">
        <v>5.0</v>
      </c>
      <c r="B3415" s="1" t="s">
        <v>3399</v>
      </c>
      <c r="C3415" t="str">
        <f>IFERROR(__xludf.DUMMYFUNCTION("GOOGLETRANSLATE(B3415, ""es"", ""en"")"),"Perfect Very good product")</f>
        <v>Perfect Very good product</v>
      </c>
    </row>
    <row r="3416">
      <c r="A3416" s="1">
        <v>5.0</v>
      </c>
      <c r="B3416" s="1" t="s">
        <v>3400</v>
      </c>
      <c r="C3416" t="str">
        <f>IFERROR(__xludf.DUMMYFUNCTION("GOOGLETRANSLATE(B3416, ""es"", ""en"")"),"Excellent Perfecto.")</f>
        <v>Excellent Perfecto.</v>
      </c>
    </row>
    <row r="3417">
      <c r="A3417" s="1">
        <v>5.0</v>
      </c>
      <c r="B3417" s="1" t="s">
        <v>3401</v>
      </c>
      <c r="C3417" t="str">
        <f>IFERROR(__xludf.DUMMYFUNCTION("GOOGLETRANSLATE(B3417, ""es"", ""en"")"),"Great for such a price as expected")</f>
        <v>Great for such a price as expected</v>
      </c>
    </row>
    <row r="3418">
      <c r="A3418" s="1">
        <v>5.0</v>
      </c>
      <c r="B3418" s="1" t="s">
        <v>3402</v>
      </c>
      <c r="C3418" t="str">
        <f>IFERROR(__xludf.DUMMYFUNCTION("GOOGLETRANSLATE(B3418, ""es"", ""en"")"),"good buy right storage without problems and I use it for my mobile Sony also and meets all my expectations")</f>
        <v>good buy right storage without problems and I use it for my mobile Sony also and meets all my expectations</v>
      </c>
    </row>
    <row r="3419">
      <c r="A3419" s="1">
        <v>5.0</v>
      </c>
      <c r="B3419" s="1" t="s">
        <v>3403</v>
      </c>
      <c r="C3419" t="str">
        <f>IFERROR(__xludf.DUMMYFUNCTION("GOOGLETRANSLATE(B3419, ""es"", ""en"")"),"Super interesting bag for price Product very interesting and practical. For its unbeatable price.")</f>
        <v>Super interesting bag for price Product very interesting and practical. For its unbeatable price.</v>
      </c>
    </row>
    <row r="3420">
      <c r="A3420" s="1">
        <v>5.0</v>
      </c>
      <c r="B3420" s="1" t="s">
        <v>3404</v>
      </c>
      <c r="C3420" t="str">
        <f>IFERROR(__xludf.DUMMYFUNCTION("GOOGLETRANSLATE(B3420, ""es"", ""en"")"),"Everything makes its function well")</f>
        <v>Everything makes its function well</v>
      </c>
    </row>
    <row r="3421">
      <c r="A3421" s="1">
        <v>5.0</v>
      </c>
      <c r="B3421" s="1" t="s">
        <v>3405</v>
      </c>
      <c r="C3421" t="str">
        <f>IFERROR(__xludf.DUMMYFUNCTION("GOOGLETRANSLATE(B3421, ""es"", ""en"")"),"Powerful and effective. Blender Taurus Bapi Unic 900 is a small appliance very robust, easy to use, with good power. The entire assembly is in contact with the elements to beat or sting are made of stainless steel so the quality of them are insured. With "&amp;"900W power connected to the system we can perfectly ice crushing blades. This whole system works by having two buttons at the top, one to beat with the speed we have put you in the gear selector we can see at the top of the mixer, we select 20 different s"&amp;"peeds. The use is very comfortable and ergonomic, in testing I've done so I found. Also highlight the simplicity for disassembling the cutter system and subsequently cleaned, simply turning the bottom. The dimensions are approximately 39 c 5'5 cm, with a "&amp;"controlled weight for the power having 798 grams. Rotation System Turbo system helps enormously to the Unic Taurus Bapi 900 to leave any food chopped smooth and very smooth. In the test at full power thing you notice is their strength, have to grab the mi"&amp;"xer and container glass for food, or yes, because otherwise it will shoot. In short, an excellent small appliances that will be very useful in your kitchen, and priced very tight.")</f>
        <v>Powerful and effective. Blender Taurus Bapi Unic 900 is a small appliance very robust, easy to use, with good power. The entire assembly is in contact with the elements to beat or sting are made of stainless steel so the quality of them are insured. With 900W power connected to the system we can perfectly ice crushing blades. This whole system works by having two buttons at the top, one to beat with the speed we have put you in the gear selector we can see at the top of the mixer, we select 20 different speeds. The use is very comfortable and ergonomic, in testing I've done so I found. Also highlight the simplicity for disassembling the cutter system and subsequently cleaned, simply turning the bottom. The dimensions are approximately 39 c 5'5 cm, with a controlled weight for the power having 798 grams. Rotation System Turbo system helps enormously to the Unic Taurus Bapi 900 to leave any food chopped smooth and very smooth. In the test at full power thing you notice is their strength, have to grab the mixer and container glass for food, or yes, because otherwise it will shoot. In short, an excellent small appliances that will be very useful in your kitchen, and priced very tight.</v>
      </c>
    </row>
    <row r="3422">
      <c r="A3422" s="1">
        <v>5.0</v>
      </c>
      <c r="B3422" s="1" t="s">
        <v>3406</v>
      </c>
      <c r="C3422" t="str">
        <f>IFERROR(__xludf.DUMMYFUNCTION("GOOGLETRANSLATE(B3422, ""es"", ""en"")"),"Fashion Comfortable")</f>
        <v>Fashion Comfortable</v>
      </c>
    </row>
    <row r="3423">
      <c r="A3423" s="1">
        <v>5.0</v>
      </c>
      <c r="B3423" s="1" t="s">
        <v>3407</v>
      </c>
      <c r="C3423" t="str">
        <f>IFERROR(__xludf.DUMMYFUNCTION("GOOGLETRANSLATE(B3423, ""es"", ""en"")"),"Hello necessary functional and good afternoon, files are functional and necessary to have the important things sorted and classified")</f>
        <v>Hello necessary functional and good afternoon, files are functional and necessary to have the important things sorted and classified</v>
      </c>
    </row>
    <row r="3424">
      <c r="A3424" s="1">
        <v>5.0</v>
      </c>
      <c r="B3424" s="1" t="s">
        <v>3408</v>
      </c>
      <c r="C3424" t="str">
        <f>IFERROR(__xludf.DUMMYFUNCTION("GOOGLETRANSLATE(B3424, ""es"", ""en"")"),"Brutal sounds mb")</f>
        <v>Brutal sounds mb</v>
      </c>
    </row>
    <row r="3425">
      <c r="A3425" s="1">
        <v>5.0</v>
      </c>
      <c r="B3425" s="1" t="s">
        <v>3409</v>
      </c>
      <c r="C3425" t="str">
        <f>IFERROR(__xludf.DUMMYFUNCTION("GOOGLETRANSLATE(B3425, ""es"", ""en"")"),"Pretty good price")</f>
        <v>Pretty good price</v>
      </c>
    </row>
    <row r="3426">
      <c r="A3426" s="1">
        <v>5.0</v>
      </c>
      <c r="B3426" s="1" t="s">
        <v>3410</v>
      </c>
      <c r="C3426" t="str">
        <f>IFERROR(__xludf.DUMMYFUNCTION("GOOGLETRANSLATE(B3426, ""es"", ""en"")"),"Light and sound I bought this amp with the idea of ​​not letting me voice at the summer camp for classes that give children as an instructor. I see that will serve my purposes, it achieves high-volume and sound quality, and while it weighs nothing.")</f>
        <v>Light and sound I bought this amp with the idea of ​​not letting me voice at the summer camp for classes that give children as an instructor. I see that will serve my purposes, it achieves high-volume and sound quality, and while it weighs nothing.</v>
      </c>
    </row>
    <row r="3427">
      <c r="A3427" s="1">
        <v>2.0</v>
      </c>
      <c r="B3427" s="1" t="s">
        <v>3411</v>
      </c>
      <c r="C3427" t="str">
        <f>IFERROR(__xludf.DUMMYFUNCTION("GOOGLETRANSLATE(B3427, ""es"", ""en"")"),"I can not wear them by the end I was a autoregalo gustaro much but unfortunately I arrived without a closure")</f>
        <v>I can not wear them by the end I was a autoregalo gustaro much but unfortunately I arrived without a closure</v>
      </c>
    </row>
    <row r="3428">
      <c r="A3428" s="1">
        <v>3.0</v>
      </c>
      <c r="B3428" s="1" t="s">
        <v>3412</v>
      </c>
      <c r="C3428" t="str">
        <f>IFERROR(__xludf.DUMMYFUNCTION("GOOGLETRANSLATE(B3428, ""es"", ""en"")"),"Price uncompetitive and fall. The I returned because they fell in the gym. I imagine that this type are all more or less alike. On the other hand they are very expensive for what they are.")</f>
        <v>Price uncompetitive and fall. The I returned because they fell in the gym. I imagine that this type are all more or less alike. On the other hand they are very expensive for what they are.</v>
      </c>
    </row>
    <row r="3429">
      <c r="A3429" s="1">
        <v>3.0</v>
      </c>
      <c r="B3429" s="1" t="s">
        <v>3413</v>
      </c>
      <c r="C3429" t="str">
        <f>IFERROR(__xludf.DUMMYFUNCTION("GOOGLETRANSLATE(B3429, ""es"", ""en"")"),"very well and bought at a great price recommended amazon buy them without knowing but I really like use for work are very comodas.se me spoiling them the template to the month and a half without bone exaggeration that cheaper not know if are imitation but"&amp;" I like to come repair 25e")</f>
        <v>very well and bought at a great price recommended amazon buy them without knowing but I really like use for work are very comodas.se me spoiling them the template to the month and a half without bone exaggeration that cheaper not know if are imitation but I like to come repair 25e</v>
      </c>
    </row>
    <row r="3430">
      <c r="A3430" s="1">
        <v>1.0</v>
      </c>
      <c r="B3430" s="1" t="s">
        <v>3414</v>
      </c>
      <c r="C3430" t="str">
        <f>IFERROR(__xludf.DUMMYFUNCTION("GOOGLETRANSLATE(B3430, ""es"", ""en"")"),"I had to return it because I had to devoverlo got me a different box in which the glass is not included to grind seeds. I asked another of different brand.")</f>
        <v>I had to return it because I had to devoverlo got me a different box in which the glass is not included to grind seeds. I asked another of different brand.</v>
      </c>
    </row>
    <row r="3431">
      <c r="A3431" s="1">
        <v>1.0</v>
      </c>
      <c r="B3431" s="1" t="s">
        <v>3415</v>
      </c>
      <c r="C3431" t="str">
        <f>IFERROR(__xludf.DUMMYFUNCTION("GOOGLETRANSLATE(B3431, ""es"", ""en"")"),"And now that? It has come up with the old battery 😡")</f>
        <v>And now that? It has come up with the old battery 😡</v>
      </c>
    </row>
    <row r="3432">
      <c r="A3432" s="1">
        <v>4.0</v>
      </c>
      <c r="B3432" s="1" t="s">
        <v>3416</v>
      </c>
      <c r="C3432" t="str">
        <f>IFERROR(__xludf.DUMMYFUNCTION("GOOGLETRANSLATE(B3432, ""es"", ""en"")"),"Perfect Everything perfect, arrived quickly and in perfect condition. Vans quality of life The only downside is that with time and use the sole comes off a bit on the fingers fold foot. But this is something Vans design in all models passes")</f>
        <v>Perfect Everything perfect, arrived quickly and in perfect condition. Vans quality of life The only downside is that with time and use the sole comes off a bit on the fingers fold foot. But this is something Vans design in all models passes</v>
      </c>
    </row>
    <row r="3433">
      <c r="A3433" s="1">
        <v>4.0</v>
      </c>
      <c r="B3433" s="1" t="s">
        <v>3417</v>
      </c>
      <c r="C3433" t="str">
        <f>IFERROR(__xludf.DUMMYFUNCTION("GOOGLETRANSLATE(B3433, ""es"", ""en"")"),"Good product can not comment because for reasons beyond my voluntat, I have it on camera but feel estrenar.Lo")</f>
        <v>Good product can not comment because for reasons beyond my voluntat, I have it on camera but feel estrenar.Lo</v>
      </c>
    </row>
    <row r="3434">
      <c r="A3434" s="1">
        <v>4.0</v>
      </c>
      <c r="B3434" s="1" t="s">
        <v>3418</v>
      </c>
      <c r="C3434" t="str">
        <f>IFERROR(__xludf.DUMMYFUNCTION("GOOGLETRANSLATE(B3434, ""es"", ""en"")"),"It looks good looks good, but is somewhat complicated to put on. At the end, we had to lead to a watchmaker to adjust it.")</f>
        <v>It looks good looks good, but is somewhat complicated to put on. At the end, we had to lead to a watchmaker to adjust it.</v>
      </c>
    </row>
    <row r="3435">
      <c r="A3435" s="1">
        <v>4.0</v>
      </c>
      <c r="B3435" s="1" t="s">
        <v>3419</v>
      </c>
      <c r="C3435" t="str">
        <f>IFERROR(__xludf.DUMMYFUNCTION("GOOGLETRANSLATE(B3435, ""es"", ""en"")"),"the truth that a great fit me very well. and I had tried them in the store, physically, so I expected but very cool sn weigh no walks and very comfortable.")</f>
        <v>the truth that a great fit me very well. and I had tried them in the store, physically, so I expected but very cool sn weigh no walks and very comfortable.</v>
      </c>
    </row>
    <row r="3436">
      <c r="A3436" s="1">
        <v>4.0</v>
      </c>
      <c r="B3436" s="1" t="s">
        <v>3420</v>
      </c>
      <c r="C3436" t="str">
        <f>IFERROR(__xludf.DUMMYFUNCTION("GOOGLETRANSLATE(B3436, ""es"", ""en"")"),"Earrings I liked to go all placed in a box, was a gift for my niece and liked it.")</f>
        <v>Earrings I liked to go all placed in a box, was a gift for my niece and liked it.</v>
      </c>
    </row>
    <row r="3437">
      <c r="A3437" s="1">
        <v>5.0</v>
      </c>
      <c r="B3437" s="1" t="s">
        <v>3421</v>
      </c>
      <c r="C3437" t="str">
        <f>IFERROR(__xludf.DUMMYFUNCTION("GOOGLETRANSLATE(B3437, ""es"", ""en"")"),"Good buy The boat is not much the amount but is ideal for putting glue directly on the edges of the screens.")</f>
        <v>Good buy The boat is not much the amount but is ideal for putting glue directly on the edges of the screens.</v>
      </c>
    </row>
    <row r="3438">
      <c r="A3438" s="1">
        <v>5.0</v>
      </c>
      <c r="B3438" s="1" t="s">
        <v>3422</v>
      </c>
      <c r="C3438" t="str">
        <f>IFERROR(__xludf.DUMMYFUNCTION("GOOGLETRANSLATE(B3438, ""es"", ""en"")"),"Precious. I love! Precious. I love! Prettier than the picture. I even asked for another gift. I loved and much use.")</f>
        <v>Precious. I love! Precious. I love! Prettier than the picture. I even asked for another gift. I loved and much use.</v>
      </c>
    </row>
    <row r="3439">
      <c r="A3439" s="1">
        <v>5.0</v>
      </c>
      <c r="B3439" s="1" t="s">
        <v>3423</v>
      </c>
      <c r="C3439" t="str">
        <f>IFERROR(__xludf.DUMMYFUNCTION("GOOGLETRANSLATE(B3439, ""es"", ""en"")"),"Highly recommended sneakers very cool, as in the photo. Are the original, very fast came in the box and very well priced and perfect q all")</f>
        <v>Highly recommended sneakers very cool, as in the photo. Are the original, very fast came in the box and very well priced and perfect q all</v>
      </c>
    </row>
    <row r="3440">
      <c r="A3440" s="1">
        <v>5.0</v>
      </c>
      <c r="B3440" s="1" t="s">
        <v>3424</v>
      </c>
      <c r="C3440" t="str">
        <f>IFERROR(__xludf.DUMMYFUNCTION("GOOGLETRANSLATE(B3440, ""es"", ""en"")"),"Coat comfortable coat is very comfortable because while it is light abruga much. Here it is very cold in winter is perfect for staying warm. For its outer fabric also it makes waterproof when it rains.")</f>
        <v>Coat comfortable coat is very comfortable because while it is light abruga much. Here it is very cold in winter is perfect for staying warm. For its outer fabric also it makes waterproof when it rains.</v>
      </c>
    </row>
    <row r="3441">
      <c r="A3441" s="1">
        <v>5.0</v>
      </c>
      <c r="B3441" s="1" t="s">
        <v>3425</v>
      </c>
      <c r="C3441" t="str">
        <f>IFERROR(__xludf.DUMMYFUNCTION("GOOGLETRANSLATE(B3441, ""es"", ""en"")"),"I expected. Right. It conforms to the description. Good.")</f>
        <v>I expected. Right. It conforms to the description. Good.</v>
      </c>
    </row>
    <row r="3442">
      <c r="A3442" s="1">
        <v>5.0</v>
      </c>
      <c r="B3442" s="1" t="s">
        <v>3426</v>
      </c>
      <c r="C3442" t="str">
        <f>IFERROR(__xludf.DUMMYFUNCTION("GOOGLETRANSLATE(B3442, ""es"", ""en"")"),"MICROWAVE MILECTRIC MIW-20LB Perfect quality - price. Very fast delivery.")</f>
        <v>MICROWAVE MILECTRIC MIW-20LB Perfect quality - price. Very fast delivery.</v>
      </c>
    </row>
    <row r="3443">
      <c r="A3443" s="1">
        <v>5.0</v>
      </c>
      <c r="B3443" s="1" t="s">
        <v>3427</v>
      </c>
      <c r="C3443" t="str">
        <f>IFERROR(__xludf.DUMMYFUNCTION("GOOGLETRANSLATE(B3443, ""es"", ""en"")"),"Hdd Play 4 I bought to replace the hard drive of a Play4, and is perfect")</f>
        <v>Hdd Play 4 I bought to replace the hard drive of a Play4, and is perfect</v>
      </c>
    </row>
    <row r="3444">
      <c r="A3444" s="1">
        <v>5.0</v>
      </c>
      <c r="B3444" s="1" t="s">
        <v>3428</v>
      </c>
      <c r="C3444" t="str">
        <f>IFERROR(__xludf.DUMMYFUNCTION("GOOGLETRANSLATE(B3444, ""es"", ""en"")"),"Encantada everything perfect and fast shipping")</f>
        <v>Encantada everything perfect and fast shipping</v>
      </c>
    </row>
    <row r="3445">
      <c r="A3445" s="1">
        <v>5.0</v>
      </c>
      <c r="B3445" s="1" t="s">
        <v>3429</v>
      </c>
      <c r="C3445" t="str">
        <f>IFERROR(__xludf.DUMMYFUNCTION("GOOGLETRANSLATE(B3445, ""es"", ""en"")"),"It was a very nice gift and charm")</f>
        <v>It was a very nice gift and charm</v>
      </c>
    </row>
    <row r="3446">
      <c r="A3446" s="1">
        <v>5.0</v>
      </c>
      <c r="B3446" s="1" t="s">
        <v>3430</v>
      </c>
      <c r="C3446" t="str">
        <f>IFERROR(__xludf.DUMMYFUNCTION("GOOGLETRANSLATE(B3446, ""es"", ""en"")"),"quality Guitar")</f>
        <v>quality Guitar</v>
      </c>
    </row>
    <row r="3447">
      <c r="A3447" s="1">
        <v>5.0</v>
      </c>
      <c r="B3447" s="1" t="s">
        <v>3431</v>
      </c>
      <c r="C3447" t="str">
        <f>IFERROR(__xludf.DUMMYFUNCTION("GOOGLETRANSLATE(B3447, ""es"", ""en"")"),"sd great")</f>
        <v>sd great</v>
      </c>
    </row>
    <row r="3448">
      <c r="A3448" s="1">
        <v>5.0</v>
      </c>
      <c r="B3448" s="1" t="s">
        <v>3432</v>
      </c>
      <c r="C3448" t="str">
        <f>IFERROR(__xludf.DUMMYFUNCTION("GOOGLETRANSLATE(B3448, ""es"", ""en"")"),"Surprising for the price For the price we have I do not think there headphones such that sound better. I took almost a month with them and last about 15 hours. The only downside I find them is you can not raise or lower the volume with them, but you have "&amp;"to do it from your mobile. Of course, for 30 € and would be too. With a discount coupon on the day of the father she left me for 22 €.")</f>
        <v>Surprising for the price For the price we have I do not think there headphones such that sound better. I took almost a month with them and last about 15 hours. The only downside I find them is you can not raise or lower the volume with them, but you have to do it from your mobile. Of course, for 30 € and would be too. With a discount coupon on the day of the father she left me for 22 €.</v>
      </c>
    </row>
    <row r="3449">
      <c r="A3449" s="1">
        <v>5.0</v>
      </c>
      <c r="B3449" s="1" t="s">
        <v>3433</v>
      </c>
      <c r="C3449" t="str">
        <f>IFERROR(__xludf.DUMMYFUNCTION("GOOGLETRANSLATE(B3449, ""es"", ""en"")"),"+ Q right for value work perfectly, worth. The use karaoke and give me more than 8 meters away. all ok")</f>
        <v>+ Q right for value work perfectly, worth. The use karaoke and give me more than 8 meters away. all ok</v>
      </c>
    </row>
    <row r="3450">
      <c r="A3450" s="1">
        <v>5.0</v>
      </c>
      <c r="B3450" s="1" t="s">
        <v>3434</v>
      </c>
      <c r="C3450" t="str">
        <f>IFERROR(__xludf.DUMMYFUNCTION("GOOGLETRANSLATE(B3450, ""es"", ""en"")"),"Perfect. I struggled to find the exact number because the tables where the measures in cm are not exactly match the size EU. After using them for a few months and make the road to Santiago with them, I can say that they are very comfortable, perfect walki"&amp;"ng boots long periods. I have saved more than a sprained ankle on paved roads. In addition, after passing ponds, streams, and withstand rain, the feet were dry, they are completely waterproof. Pleased with them.")</f>
        <v>Perfect. I struggled to find the exact number because the tables where the measures in cm are not exactly match the size EU. After using them for a few months and make the road to Santiago with them, I can say that they are very comfortable, perfect walking boots long periods. I have saved more than a sprained ankle on paved roads. In addition, after passing ponds, streams, and withstand rain, the feet were dry, they are completely waterproof. Pleased with them.</v>
      </c>
    </row>
    <row r="3451">
      <c r="A3451" s="1">
        <v>5.0</v>
      </c>
      <c r="B3451" s="1" t="s">
        <v>3435</v>
      </c>
      <c r="C3451" t="str">
        <f>IFERROR(__xludf.DUMMYFUNCTION("GOOGLETRANSLATE(B3451, ""es"", ""en"")"),"The soft and warm cap fits well and closes strong enough so that the water does not come out. The fabric is soft and comes with an extra wrapping cash them. It fulfills its function, keeps the heat for quite some time and warms the bed.")</f>
        <v>The soft and warm cap fits well and closes strong enough so that the water does not come out. The fabric is soft and comes with an extra wrapping cash them. It fulfills its function, keeps the heat for quite some time and warms the bed.</v>
      </c>
    </row>
    <row r="3452">
      <c r="A3452" s="1">
        <v>5.0</v>
      </c>
      <c r="B3452" s="1" t="s">
        <v>3436</v>
      </c>
      <c r="C3452" t="str">
        <f>IFERROR(__xludf.DUMMYFUNCTION("GOOGLETRANSLATE(B3452, ""es"", ""en"")"),"See recommended these oils smell great, I'm really very happy with the product goes great with just a droplet acclimate any interior.")</f>
        <v>See recommended these oils smell great, I'm really very happy with the product goes great with just a droplet acclimate any interior.</v>
      </c>
    </row>
    <row r="3453">
      <c r="A3453" s="1">
        <v>5.0</v>
      </c>
      <c r="B3453" s="1" t="s">
        <v>3437</v>
      </c>
      <c r="C3453" t="str">
        <f>IFERROR(__xludf.DUMMYFUNCTION("GOOGLETRANSLATE(B3453, ""es"", ""en"")"),"MARVELOUS am delighted with ella.Yo I am nothing skilled with mayonnaise and accessory smoothly and I make at a time. It has become my ally in the kitchen to do everything, sauces, meringues, etc. Fast shipping, and perfect")</f>
        <v>MARVELOUS am delighted with ella.Yo I am nothing skilled with mayonnaise and accessory smoothly and I make at a time. It has become my ally in the kitchen to do everything, sauces, meringues, etc. Fast shipping, and perfect</v>
      </c>
    </row>
    <row r="3454">
      <c r="A3454" s="1">
        <v>5.0</v>
      </c>
      <c r="B3454" s="1" t="s">
        <v>3438</v>
      </c>
      <c r="C3454" t="str">
        <f>IFERROR(__xludf.DUMMYFUNCTION("GOOGLETRANSLATE(B3454, ""es"", ""en"")"),"Great I loved so much that I returned to buy another gift.")</f>
        <v>Great I loved so much that I returned to buy another gift.</v>
      </c>
    </row>
    <row r="3455">
      <c r="A3455" s="1">
        <v>5.0</v>
      </c>
      <c r="B3455" s="1" t="s">
        <v>3439</v>
      </c>
      <c r="C3455" t="str">
        <f>IFERROR(__xludf.DUMMYFUNCTION("GOOGLETRANSLATE(B3455, ""es"", ""en"")"),"perfect the best shoes I've worn")</f>
        <v>perfect the best shoes I've worn</v>
      </c>
    </row>
    <row r="3456">
      <c r="A3456" s="1">
        <v>2.0</v>
      </c>
      <c r="B3456" s="1" t="s">
        <v>3440</v>
      </c>
      <c r="C3456" t="str">
        <f>IFERROR(__xludf.DUMMYFUNCTION("GOOGLETRANSLATE(B3456, ""es"", ""en"")"),"The case was expecting more as average. Material is not very thick. Expected more robust and resistant for 7 €. The zipper should be the bomb but does not justify the purchase.")</f>
        <v>The case was expecting more as average. Material is not very thick. Expected more robust and resistant for 7 €. The zipper should be the bomb but does not justify the purchase.</v>
      </c>
    </row>
    <row r="3457">
      <c r="A3457" s="1">
        <v>3.0</v>
      </c>
      <c r="B3457" s="1" t="s">
        <v>3441</v>
      </c>
      <c r="C3457" t="str">
        <f>IFERROR(__xludf.DUMMYFUNCTION("GOOGLETRANSLATE(B3457, ""es"", ""en"")"),"Quitapelusa roll very average I was disappointed enough. From the comments it seemed to be very good, but I do not think so. I bought it to remove cat hairs on my clothes and my first pass more or less removed, but in the next pass, as is the roller full "&amp;"of hair and fluff, hardly detracts. It is quite difficult to remove the used paper roll because you have to pull a corner of the paper and is not easy. Then yes all the paper out easily used and is new. I recommend it only for specific cases and not to cl"&amp;"ean every day.")</f>
        <v>Quitapelusa roll very average I was disappointed enough. From the comments it seemed to be very good, but I do not think so. I bought it to remove cat hairs on my clothes and my first pass more or less removed, but in the next pass, as is the roller full of hair and fluff, hardly detracts. It is quite difficult to remove the used paper roll because you have to pull a corner of the paper and is not easy. Then yes all the paper out easily used and is new. I recommend it only for specific cases and not to clean every day.</v>
      </c>
    </row>
    <row r="3458">
      <c r="A3458" s="1">
        <v>3.0</v>
      </c>
      <c r="B3458" s="1" t="s">
        <v>3442</v>
      </c>
      <c r="C3458" t="str">
        <f>IFERROR(__xludf.DUMMYFUNCTION("GOOGLETRANSLATE(B3458, ""es"", ""en"")"),"Good Good Value")</f>
        <v>Good Good Value</v>
      </c>
    </row>
    <row r="3459">
      <c r="A3459" s="1">
        <v>1.0</v>
      </c>
      <c r="B3459" s="1" t="s">
        <v>3443</v>
      </c>
      <c r="C3459" t="str">
        <f>IFERROR(__xludf.DUMMYFUNCTION("GOOGLETRANSLATE(B3459, ""es"", ""en"")"),"Fatal malisima quality, we went to spend the day at a water park and buy not to burn the ground and we have lasted one day. Buy 5 and all have cast holes, for what they're worth a scam.")</f>
        <v>Fatal malisima quality, we went to spend the day at a water park and buy not to burn the ground and we have lasted one day. Buy 5 and all have cast holes, for what they're worth a scam.</v>
      </c>
    </row>
    <row r="3460">
      <c r="A3460" s="1">
        <v>1.0</v>
      </c>
      <c r="B3460" s="1" t="s">
        <v>3444</v>
      </c>
      <c r="C3460" t="str">
        <f>IFERROR(__xludf.DUMMYFUNCTION("GOOGLETRANSLATE(B3460, ""es"", ""en"")"),"Disgusted with the quality I lasted 4 months. No shock, always cover. Suddenly one day stop reading your computer. I lost very important information about my work. I am disgusted with this product")</f>
        <v>Disgusted with the quality I lasted 4 months. No shock, always cover. Suddenly one day stop reading your computer. I lost very important information about my work. I am disgusted with this product</v>
      </c>
    </row>
    <row r="3461">
      <c r="A3461" s="1">
        <v>4.0</v>
      </c>
      <c r="B3461" s="1" t="s">
        <v>3445</v>
      </c>
      <c r="C3461" t="str">
        <f>IFERROR(__xludf.DUMMYFUNCTION("GOOGLETRANSLATE(B3461, ""es"", ""en"")"),"Very good buy for that price is fine. The connectors are quality, though possibly cable material itself does not last long in conditions concert. To play at home or studio is fine.")</f>
        <v>Very good buy for that price is fine. The connectors are quality, though possibly cable material itself does not last long in conditions concert. To play at home or studio is fine.</v>
      </c>
    </row>
    <row r="3462">
      <c r="A3462" s="1">
        <v>4.0</v>
      </c>
      <c r="B3462" s="1" t="s">
        <v>3446</v>
      </c>
      <c r="C3462" t="str">
        <f>IFERROR(__xludf.DUMMYFUNCTION("GOOGLETRANSLATE(B3462, ""es"", ""en"")"),"Original Replacement Strap original so without objection. But comes without screwdriver for special screws ... That can be a problem and the price has to include the screwdriver is not crazy ...")</f>
        <v>Original Replacement Strap original so without objection. But comes without screwdriver for special screws ... That can be a problem and the price has to include the screwdriver is not crazy ...</v>
      </c>
    </row>
    <row r="3463">
      <c r="A3463" s="1">
        <v>4.0</v>
      </c>
      <c r="B3463" s="1" t="s">
        <v>3447</v>
      </c>
      <c r="C3463" t="str">
        <f>IFERROR(__xludf.DUMMYFUNCTION("GOOGLETRANSLATE(B3463, ""es"", ""en"")"),"Good shoes to wear. Dress shoes, beautiful and good quality. If given use (for all) are broken and ripped, but in my case will remain small before not to use them.")</f>
        <v>Good shoes to wear. Dress shoes, beautiful and good quality. If given use (for all) are broken and ripped, but in my case will remain small before not to use them.</v>
      </c>
    </row>
    <row r="3464">
      <c r="A3464" s="1">
        <v>4.0</v>
      </c>
      <c r="B3464" s="1" t="s">
        <v>3448</v>
      </c>
      <c r="C3464" t="str">
        <f>IFERROR(__xludf.DUMMYFUNCTION("GOOGLETRANSLATE(B3464, ""es"", ""en"")"),"Good buy The size and fabric, right. The only downside is that it is very thin, so if it's cold, does not harbor. It is better to wait until spring to put it")</f>
        <v>Good buy The size and fabric, right. The only downside is that it is very thin, so if it's cold, does not harbor. It is better to wait until spring to put it</v>
      </c>
    </row>
    <row r="3465">
      <c r="A3465" s="1">
        <v>4.0</v>
      </c>
      <c r="B3465" s="1" t="s">
        <v>3449</v>
      </c>
      <c r="C3465" t="str">
        <f>IFERROR(__xludf.DUMMYFUNCTION("GOOGLETRANSLATE(B3465, ""es"", ""en"")"),"Almost perfect style and quality of an unassailable level. Q All functions may be asked to watch this style. Q only thing I do not liked and why not give the 5, q is the fact lacquered box has a very different silvery metal strap and plastic unveiling its"&amp;" architecture and style ... If lowering the metal box outside or the finish was more remembered, I did not give him 4 gave 10 star. A shame there cheaper casios where everything is metal ... Anyway, I'll look for a good metallic spray q I would like a hac"&amp;"k. By the way, look for all the mods on Youtube. q is be made, missed;)")</f>
        <v>Almost perfect style and quality of an unassailable level. Q All functions may be asked to watch this style. Q only thing I do not liked and why not give the 5, q is the fact lacquered box has a very different silvery metal strap and plastic unveiling its architecture and style ... If lowering the metal box outside or the finish was more remembered, I did not give him 4 gave 10 star. A shame there cheaper casios where everything is metal ... Anyway, I'll look for a good metallic spray q I would like a hack. By the way, look for all the mods on Youtube. q is be made, missed;)</v>
      </c>
    </row>
    <row r="3466">
      <c r="A3466" s="1">
        <v>5.0</v>
      </c>
      <c r="B3466" s="1" t="s">
        <v>3450</v>
      </c>
      <c r="C3466" t="str">
        <f>IFERROR(__xludf.DUMMYFUNCTION("GOOGLETRANSLATE(B3466, ""es"", ""en"")"),"Very positive Very good quality price.")</f>
        <v>Very positive Very good quality price.</v>
      </c>
    </row>
    <row r="3467">
      <c r="A3467" s="1">
        <v>5.0</v>
      </c>
      <c r="B3467" s="1" t="s">
        <v>3451</v>
      </c>
      <c r="C3467" t="str">
        <f>IFERROR(__xludf.DUMMYFUNCTION("GOOGLETRANSLATE(B3467, ""es"", ""en"")"),"Highly recommended. A pleasure to spend the winter with this hell. Two separate commands to the temperature on both sides. You have to try it.")</f>
        <v>Highly recommended. A pleasure to spend the winter with this hell. Two separate commands to the temperature on both sides. You have to try it.</v>
      </c>
    </row>
    <row r="3468">
      <c r="A3468" s="1">
        <v>5.0</v>
      </c>
      <c r="B3468" s="1" t="s">
        <v>3452</v>
      </c>
      <c r="C3468" t="str">
        <f>IFERROR(__xludf.DUMMYFUNCTION("GOOGLETRANSLATE(B3468, ""es"", ""en"")"),"Perfect in design and performance. Watch very combinable for sport or out and both very nice aesthetic. I gave him my son a while ago and actually several people have looked at the clock and ask that brand is. It seems more than you paid for it. It is wor"&amp;"king properly and recommend tiempo.Lo ago if someone has to make a gift.")</f>
        <v>Perfect in design and performance. Watch very combinable for sport or out and both very nice aesthetic. I gave him my son a while ago and actually several people have looked at the clock and ask that brand is. It seems more than you paid for it. It is working properly and recommend tiempo.Lo ago if someone has to make a gift.</v>
      </c>
    </row>
    <row r="3469">
      <c r="A3469" s="1">
        <v>5.0</v>
      </c>
      <c r="B3469" s="1" t="s">
        <v>3453</v>
      </c>
      <c r="C3469" t="str">
        <f>IFERROR(__xludf.DUMMYFUNCTION("GOOGLETRANSLATE(B3469, ""es"", ""en"")"),"Cracking has been a gift, and my partner has blown away when I taught what I had glass. In addition the impeccable presentation and is very thin.")</f>
        <v>Cracking has been a gift, and my partner has blown away when I taught what I had glass. In addition the impeccable presentation and is very thin.</v>
      </c>
    </row>
    <row r="3470">
      <c r="A3470" s="1">
        <v>5.0</v>
      </c>
      <c r="B3470" s="1" t="s">
        <v>3454</v>
      </c>
      <c r="C3470" t="str">
        <f>IFERROR(__xludf.DUMMYFUNCTION("GOOGLETRANSLATE(B3470, ""es"", ""en"")"),"Good product and many possible uses. Good product. I've used it to reinforce a dog bed and gave me good result.")</f>
        <v>Good product and many possible uses. Good product. I've used it to reinforce a dog bed and gave me good result.</v>
      </c>
    </row>
    <row r="3471">
      <c r="A3471" s="1">
        <v>5.0</v>
      </c>
      <c r="B3471" s="1" t="s">
        <v>3455</v>
      </c>
      <c r="C3471" t="str">
        <f>IFERROR(__xludf.DUMMYFUNCTION("GOOGLETRANSLATE(B3471, ""es"", ""en"")"),"A good fabric garment ideal, really doubted if I would be fine but the truth is that the fabric is very good and very fresh especially, really like and fits well with ankles as it should be")</f>
        <v>A good fabric garment ideal, really doubted if I would be fine but the truth is that the fabric is very good and very fresh especially, really like and fits well with ankles as it should be</v>
      </c>
    </row>
    <row r="3472">
      <c r="A3472" s="1">
        <v>5.0</v>
      </c>
      <c r="B3472" s="1" t="s">
        <v>3456</v>
      </c>
      <c r="C3472" t="str">
        <f>IFERROR(__xludf.DUMMYFUNCTION("GOOGLETRANSLATE(B3472, ""es"", ""en"")"),"GOOD BUY &lt;div id = ""video-block-RJQM9ZW8V810L"" class = ""a-section a-spacing-small a-spacing-top mini video-block""&gt; &lt;div tabindex = ""0"" class = ""airy airy-svg vmin-supported airy-skin-beacon ""style ="" background-color: rgb (0, 0, 0) position: rela"&amp;"tive; width: 100%; height: 100%; font-size: 0px; overflow: hidden; outline : none; ""&gt; &lt;div class ="" airy-renderer-container ""style ="" position: relative; height: 100%; width: 100%; ""&gt; &lt;video id ="" 31 ""preload ="" auto ""src ="" https://images-eu.ss"&amp;"l-images-amazon.com/images/I/91cKaa36RSS.mp4 ""style ="" position: absolute; left: 0px; top: 0px; overflow: hidden; height: 1px; width: 1px ; ""&gt; &lt;/ video&gt; &lt;/ div&gt; &lt;div id ="" airy-slate-preload ""style ="" background-color: rgb (0, 0, 0); background-imag"&amp;"e: url (&amp; quot; https: // images-eu.ssl-images-amazon.com/images/I/91epgd89D1S.png&amp;quot;); background-size: Contain; background-position: center center; background-repeat: no-repeat; position: absolute; top: 0px ; left: 0px; visibility: visible; width: 10"&amp;"0%; height: 100%; ""&gt; &lt;/ div&gt; &lt;iframe scrolling ="" no "" frameborder = ""0"" src = ""about: blank"" style = ""display: none;""&gt; &lt;/ iframe&gt; &lt;div tabindex = ""- 1"" class = ""airy-controls-container"" style = ""opacity: 0; visibility: hidden; ""&gt; &lt;div tabi"&amp;"ndex ="" - 1 ""class ="" airy-screen-size-toggle airy-fullscreen ""&gt; &lt;/ div&gt; &lt;div tabindex ="" - 1 ""class ="" airy-container-bottom "" &gt; &lt;div tabindex = ""- 1"" class = ""airy-track-bar-spacer-left"" style = ""width: 11px;""&gt; &lt;/ div&gt; &lt;div tabindex = ""- "&amp;"1"" class = ""airy-play- airy toggle-play ""style ="" width: 12px; margin-right: 12px; ""&gt; &lt;/ div&gt; &lt;div tabindex ="" - 1 ""class ="" airy-audio-elements ""style ="" float: right; width: 34px; ""&gt; &lt;div tabindex ="" - 1 ""class ="" airy-audio-toggle airy-on"&amp;" ""&gt; &lt;/ div&gt; &lt;div tabindex ="" - 1 ""class ="" airy-audio-container ""style = ""opacity: 0; visibility: hidden; ""&gt; &lt;div tabindex ="" - 1 ""class ="" airy-audio-track-bar ""style ="" height: 80%; ""&gt; &lt;div tabindex ="" - 1 ""class ="" airy-audio- Scrubber-"&amp;"bar ""style ="" height: 85%; ""&gt; &lt;/ div&gt; &lt;div tabindex ="" - 1 ""class ="" airy-audio-scrubber ""style ="" height: 12px; bottom 85% ""&gt; &lt;/ div&gt; &lt;/ div&gt; &lt;/ div&gt; &lt;/ div&gt; &lt;div tabindex ="" - 1 ""class ="" airy-duration-label ""style ="" float: right; width: "&amp;"26px; margin-right: 4px; text-align: center; ""&gt; 0:00 &lt;/ div&gt; &lt;div tabindex ="" - 1 ""class ="" airy-track-bar-spacer-right ""style ="" float: right; width: 11px; ""&gt; &lt;/ div&gt; &lt;div tabindex ="" - 1 ""class ="" airy-track-bar-container ""style ="" margin-le"&amp;"ft: 35px; margin-right: 75px; ""&gt; &lt;div tabindex ="" - 1 ""class ="" airy-airy-track-bar vertically-centering-table ""&gt; &lt;div tabindex ="" - 1 ""class ="" airy-Vertical-centering- table-cell ""&gt; &lt;div tabindex ="" - 1 ""class ="" airy-track-bar-elements ""&gt; "&amp;"&lt;div tabindex ="" - 1 ""class ="" airy-progress-bar ""&gt; &lt;/ div&gt; &lt;div tabindex = ""- 1"" class = ""airy-scrubber-bar""&gt; &lt;/ div&gt; &lt;div tabindex = ""- 1"" class = ""airy-scrubber""&gt; &lt;div tabindex = ""- 1"" class = ""airy-scrubber- icon ""&gt; &lt;/ div&gt; &lt;div tabind"&amp;"ex ="" - 1 ""class ="" airy-adjusted-AUI-tooltip ""style ="" opacity: 0; visibility: hidden; ""&gt; &lt;div tabindex ="" - 1 ""class ="" airy-adjusted-aui-tooltip-inner ""&gt; &lt;div tabindex ="" - 1 ""class ="" airy-current-time-label ""&gt; 0: 00 &lt;/ div&gt; &lt;/ div&gt; &lt;div"&amp;" tabindex = ""- 1"" class = ""airy-adjusted-AUI-arrow-border""&gt; &lt;div tabindex = ""- 1"" class = ""airy-adjusted-AUI-arrow"" &gt; &lt;/ div&gt; &lt;/ div&gt; &lt;/ div&gt; &lt;/ div&gt; &lt;/ div&gt; &lt;/ div&gt; &lt;/ div&gt; &lt;/ div&gt; &lt;/ div&gt; &lt;/ div&gt; &lt;div tabindex = ""- 1"" class = ""airy-age-gate a"&amp;"iry-stage airy-Vertical-centering-table airy-dialog"" style = ""opacity: 0; visibility: hidden; ""&gt; &lt;div tabindex ="" - 1 ""class ="" airy-age-gate-Vertical-centering-table-cell airy-Vertical-centering-table-cell ""&gt; &lt;div tabindex ="" - 1 ""class = ""airy"&amp;"-Vertical-centering-wrapper airy-age-gate-elements-wrapper""&gt; &lt;div tabindex = ""- 1"" class = ""airy-age-gate-elements airy-dialog-elements""&gt; &lt;div tabindex = "" -1 ""class ="" airy-age-gate-prompt ""&gt; This video is not Intended for all audiences What dat"&amp;"e were you born &lt;/ div&gt; &lt;div tabindex =.?"" - 1 ""class ="" airy-age-gate -inputs airy-dialog-inner-elements ""&gt; &lt;select tabindex ="" - 1 ""class ="" airy-age-gate-month ""&gt; &lt;option value ="" 1 ""&gt; January &lt;/ option&gt; &lt;option value ="" 2 ""&gt; February &lt;/ op"&amp;"tion&gt; &lt;option value ="" 3 ""&gt; March &lt;/ option&gt; &lt;option value ="" 4 ""&gt; April &lt;/ option&gt; &lt;option value ="" 5 ""&gt; May &lt;/ option&gt; &lt;option value = ""6""&gt; June &lt;/ option&gt; &lt;option value = ""7""&gt; July &lt;/ option&gt; &lt;option value = ""8""&gt; August &lt;/ option&gt; &lt;option v"&amp;"alue = ""9""&gt; September &lt;/ option&gt; &lt;option value = ""10""&gt; October &lt;/ option&gt; &lt;option value = ""11""&gt; November &lt;/ option&gt; &lt;option value = ""12""&gt; December &lt;/ option&gt; &lt;/ select&gt; &lt;select tabindex = ""- 1"" class = ""airy-age-gate-day""&gt; &lt;opti on value = ""1"&amp;"""&gt; 1 &lt;/ option&gt; &lt;option value = ""2""&gt; 2 &lt;/ option&gt; &lt;option value = ""3""&gt; 3 &lt;/ option&gt; &lt;option value = ""4""&gt; 4 &lt;/ option &gt; &lt;option value = ""5""&gt; 5 &lt;/ option&gt; &lt;option value = ""6""&gt; 6 &lt;/ option&gt; &lt;option value = ""7""&gt; 7 &lt;/ option&gt; &lt;option value = ""8"""&amp;"&gt; 8 &lt; / option&gt; &lt;option value = ""9""&gt; 9 &lt;/ option&gt; &lt;option value = ""10""&gt; 10 &lt;/ option&gt; &lt;option value = ""11""&gt; 11 &lt;/ option&gt; &lt;option value = ""12""&gt; 12 &lt;/ option&gt; &lt;option value = ""13""&gt; 13 &lt;/ option&gt; &lt;option value = ""14""&gt; 14 &lt;/ option&gt; &lt;option value"&amp;" = ""15""&gt; 15 &lt;/ option&gt; &lt;option value = ""16 ""&gt; 16 &lt;/ option&gt; &lt;option value ="" 17 ""&gt; 17 &lt;/ option&gt; &lt;option value ="" 18 ""&gt; 18 &lt;/ option&gt; &lt;option value ="" 19 ""&gt; 19 &lt;/ option&gt; &lt;option value = ""20""&gt; 20 &lt;/ option&gt; &lt;option value = ""21""&gt; 21 &lt;/ option"&amp;"&gt; &lt;option value = ""22""&gt; 22 &lt;/ option&gt; &lt;option value = ""23""&gt; 23 &lt;/ option&gt; &lt;option value = ""24""&gt; 24 &lt;/ option&gt; &lt;option value = ""25""&gt; 25 &lt;/ option&gt; &lt;option value = ""26""&gt; 26 &lt;/ option&gt; &lt;option value = ""27""&gt; 27 &lt;/ option&gt; &lt;option value = ""28""&gt; 2"&amp;"8 &lt;/ option&gt; &lt;option value = ""29""&gt; 29 &lt;/ option&gt; &lt;option value = ""30""&gt; 30 &lt;/ option&gt; &lt;option value = ""31""&gt; 31 &lt;/ option&gt; &lt;/ select&gt; &lt;select tabindex = ""- 1"" class = ""airy-age-gate-year""&gt; &lt;option value = ""2019""&gt; 2019 &lt;/ option&gt; &lt; option value ="&amp;" ""2018""&gt; 2018 &lt;/ option&gt; &lt;option value = ""2017""&gt; 2017 &lt;/ option&gt; &lt;option value = ""2016""&gt; ​​2016 &lt;/ option&gt; &lt;option value = ""2015""&gt; 2015 &lt;/ option &gt; &lt;option value = ""2014""&gt; 2014 &lt;/ option&gt; &lt;option value = ""2013""&gt; 2013 &lt;/ option&gt; &lt;option value ="&amp;" ""2012""&gt; 2012 &lt;/ option&gt; &lt;option value = ""2011""&gt; 2011 &lt; / option&gt; &lt;option value = ""2010""&gt; 2010 &lt;/ option&gt; &lt;option value = ""2009""&gt; 2009 &lt;/ option&gt; &lt;option value = ""2008""&gt; 2008 &lt;/ option&gt; &lt;option value = ""2007""&gt; 2007 &lt;/ option&gt; &lt;option value = "&amp;"""2006""&gt; 2006 &lt;/ option&gt; &lt;option value = ""2005""&gt; 2005 &lt;/ option&gt; &lt;option value = ""2004""&gt; 2004 &lt;/ option&gt; &lt;option value = ""2003 ""&gt; 2003 &lt;/ option&gt; &lt;option value ="" 2002 ""&gt; 2002 &lt;/ option&gt; &lt;option value ="" 2001 ""&gt; 2001 &lt;/ option&gt; &lt;option value ="&amp;""" 2000 ""&gt; 2000 &lt;/ option&gt; &lt;option value = ""1999""&gt; 1999 &lt;/ option&gt; &lt;option value = ""1998""&gt; 1998 &lt;/ option&gt; &lt;option value = ""1997""&gt; 1997 &lt;/ option&gt; &lt;option value = ""1996""&gt; 1996 &lt;/ option&gt; &lt;option value = ""1995""&gt; 1995 &lt;/ option&gt; &lt;option value = "&amp;"""1994""&gt; 1994 &lt;/ option&gt; &lt;option value = ""1993""&gt; 1993 &lt;/ option&gt; &lt;option value = ""1992""&gt; 1992 &lt;/ option&gt; &lt;option value = ""1991""&gt; 1991 &lt;/ option&gt; &lt;option value = ""1990""&gt; 1990 &lt;/ option&gt; &lt;option value = "" 1989 ""&gt; 1989 &lt;/ option&gt; &lt;option value ="""&amp;" 1988 ""&gt; 1988 &lt;/ option&gt; &lt;option value ="" 1987 ""&gt; 1987 &lt;/ option&gt; &lt;option value ="" 1986 ""&gt; 1986 &lt;/ option&gt; &lt;value option = ""1985""&gt; 1985 &lt;/ option&gt; &lt;option value = ""1984""&gt; 1984 &lt;/ option&gt; &lt;option value = ""1983""&gt; 1983 &lt;/ option&gt; &lt;option value = "&amp;"""1982""&gt; 1982 &lt;/ option&gt; &lt; option value = ""1981""&gt; 1981 &lt;/ option&gt; &lt;option value = ""1980""&gt; 1980 &lt;/ option&gt; &lt;option value = ""1979""&gt; 1979 &lt;/ option&gt; &lt;option value = ""1978""&gt; 1978 &lt;/ option &gt; &lt;option value = ""1977""&gt; 1977 &lt;/ option&gt; &lt;option value = "&amp;"""1976""&gt; 1976 &lt;/ option&gt; &lt;option value = ""1975""&gt; 1975 &lt;/ option&gt; &lt;option value = ""1974""&gt; 1974 &lt; / option&gt; &lt;option value = ""1973""&gt; 1973 &lt;/ option&gt; &lt;option value = ""1972""&gt; 1972 &lt;/ option&gt; &lt;option value = ""1971""&gt; 1971 &lt;/ option&gt; &lt;option value = """&amp;"1970""&gt; 1970 &lt;/ option&gt; &lt;option value = ""1969""&gt; 1969 &lt;/ option&gt; &lt;option value = ""1968""&gt; 1968 &lt;/ option&gt; &lt;option value = ""1967""&gt; 1967 &lt;/ option&gt; &lt;option value = ""1966 ""&gt; 1966 &lt;/ option&gt; &lt;option value ="" 1965 ""&gt; 1965 &lt;/ option&gt; &lt;option value ="" 1"&amp;"964 ""&gt; 1964 &lt;/ option&gt; &lt;option value ="" 1963 ""&gt; 1963 &lt;/ option&gt; &lt;option value = ""1962""&gt; 1962 &lt;/ option&gt; &lt;option value = ""1961""&gt; 1961 &lt;/ option&gt; &lt;option value = ""1960""&gt; 1960 &lt;/ op tion&gt; &lt;option value = ""1959""&gt; 1959 &lt;/ option&gt; &lt;option value = ""1"&amp;"958""&gt; 1958 &lt;/ option&gt; &lt;option value = ""1957""&gt; 1957 &lt;/ option&gt; &lt;option value = ""1956""&gt; 1956 &lt;/ option&gt; &lt;option value = ""1955""&gt; 1955 &lt;/ option&gt; &lt;option value = ""1954""&gt; 1954 &lt;/ option&gt; &lt;option value = ""1953""&gt; 1953 &lt;/ option&gt; &lt;option value = ""1952"&amp;""" &gt; 1952 &lt;/ option&gt; &lt;option value = ""1951""&gt; 1951 &lt;/ option&gt; &lt;option value = ""1950""&gt; 1950 &lt;/ option&gt; &lt;option value = ""1949""&gt; 1949 &lt;/ option&gt; &lt;option value = "" 1948 ""&gt; 1948 &lt;/ option&gt; &lt;option value ="" 1947 ""&gt; 1947 &lt;/ option&gt; &lt;option value ="" 194"&amp;"6 ""&gt; 1946 &lt;/ option&gt; &lt;option value ="" 1945 ""&gt; 1945 &lt;/ option&gt; &lt;value option = ""1944""&gt; 1944 &lt;/ option&gt; &lt;option value = ""1943""&gt; 1943 &lt;/ option&gt; &lt;option value = ""1942""&gt; 1942 &lt;/ option&gt; &lt;option value = ""1941""&gt; 1941 &lt;/ option&gt; &lt; option value = ""194"&amp;"0""&gt; 1940 &lt;/ option&gt; &lt;option value = ""1939""&gt; 1939 &lt;/ option&gt; &lt;option value = ""1938""&gt; 1938 &lt;/ option&gt; &lt;option value = ""1937""&gt; 1937 &lt;/ option &gt; &lt;option value = ""1936""&gt; 1936 &lt;/ option&gt; &lt;option value = ""1935""&gt; 1935 &lt;/ option&gt; &lt;option value = ""1934"&amp;"""&gt; 1934 &lt;/ option&gt; &lt;option value = ""1933""&gt; 1933 &lt; / option&gt; &lt;option value = ""1932""&gt; 1932 &lt;/ option&gt; &lt;option value = ""1931""&gt; 1931 &lt;/ option&gt; &lt;option v alue = ""1930""&gt; 1930 &lt;/ option&gt; &lt;option value = ""1929""&gt; 1929 &lt;/ option&gt; &lt;option value = ""1928"&amp;"""&gt; 1928 &lt;/ option&gt; &lt;option value = ""1927""&gt; 1927 &lt;/ option&gt; &lt;option value = ""1926""&gt; 1926 &lt;/ option&gt; &lt;option value = ""1925""&gt; 1925 &lt;/ option&gt; &lt;option value = ""1924""&gt; 1924 &lt;/ option&gt; &lt;option value = ""1923""&gt; 1923 &lt;/ option&gt; &lt;option value = ""1922""&gt;"&amp;" 1922 &lt;/ option&gt; &lt;option value = ""1921""&gt; 1921 &lt;/ option&gt; &lt;option value = ""1920""&gt; 1920 &lt;/ option&gt; &lt;option value = ""1919""&gt; 1919 &lt;/ option&gt; &lt;option value = ""1918""&gt; 1918 &lt;/ option&gt; &lt;option value = ""1917""&gt; 1917 &lt;/ option&gt; &lt;option value = ""1916""&gt; 19"&amp;"16 &lt;/ option&gt; &lt;option value = ""1915"" &gt; 1915 &lt;/ option&gt; &lt;option value = ""1914""&gt; 1914 &lt;/ option&gt; &lt;option value = ""1913""&gt; 1913 &lt;/ option&gt; &lt;option value = ""1912""&gt; 1912 &lt;/ option&gt; &lt;option value = "" 1911 ""&gt; 1911 &lt;/ option&gt; &lt;option value ="" 1910 ""&gt; 1"&amp;"910 &lt;/ option&gt; &lt;option value ="" 1909 ""&gt; 1909 &lt;/ option&gt; &lt;option value ="" 1908 ""&gt; 1908 &lt;/ option&gt; &lt;value option = ""1907""&gt; 1907 &lt;/ option&gt; &lt;option value = ""1906""&gt; 1906 &lt;/ option&gt; &lt;option value = ""1905""&gt; 1905 &lt;/ option&gt; &lt;option value = ""1904""&gt; 19"&amp;"04 &lt;/ option&gt; &lt; option value = ""1903""&gt; 1903 &lt;/ option&gt; &lt;option value = ""1902""&gt; 1902 &lt;/ option&gt; &lt;option value = ""1901""&gt; 19 01 &lt;/ option&gt; &lt;option value = ""1900""&gt; 1900 &lt;/ option&gt; &lt;/ select&gt; &lt;div tabindex = ""- 1"" class = ""airy-age-gate-submit airy-"&amp;"submit-button airy airy-submit- disabled ""&gt; Submit &lt;/ div&gt; &lt;/ div&gt; &lt;/ div&gt; &lt;/ div&gt; &lt;/ div&gt; &lt;/ div&gt; &lt;div tabindex ="" - 1 ""class ="" airy-install-flash-dialog airy-stage airy -vertical-centering-table-dialog airy airy-denied ""style ="" opacity: 0; visib"&amp;"ility: hidden; ""&gt; &lt;div tabindex ="" - 1 ""class ="" airy-install-flash-Vertical-centering-table-cell airy-Vertical-centering-table-cell ""&gt; &lt;div tabindex ="" - 1 ""class = ""airy-Vertical-centering-wrapper airy-install-flash-elements-wrapper""&gt; &lt;div tabi"&amp;"ndex = ""- 1"" class = ""airy-install-flash-elements airy-dialog-elements""&gt; &lt;div tabindex = "" -1 ""class ="" airy-install-flash-prompt ""&gt; Adobe Flash Player is required to watch this video &lt;/ div&gt; &lt;div tabindex =."" - 1 ""class ="" airy-install-flash-b"&amp;"utton-wrapper airy -dialog-inner-elements ""&gt; &lt;div tabindex ="" - 1 ""class ="" airy-install-flash-button airy-button ""&gt; install Flash Player &lt;/ div&gt; &lt;/ div&gt; &lt;/ div&gt; &lt;/ div&gt; &lt;/ div&gt; &lt;/ div&gt; &lt;div tabindex = ""- 1"" class = ""airy-video-unsupported-dialog "&amp;"airy-stage airy-Vertical-centering-table airy-dialog airy-denied"" style = ""opacity: 0; visibility: hidden; ""&gt; &lt;div tabindex ="" - 1 ""class ="" airy-video-unsupported-Vertical-centering-table-cell airy-Vertical-centering-table-cell ""&gt; &lt;div tabindex ="&amp;""" - 1 ""class = ""airy-Vertical-centering-wrapper airy-video-unsupported-elements-wrapper""&gt; &lt;div tabindex = ""- 1"" class = ""airy-video-unsupported-elements airy-dialog-elements""&gt; &lt;div tabindex = "" -1 ""class ="" airy-video-unsupported-prompt ""&gt; &lt;/ "&amp;"div&gt; &lt;/ div&gt; &lt;/ div&gt; &lt;/ div&gt; &lt;/ div&gt; &lt;div tabindex ="" - 1 ""class ="" airy-loading- spinner-stage airy-stage ""&gt; &lt;div tabindex ="" - 1 ""class ="" airy-loading-spinner-Vertical-centering-table-cell airy-Vertical-centering-table-cell ""&gt; &lt;div tabindex ="""&amp;" - 1 ""class ="" airy-loading-spinner-container airy-scalable-hint-container ""&gt; &lt;div tabindex ="" - 1 ""class ="" airy-loading-spinner-dummy airy-scalable-dummy ""&gt; &lt;/ div&gt; &lt; div tabindex = ""- 1"" class = ""airy-loading-spinner airy-hint"" style = ""vis"&amp;"ibility: hidden;""&gt; &lt;/ div&gt; &lt;/ div&gt; &lt;/ div&gt; &lt;/ div&gt; &lt;div tabindex = ""- 1 ""class ="" airy-ads-screen-size-toggle airy-screen-size-toggle-fullscreen airy ""style ="" visibility: hidden; ""&gt; &lt;/ div&gt; &lt;div tabindex = ""-1"" class = ""airy-ad-prompt-container"&amp;""" style = ""visibility: hidden;""&gt; &lt;div tabindex = ""- 1"" class = ""airy-ad-prompt-Vertical-centering-table-vertically airy centering-table ""&gt; &lt;div tabindex ="" - 1 ""class ="" airy-ad-prompt-Vertical-centering-table-cell airy-Vertical-centering-table-"&amp;"cell ""&gt; &lt;div tabindex ="" - 1 ""class = ""airy-ad-prompt-label""&gt; &lt;/ div&gt; &lt;/ div&gt; &lt;/ div&gt; &lt;/ div&gt; &lt;div tabindex = ""- 1"" class = ""airy-ads-controls-container"" style = ""visibility: hidden; ""&gt; &lt;div tabindex ="" - 1 ""class ="" airy-ads-audio-toggle ai"&amp;"ry-audio-toggle airy-on ""style ="" visibility: hidden; ""&gt; &lt;/ div&gt; &lt;div tabindex ="" - 1 ""class ="" airy-time-remaining-label-container ""&gt; &lt;div tabindex ="" - 1 ""class ="" airy-time-remaining-Vertical-centering-table airy-Vertical-centering-table ""&gt; "&amp;"&lt;div tabindex = ""- 1"" class = ""airy-time-remaining-Vertical-centering-table-cell airy-Vertical-centering-table-cell""&gt; &lt;div tabindex = ""- 1"" class = ""airy-Vertical-centering-wrapper airy-time-remaining-label-wrapper ""&gt; &lt;div tabindex ="" - 1 ""class"&amp;" ="" airy-time-remaining-label ""style ="" visibility: hidden; ""&gt; &lt;/ div&gt; &lt;div tabi ndex = ""- 1"" class = ""airy-ad-skip"" style = ""visibility: hidden;""&gt; &lt;/ div&gt; &lt;div tabindex = ""- 1"" class = ""airy-ad-end"" style = ""visibility: hidden ""&gt; &lt;/ div&gt; "&amp;"&lt;/ div&gt; &lt;/ div&gt; &lt;/ div&gt; &lt;/ div&gt; &lt;div tabindex ="" - 1 ""class ="" airy-learn-more ""style ="" visibility: hidden; ""&gt; &lt;/ div&gt; &lt;/ div&gt; &lt;div tabindex = ""- 1"" class = ""airy-play-toggle-hint-stage airy-stage airy-cursor""&gt; &lt;div tabindex = ""- 1"" class = "&amp;"""airy-play -toggle-hint-Vertical-centering-table-cell airy-Vertical-centering-table-cell airy-cursor ""&gt; &lt;div tabindex ="" - 1 ""class ="" airy-play-toggle-hint-container airy-scalable- Hint-container ""&gt; &lt;div tabindex ="" - 1 ""class ="" airy-play-toggl"&amp;"e-hint-dummy airy-scalable-dummy ""&gt; &lt;/ div&gt; &lt;div tabindex ="" - 1 ""class ="" airy-play -toggle-hint hint airy-airy-play-hint ""style ="" opacity: 1; visibility: visible; ""&gt; &lt;/ div&gt; &lt;/ div&gt; &lt;/ div&gt; &lt;/ div&gt; &lt;div tabindex ="" - 1 ""class ="" airy-replay-h"&amp;"int-stage airy-stage ""style ="" visibility: hidden ; ""&gt; &lt;div tabindex ="" - 1 ""class ="" airy-replay-hint-Vertical-centering-table-cell airy-Vertical-centering-table-cell airy-cursor ""&gt; &lt;div tabindex ="" - 1 ""class = ""airy-replay-hint-container airy"&amp;"-scalable-hint-container""&gt; &lt;div tabindex = ""- 1"" class = ""airy-replay-hint-dummy airy-scalable-dummy""&gt; &lt;/ div&gt; &lt;div tabindex = ""- 1"" class = ""airy-replay-hint airy-hint""&gt; &lt;/ div&gt; &lt;/ div&gt; &lt;/ div&gt; &lt;/ div&gt; &lt;div tabindex = ""- 1"" class = ""airy-auto"&amp;"play-hint -stage airy-stage ""style ="" visibility: hidden; ""&gt; &lt;div tabindex ="" - 1 ""class ="" airy-autoplay-hint-Vertical-centering-table-cell airy-Vertical-centering-table-cell airy- cursor ""&gt; &lt;div tabindex ="" - 1 ""class ="" autoplay airy-airy-hin"&amp;"t-container-scalable-hint-container ""&gt; &lt;div tabindex ="" - 1 ""class ="" airy-autoplay-hint-dummy airy- scalable-dummy ""&gt; &lt;/ div&gt; &lt;/ div&gt; &lt;/ div&gt; &lt;/ div&gt; &lt;/ div&gt; &lt;/ div&gt; &lt;input type ="" hidden ""name ="" ""value ="" https: // images-eu .ssl-images-amazo"&amp;"n.com / images / I / 91cKaa36RSS.mp4 ""Class ="" video-url ""&gt; &lt;input type ="" hidden ""name ="" ""value ="" https://images-eu.ssl-images-amazon.com/images/I/91epgd89D1S.png ""class ="" video-slate-img-url ""&gt; &amp; nbsp; works perfect, very easy to operate a"&amp;"nd as such the description.")</f>
        <v>GOOD BUY &lt;div id = "video-block-RJQM9ZW8V810L" class = "a-section a-spacing-small a-spacing-top mini video-block"&gt; &lt;div tabindex = "0" class = "airy airy-svg vmin-supported airy-skin-beacon "style =" background-color: rgb (0, 0, 0) position: relative; width: 100%; height: 100%; font-size: 0px; overflow: hidden; outline : none; "&gt; &lt;div class =" airy-renderer-container "style =" position: relative; height: 100%; width: 100%; "&gt; &lt;video id =" 31 "preload =" auto "src =" https://images-eu.ssl-images-amazon.com/images/I/91cKaa36RSS.mp4 "style =" position: absolute; left: 0px; top: 0px; overflow: hidden; height: 1px; width: 1px ; "&gt; &lt;/ video&gt; &lt;/ div&gt; &lt;div id =" airy-slate-preload "style =" background-color: rgb (0, 0, 0); background-image: url (&amp; quot; https: // images-eu.ssl-images-amazon.com/images/I/91epgd89D1S.png&amp;quot;); background-size: Contain; background-position: center center; background-repeat: no-repeat; position: absolute; top: 0px ; left: 0px; visibility: visible; width: 100%; height: 100%; "&gt; &lt;/ div&gt; &lt;iframe scrolling =" no " frameborder = "0" src = "about: blank" style = "display: none;"&gt; &lt;/ iframe&gt; &lt;div tabindex = "- 1" class = "airy-controls-container" style = "opacity: 0; visibility: hidden; "&gt; &lt;div tabindex =" - 1 "class =" airy-screen-size-toggle airy-fullscreen "&gt; &lt;/ div&gt; &lt;div tabindex =" - 1 "class =" airy-container-bottom " &gt; &lt;div tabindex = "- 1" class = "airy-track-bar-spacer-left" style = "width: 11px;"&gt; &lt;/ div&gt; &lt;div tabindex = "- 1" class = "airy-play- airy toggle-play "style =" width: 12px; margin-right: 12px; "&gt; &lt;/ div&gt; &lt;div tabindex =" - 1 "class =" airy-audio-elements "style =" float: right; width: 34px; "&gt; &lt;div tabindex =" - 1 "class =" airy-audio-toggle airy-on "&gt; &lt;/ div&gt; &lt;div tabindex =" - 1 "class =" airy-audio-container "style = "opacity: 0; visibility: hidden; "&gt; &lt;div tabindex =" - 1 "class =" airy-audio-track-bar "style =" height: 80%; "&gt; &lt;div tabindex =" - 1 "class =" airy-audio- Scrubber-bar "style =" height: 85%; "&gt; &lt;/ div&gt; &lt;div tabindex =" - 1 "class =" airy-audio-scrubber "style =" height: 12px; bottom 85% "&gt; &lt;/ div&gt; &lt;/ div&gt; &lt;/ div&gt; &lt;/ div&gt; &lt;div tabindex =" - 1 "class =" airy-duration-label "style =" float: right; width: 26px; margin-right: 4px; text-align: center; "&gt; 0:00 &lt;/ div&gt; &lt;div tabindex =" - 1 "class =" airy-track-bar-spacer-right "style =" float: right; width: 11px; "&gt; &lt;/ div&gt; &lt;div tabindex =" - 1 "class =" airy-track-bar-container "style =" margin-left: 35px; margin-right: 75px; "&gt; &lt;div tabindex =" - 1 "class =" airy-airy-track-bar vertically-centering-table "&gt; &lt;div tabindex =" - 1 "class =" airy-Vertical-centering- table-cell "&gt; &lt;div tabindex =" - 1 "class =" airy-track-bar-elements "&gt; &lt;div tabindex =" - 1 "class =" airy-progress-bar "&gt; &lt;/ div&gt; &lt;div tabindex = "- 1" class = "airy-scrubber-bar"&gt; &lt;/ div&gt; &lt;div tabindex = "- 1" class = "airy-scrubber"&gt; &lt;div tabindex = "- 1" class = "airy-scrubber- icon "&gt; &lt;/ div&gt; &lt;div tabindex =" - 1 "class =" airy-adjusted-AUI-tooltip "style =" opacity: 0; visibility: hidden; "&gt; &lt;div tabindex =" - 1 "class =" airy-adjusted-aui-tooltip-inner "&gt; &lt;div tabindex =" - 1 "class =" airy-current-time-label "&gt; 0: 00 &lt;/ div&gt; &lt;/ div&gt; &lt;div tabindex = "- 1" class = "airy-adjusted-AUI-arrow-border"&gt; &lt;div tabindex = "- 1" class = "airy-adjusted-AUI-arrow" &gt; &lt;/ div&gt; &lt;/ div&gt; &lt;/ div&gt; &lt;/ div&gt; &lt;/ div&gt; &lt;/ div&gt; &lt;/ div&gt; &lt;/ div&gt; &lt;/ div&gt; &lt;/ div&gt; &lt;div tabindex = "- 1" class = "airy-age-gate airy-stage airy-Vertical-centering-table airy-dialog" style = "opacity: 0; visibility: hidden; "&gt; &lt;div tabindex =" - 1 "class =" airy-age-gate-Vertical-centering-table-cell airy-Vertical-centering-table-cell "&gt; &lt;div tabindex =" - 1 "class = "airy-Vertical-centering-wrapper airy-age-gate-elements-wrapper"&gt; &lt;div tabindex = "- 1" class = "airy-age-gate-elements airy-dialog-elements"&gt; &lt;div tabindex = " -1 "class =" airy-age-gate-prompt "&gt; This video is not Intended for all audiences What date were you born &lt;/ div&gt; &lt;div tabindex =.?" - 1 "class =" airy-age-gate -inputs airy-dialog-inner-elements "&gt; &lt;select tabindex =" - 1 "class =" airy-age-gate-month "&gt; &lt;option value =" 1 "&gt; January &lt;/ option&gt; &lt;option value =" 2 "&gt; February &lt;/ option&gt; &lt;option value =" 3 "&gt; March &lt;/ option&gt; &lt;option value =" 4 "&gt; April &lt;/ option&gt; &lt;option value =" 5 "&gt; May &lt;/ option&gt; &lt;option value = "6"&gt; June &lt;/ option&gt; &lt;option value = "7"&gt; July &lt;/ option&gt; &lt;option value = "8"&gt; August &lt;/ option&gt; &lt;option value = "9"&gt; September &lt;/ option&gt; &lt;option value = "10"&gt; October &lt;/ option&gt; &lt;option value = "11"&gt; November &lt;/ option&gt; &lt;option value = "12"&gt; December &lt;/ option&gt; &lt;/ select&gt; &lt;select tabindex = "- 1" class = "airy-age-gate-day"&gt; &lt;opti on value = "1"&gt; 1 &lt;/ option&gt; &lt;option value = "2"&gt; 2 &lt;/ option&gt; &lt;option value = "3"&gt; 3 &lt;/ option&gt; &lt;option value = "4"&gt; 4 &lt;/ option &gt; &lt;option value = "5"&gt; 5 &lt;/ option&gt; &lt;option value = "6"&gt; 6 &lt;/ option&gt; &lt;option value = "7"&gt; 7 &lt;/ option&gt; &lt;option value = "8"&gt; 8 &lt; / option&gt; &lt;option value = "9"&gt; 9 &lt;/ option&gt; &lt;option value = "10"&gt; 10 &lt;/ option&gt; &lt;option value = "11"&gt; 11 &lt;/ option&gt; &lt;option value = "12"&gt; 12 &lt;/ option&gt; &lt;option value = "13"&gt; 13 &lt;/ option&gt; &lt;option value = "14"&gt; 14 &lt;/ option&gt; &lt;option value = "15"&gt; 15 &lt;/ option&gt; &lt;option value = "16 "&gt; 16 &lt;/ option&gt; &lt;option value =" 17 "&gt; 17 &lt;/ option&gt; &lt;option value =" 18 "&gt; 18 &lt;/ option&gt; &lt;option value =" 19 "&gt; 19 &lt;/ option&gt; &lt;option value = "20"&gt; 20 &lt;/ option&gt; &lt;option value = "21"&gt; 21 &lt;/ option&gt; &lt;option value = "22"&gt; 22 &lt;/ option&gt; &lt;option value = "23"&gt; 23 &lt;/ option&gt; &lt;option value = "24"&gt; 24 &lt;/ option&gt; &lt;option value = "25"&gt; 25 &lt;/ option&gt; &lt;option value = "26"&gt; 26 &lt;/ option&gt; &lt;option value = "27"&gt; 27 &lt;/ option&gt; &lt;option value = "28"&gt; 28 &lt;/ option&gt; &lt;option value = "29"&gt; 29 &lt;/ option&gt; &lt;option value = "30"&gt; 30 &lt;/ option&gt; &lt;option value = "31"&gt; 31 &lt;/ option&gt; &lt;/ select&gt; &lt;select tabindex = "- 1" class = "airy-age-gate-year"&gt; &lt;option value = "2019"&gt; 2019 &lt;/ option&gt; &lt; option value = "2018"&gt; 2018 &lt;/ option&gt; &lt;option value = "2017"&gt; 2017 &lt;/ option&gt; &lt;option value = "2016"&gt; ​​2016 &lt;/ option&gt; &lt;option value = "2015"&gt; 2015 &lt;/ option &gt; &lt;option value = "2014"&gt; 2014 &lt;/ option&gt; &lt;option value = "2013"&gt; 2013 &lt;/ option&gt; &lt;option value = "2012"&gt; 2012 &lt;/ option&gt; &lt;option value = "2011"&gt; 2011 &lt; / option&gt; &lt;option value = "2010"&gt; 2010 &lt;/ option&gt; &lt;option value = "2009"&gt; 2009 &lt;/ option&gt; &lt;option value = "2008"&gt; 2008 &lt;/ option&gt; &lt;option value = "2007"&gt; 2007 &lt;/ option&gt; &lt;option value = "2006"&gt; 2006 &lt;/ option&gt; &lt;option value = "2005"&gt; 2005 &lt;/ option&gt; &lt;option value = "2004"&gt; 2004 &lt;/ option&gt; &lt;option value = "2003 "&gt; 2003 &lt;/ option&gt; &lt;option value =" 2002 "&gt; 2002 &lt;/ option&gt; &lt;option value =" 2001 "&gt; 2001 &lt;/ option&gt; &lt;option value =" 2000 "&gt; 2000 &lt;/ option&gt; &lt;option value = "1999"&gt; 1999 &lt;/ option&gt; &lt;option value = "1998"&gt; 1998 &lt;/ option&gt; &lt;option value = "1997"&gt; 1997 &lt;/ option&gt; &lt;option value = "1996"&gt; 1996 &lt;/ option&gt; &lt;option value = "1995"&gt; 1995 &lt;/ option&gt; &lt;option value = "1994"&gt; 1994 &lt;/ option&gt; &lt;option value = "1993"&gt; 1993 &lt;/ option&gt; &lt;option value = "1992"&gt; 1992 &lt;/ option&gt; &lt;option value = "1991"&gt; 1991 &lt;/ option&gt; &lt;option value = "1990"&gt; 1990 &lt;/ option&gt; &lt;option value = " 1989 "&gt; 1989 &lt;/ option&gt; &lt;option value =" 1988 "&gt; 1988 &lt;/ option&gt; &lt;option value =" 1987 "&gt; 1987 &lt;/ option&gt; &lt;option value =" 1986 "&gt; 1986 &lt;/ option&gt; &lt;value option = "1985"&gt; 1985 &lt;/ option&gt; &lt;option value = "1984"&gt; 1984 &lt;/ option&gt; &lt;option value = "1983"&gt; 1983 &lt;/ option&gt; &lt;option value = "1982"&gt; 1982 &lt;/ option&gt; &lt; option value = "1981"&gt; 1981 &lt;/ option&gt; &lt;option value = "1980"&gt; 1980 &lt;/ option&gt; &lt;option value = "1979"&gt; 1979 &lt;/ option&gt; &lt;option value = "1978"&gt; 1978 &lt;/ option &gt; &lt;option value = "1977"&gt; 1977 &lt;/ option&gt; &lt;option value = "1976"&gt; 1976 &lt;/ option&gt; &lt;option value = "1975"&gt; 1975 &lt;/ option&gt; &lt;option value = "1974"&gt; 1974 &lt; / option&gt; &lt;option value = "1973"&gt; 1973 &lt;/ option&gt; &lt;option value = "1972"&gt; 1972 &lt;/ option&gt; &lt;option value = "1971"&gt; 1971 &lt;/ option&gt; &lt;option value = "1970"&gt; 1970 &lt;/ option&gt; &lt;option value = "1969"&gt; 1969 &lt;/ option&gt; &lt;option value = "1968"&gt; 1968 &lt;/ option&gt; &lt;option value = "1967"&gt; 1967 &lt;/ option&gt; &lt;option value = "1966 "&gt; 1966 &lt;/ option&gt; &lt;option value =" 1965 "&gt; 1965 &lt;/ option&gt; &lt;option value =" 1964 "&gt; 1964 &lt;/ option&gt; &lt;option value =" 1963 "&gt; 1963 &lt;/ option&gt; &lt;option value = "1962"&gt; 1962 &lt;/ option&gt; &lt;option value = "1961"&gt; 1961 &lt;/ option&gt; &lt;option value = "1960"&gt; 1960 &lt;/ op tion&gt; &lt;option value = "1959"&gt; 1959 &lt;/ option&gt; &lt;option value = "1958"&gt; 1958 &lt;/ option&gt; &lt;option value = "1957"&gt; 1957 &lt;/ option&gt; &lt;option value = "1956"&gt; 1956 &lt;/ option&gt; &lt;option value = "1955"&gt; 1955 &lt;/ option&gt; &lt;option value = "1954"&gt; 1954 &lt;/ option&gt; &lt;option value = "1953"&gt; 1953 &lt;/ option&gt; &lt;option value = "1952" &gt; 1952 &lt;/ option&gt; &lt;option value = "1951"&gt; 1951 &lt;/ option&gt; &lt;option value = "1950"&gt; 1950 &lt;/ option&gt; &lt;option value = "1949"&gt; 1949 &lt;/ option&gt; &lt;option value = " 1948 "&gt; 1948 &lt;/ option&gt; &lt;option value =" 1947 "&gt; 1947 &lt;/ option&gt; &lt;option value =" 1946 "&gt; 1946 &lt;/ option&gt; &lt;option value =" 1945 "&gt; 1945 &lt;/ option&gt; &lt;value option = "1944"&gt; 1944 &lt;/ option&gt; &lt;option value = "1943"&gt; 1943 &lt;/ option&gt; &lt;option value = "1942"&gt; 1942 &lt;/ option&gt; &lt;option value = "1941"&gt; 1941 &lt;/ option&gt; &lt; option value = "1940"&gt; 1940 &lt;/ option&gt; &lt;option value = "1939"&gt; 1939 &lt;/ option&gt; &lt;option value = "1938"&gt; 1938 &lt;/ option&gt; &lt;option value = "1937"&gt; 1937 &lt;/ option &gt; &lt;option value = "1936"&gt; 1936 &lt;/ option&gt; &lt;option value = "1935"&gt; 1935 &lt;/ option&gt; &lt;option value = "1934"&gt; 1934 &lt;/ option&gt; &lt;option value = "1933"&gt; 1933 &lt; / option&gt; &lt;option value = "1932"&gt; 1932 &lt;/ option&gt; &lt;option value = "1931"&gt; 1931 &lt;/ option&gt; &lt;option v alue = "1930"&gt; 1930 &lt;/ option&gt; &lt;option value = "1929"&gt; 1929 &lt;/ option&gt; &lt;option value = "1928"&gt; 1928 &lt;/ option&gt; &lt;option value = "1927"&gt; 1927 &lt;/ option&gt; &lt;option value = "1926"&gt; 1926 &lt;/ option&gt; &lt;option value = "1925"&gt; 1925 &lt;/ option&gt; &lt;option value = "1924"&gt; 1924 &lt;/ option&gt; &lt;option value = "1923"&gt; 1923 &lt;/ option&gt; &lt;option value = "1922"&gt; 1922 &lt;/ option&gt; &lt;option value = "1921"&gt; 1921 &lt;/ option&gt; &lt;option value = "1920"&gt; 1920 &lt;/ option&gt; &lt;option value = "1919"&gt; 1919 &lt;/ option&gt; &lt;option value = "1918"&gt; 1918 &lt;/ option&gt; &lt;option value = "1917"&gt; 1917 &lt;/ option&gt; &lt;option value = "1916"&gt; 1916 &lt;/ option&gt; &lt;option value = "1915" &gt; 1915 &lt;/ option&gt; &lt;option value = "1914"&gt; 1914 &lt;/ option&gt; &lt;option value = "1913"&gt; 1913 &lt;/ option&gt; &lt;option value = "1912"&gt; 1912 &lt;/ option&gt; &lt;option value = " 1911 "&gt; 1911 &lt;/ option&gt; &lt;option value =" 1910 "&gt; 1910 &lt;/ option&gt; &lt;option value =" 1909 "&gt; 1909 &lt;/ option&gt; &lt;option value =" 1908 "&gt; 1908 &lt;/ option&gt; &lt;value option = "1907"&gt; 1907 &lt;/ option&gt; &lt;option value = "1906"&gt; 1906 &lt;/ option&gt; &lt;option value = "1905"&gt; 1905 &lt;/ option&gt; &lt;option value = "1904"&gt; 1904 &lt;/ option&gt; &lt; option value = "1903"&gt; 1903 &lt;/ option&gt; &lt;option value = "1902"&gt; 1902 &lt;/ option&gt; &lt;option value = "1901"&gt; 19 01 &lt;/ option&gt; &lt;option value = "1900"&gt; 1900 &lt;/ option&gt; &lt;/ select&gt; &lt;div tabindex = "- 1" class = "airy-age-gate-submit airy-submit-button airy airy-submit- disabled "&gt; Submit &lt;/ div&gt; &lt;/ div&gt; &lt;/ div&gt; &lt;/ div&gt; &lt;/ div&gt; &lt;/ div&gt; &lt;div tabindex =" - 1 "class =" airy-install-flash-dialog airy-stage airy -vertical-centering-table-dialog airy airy-denied "style =" opacity: 0; visibility: hidden; "&gt; &lt;div tabindex =" - 1 "class =" airy-install-flash-Vertical-centering-table-cell airy-Vertical-centering-table-cell "&gt; &lt;div tabindex =" - 1 "class = "airy-Vertical-centering-wrapper airy-install-flash-elements-wrapper"&gt; &lt;div tabindex = "- 1" class = "airy-install-flash-elements airy-dialog-elements"&gt; &lt;div tabindex = " -1 "class =" airy-install-flash-prompt "&gt; Adobe Flash Player is required to watch this video &lt;/ div&gt; &lt;div tabindex =." - 1 "class =" airy-install-flash-button-wrapper airy -dialog-inner-elements "&gt; &lt;div tabindex =" - 1 "class =" airy-install-flash-button airy-button "&gt; install Flash Player &lt;/ div&gt; &lt;/ div&gt; &lt;/ div&gt; &lt;/ div&gt; &lt;/ div&gt; &lt;/ div&gt; &lt;div tabindex = "- 1" class = "airy-video-unsupported-dialog airy-stage airy-Vertical-centering-table airy-dialog airy-denied" style = "opacity: 0; visibility: hidden; "&gt; &lt;div tabindex =" - 1 "class =" airy-video-unsupported-Vertical-centering-table-cell airy-Vertical-centering-table-cell "&gt; &lt;div tabindex =" - 1 "class = "airy-Vertical-centering-wrapper airy-video-unsupported-elements-wrapper"&gt; &lt;div tabindex = "- 1" class = "airy-video-unsupported-elements airy-dialog-elements"&gt; &lt;div tabindex = " -1 "class =" airy-video-unsupported-prompt "&gt; &lt;/ div&gt; &lt;/ div&gt; &lt;/ div&gt; &lt;/ div&gt; &lt;/ div&gt; &lt;div tabindex =" - 1 "class =" airy-loading- spinner-stage airy-stage "&gt; &lt;div tabindex =" - 1 "class =" airy-loading-spinner-Vertical-centering-table-cell airy-Vertical-centering-table-cell "&gt; &lt;div tabindex =" - 1 "class =" airy-loading-spinner-container airy-scalable-hint-container "&gt; &lt;div tabindex =" - 1 "class =" airy-loading-spinner-dummy airy-scalable-dummy "&gt; &lt;/ div&gt; &lt; div tabindex = "- 1" class = "airy-loading-spinner airy-hint" style = "visibility: hidden;"&gt; &lt;/ div&gt; &lt;/ div&gt; &lt;/ div&gt; &lt;/ div&gt; &lt;div tabindex = "- 1 "class =" airy-ads-screen-size-toggle airy-screen-size-toggle-fullscreen airy "style =" visibility: hidden; "&gt; &lt;/ div&gt; &lt;div tabindex = "-1" class = "airy-ad-prompt-container" style = "visibility: hidden;"&gt; &lt;div tabindex = "- 1" class = "airy-ad-prompt-Vertical-centering-table-vertically airy centering-table "&gt; &lt;div tabindex =" - 1 "class =" airy-ad-prompt-Vertical-centering-table-cell airy-Vertical-centering-table-cell "&gt; &lt;div tabindex =" - 1 "class = "airy-ad-prompt-label"&gt; &lt;/ div&gt; &lt;/ div&gt; &lt;/ div&gt; &lt;/ div&gt; &lt;div tabindex = "- 1" class = "airy-ads-controls-container" style = "visibility: hidden; "&gt; &lt;div tabindex =" - 1 "class =" airy-ads-audio-toggle airy-audio-toggle airy-on "style =" visibility: hidden; "&gt; &lt;/ div&gt; &lt;div tabindex =" - 1 "class =" airy-time-remaining-label-container "&gt; &lt;div tabindex =" - 1 "class =" airy-time-remaining-Vertical-centering-table airy-Vertical-centering-table "&gt; &lt;div tabindex = "- 1" class = "airy-time-remaining-Vertical-centering-table-cell airy-Vertical-centering-table-cell"&gt; &lt;div tabindex = "- 1" class = "airy-Vertical-centering-wrapper airy-time-remaining-label-wrapper "&gt; &lt;div tabindex =" - 1 "class =" airy-time-remaining-label "style =" visibility: hidden; "&gt; &lt;/ div&gt; &lt;div tabi ndex = "- 1" class = "airy-ad-skip" style = "visibility: hidden;"&gt; &lt;/ div&gt; &lt;div tabindex = "- 1" class = "airy-ad-end" style = "visibility: hidden "&gt; &lt;/ div&gt; &lt;/ div&gt; &lt;/ div&gt; &lt;/ div&gt; &lt;/ div&gt; &lt;div tabindex =" - 1 "class =" airy-learn-more "style =" visibility: hidden; "&gt; &lt;/ div&gt; &lt;/ div&gt; &lt;div tabindex = "- 1" class = "airy-play-toggle-hint-stage airy-stage airy-cursor"&gt; &lt;div tabindex = "- 1" class = "airy-play -toggle-hint-Vertical-centering-table-cell airy-Vertical-centering-table-cell airy-cursor "&gt; &lt;div tabindex =" - 1 "class =" airy-play-toggle-hint-container airy-scalable- Hint-container "&gt; &lt;div tabindex =" - 1 "class =" airy-play-toggle-hint-dummy airy-scalable-dummy "&gt; &lt;/ div&gt; &lt;div tabindex =" - 1 "class =" airy-play -toggle-hint hint airy-airy-play-hint "style =" opacity: 1; visibility: visible; "&gt; &lt;/ div&gt; &lt;/ div&gt; &lt;/ div&gt; &lt;/ div&gt; &lt;div tabindex =" - 1 "class =" airy-replay-hint-stage airy-stage "style =" visibility: hidden ; "&gt; &lt;div tabindex =" - 1 "class =" airy-replay-hint-Vertical-centering-table-cell airy-Vertical-centering-table-cell airy-cursor "&gt; &lt;div tabindex =" - 1 "class = "airy-replay-hint-container airy-scalable-hint-container"&gt; &lt;div tabindex = "- 1" class = "airy-replay-hint-dummy airy-scalable-dummy"&gt; &lt;/ div&gt; &lt;div tabindex = "- 1" class = "airy-replay-hint airy-hint"&gt; &lt;/ div&gt; &lt;/ div&gt; &lt;/ div&gt; &lt;/ div&gt; &lt;div tabindex = "- 1" class = "airy-autoplay-hint -stage airy-stage "style =" visibility: hidden; "&gt; &lt;div tabindex =" - 1 "class =" airy-autoplay-hint-Vertical-centering-table-cell airy-Vertical-centering-table-cell airy- cursor "&gt; &lt;div tabindex =" - 1 "class =" autoplay airy-airy-hint-container-scalable-hint-container "&gt; &lt;div tabindex =" - 1 "class =" airy-autoplay-hint-dummy airy- scalable-dummy "&gt; &lt;/ div&gt; &lt;/ div&gt; &lt;/ div&gt; &lt;/ div&gt; &lt;/ div&gt; &lt;/ div&gt; &lt;input type =" hidden "name =" "value =" https: // images-eu .ssl-images-amazon.com / images / I / 91cKaa36RSS.mp4 "Class =" video-url "&gt; &lt;input type =" hidden "name =" "value =" https://images-eu.ssl-images-amazon.com/images/I/91epgd89D1S.png "class =" video-slate-img-url "&gt; &amp; nbsp; works perfect, very easy to operate and as such the description.</v>
      </c>
    </row>
    <row r="3473">
      <c r="A3473" s="1">
        <v>5.0</v>
      </c>
      <c r="B3473" s="1" t="s">
        <v>3457</v>
      </c>
      <c r="C3473" t="str">
        <f>IFERROR(__xludf.DUMMYFUNCTION("GOOGLETRANSLATE(B3473, ""es"", ""en"")"),"A perfect gift gift very nice and not very expensive it was for my wife, and she loved it. It is simple to yet elegant and very well finished. It comes in its box and a bag with a cloth.")</f>
        <v>A perfect gift gift very nice and not very expensive it was for my wife, and she loved it. It is simple to yet elegant and very well finished. It comes in its box and a bag with a cloth.</v>
      </c>
    </row>
    <row r="3474">
      <c r="A3474" s="1">
        <v>5.0</v>
      </c>
      <c r="B3474" s="1" t="s">
        <v>3458</v>
      </c>
      <c r="C3474" t="str">
        <f>IFERROR(__xludf.DUMMYFUNCTION("GOOGLETRANSLATE(B3474, ""es"", ""en"")"),"Very nice very fine and nice, recommended.")</f>
        <v>Very nice very fine and nice, recommended.</v>
      </c>
    </row>
    <row r="3475">
      <c r="A3475" s="1">
        <v>5.0</v>
      </c>
      <c r="B3475" s="1" t="s">
        <v>3459</v>
      </c>
      <c r="C3475" t="str">
        <f>IFERROR(__xludf.DUMMYFUNCTION("GOOGLETRANSLATE(B3475, ""es"", ""en"")"),"Like in the picture Very nice")</f>
        <v>Like in the picture Very nice</v>
      </c>
    </row>
    <row r="3476">
      <c r="A3476" s="1">
        <v>5.0</v>
      </c>
      <c r="B3476" s="1" t="s">
        <v>3460</v>
      </c>
      <c r="C3476" t="str">
        <f>IFERROR(__xludf.DUMMYFUNCTION("GOOGLETRANSLATE(B3476, ""es"", ""en"")"),"Very good value for money The SSD is going very well for now, (I've only been with mounted 6 days) Value is very good, although it is true that are already out SSD PCIe 4.0 to a 1TB for 150 €, still deserves shame, because it's not being noticed in realit"&amp;"y when carrying loads, provided that stemmata talking about games, I said, for now very well, time will tell if it was worth it.")</f>
        <v>Very good value for money The SSD is going very well for now, (I've only been with mounted 6 days) Value is very good, although it is true that are already out SSD PCIe 4.0 to a 1TB for 150 €, still deserves shame, because it's not being noticed in reality when carrying loads, provided that stemmata talking about games, I said, for now very well, time will tell if it was worth it.</v>
      </c>
    </row>
    <row r="3477">
      <c r="A3477" s="1">
        <v>5.0</v>
      </c>
      <c r="B3477" s="1" t="s">
        <v>3461</v>
      </c>
      <c r="C3477" t="str">
        <f>IFERROR(__xludf.DUMMYFUNCTION("GOOGLETRANSLATE(B3477, ""es"", ""en"")"),"Quiet and powerful The product is as expected, has quality is quiet, powerful -in a plis plas you squeeze one pomelo- and very easy to clean. The only drawback that has at its base, are the two fixed plastic taquitos anteriorly could slip on the bench, I'"&amp;"ve solved it by putting two rubber.")</f>
        <v>Quiet and powerful The product is as expected, has quality is quiet, powerful -in a plis plas you squeeze one pomelo- and very easy to clean. The only drawback that has at its base, are the two fixed plastic taquitos anteriorly could slip on the bench, I've solved it by putting two rubber.</v>
      </c>
    </row>
    <row r="3478">
      <c r="A3478" s="1">
        <v>5.0</v>
      </c>
      <c r="B3478" s="1" t="s">
        <v>3462</v>
      </c>
      <c r="C3478" t="str">
        <f>IFERROR(__xludf.DUMMYFUNCTION("GOOGLETRANSLATE(B3478, ""es"", ""en"")"),"Fully recommended Super nice")</f>
        <v>Fully recommended Super nice</v>
      </c>
    </row>
    <row r="3479">
      <c r="A3479" s="1">
        <v>5.0</v>
      </c>
      <c r="B3479" s="1" t="s">
        <v>3463</v>
      </c>
      <c r="C3479" t="str">
        <f>IFERROR(__xludf.DUMMYFUNCTION("GOOGLETRANSLATE(B3479, ""es"", ""en"")"),"They are a perfect gift for my husband, the number is perfect, just a block with another couple having already home of the same model. The color is fine, it is almost brown very dark red.")</f>
        <v>They are a perfect gift for my husband, the number is perfect, just a block with another couple having already home of the same model. The color is fine, it is almost brown very dark red.</v>
      </c>
    </row>
    <row r="3480">
      <c r="A3480" s="1">
        <v>5.0</v>
      </c>
      <c r="B3480" s="1" t="s">
        <v>3464</v>
      </c>
      <c r="C3480" t="str">
        <f>IFERROR(__xludf.DUMMYFUNCTION("GOOGLETRANSLATE(B3480, ""es"", ""en"")"),"The kids good buy are delighted, good buy. I recommend")</f>
        <v>The kids good buy are delighted, good buy. I recommend</v>
      </c>
    </row>
    <row r="3481">
      <c r="A3481" s="1">
        <v>5.0</v>
      </c>
      <c r="B3481" s="1" t="s">
        <v>3465</v>
      </c>
      <c r="C3481" t="str">
        <f>IFERROR(__xludf.DUMMYFUNCTION("GOOGLETRANSLATE(B3481, ""es"", ""en"")"),"Always 1 Mustang size more comfortable. I use a tall 42 and I have asked the 43 and perfect")</f>
        <v>Always 1 Mustang size more comfortable. I use a tall 42 and I have asked the 43 and perfect</v>
      </c>
    </row>
    <row r="3482">
      <c r="A3482" s="1">
        <v>5.0</v>
      </c>
      <c r="B3482" s="1" t="s">
        <v>3466</v>
      </c>
      <c r="C3482" t="str">
        <f>IFERROR(__xludf.DUMMYFUNCTION("GOOGLETRANSLATE(B3482, ""es"", ""en"")"),"Ideal has arrived at the expected time. My daughter is delighted with the shoes. The perfect size. A good buy.")</f>
        <v>Ideal has arrived at the expected time. My daughter is delighted with the shoes. The perfect size. A good buy.</v>
      </c>
    </row>
    <row r="3483">
      <c r="A3483" s="1">
        <v>5.0</v>
      </c>
      <c r="B3483" s="1" t="s">
        <v>3467</v>
      </c>
      <c r="C3483" t="str">
        <f>IFERROR(__xludf.DUMMYFUNCTION("GOOGLETRANSLATE(B3483, ""es"", ""en"")"),"Impressive I satisfied with my Casio very well at all satisfied with this purchase the bracelet is very well finished and precise nor as normal or as large.")</f>
        <v>Impressive I satisfied with my Casio very well at all satisfied with this purchase the bracelet is very well finished and precise nor as normal or as large.</v>
      </c>
    </row>
    <row r="3484">
      <c r="A3484" s="1">
        <v>2.0</v>
      </c>
      <c r="B3484" s="1" t="s">
        <v>3468</v>
      </c>
      <c r="C3484" t="str">
        <f>IFERROR(__xludf.DUMMYFUNCTION("GOOGLETRANSLATE(B3484, ""es"", ""en"")"),"Product makes noise quite well presented, but sometimes does not connect well and makes enough noise. No repeat purchase")</f>
        <v>Product makes noise quite well presented, but sometimes does not connect well and makes enough noise. No repeat purchase</v>
      </c>
    </row>
    <row r="3485">
      <c r="A3485" s="1">
        <v>3.0</v>
      </c>
      <c r="B3485" s="1" t="s">
        <v>3469</v>
      </c>
      <c r="C3485" t="str">
        <f>IFERROR(__xludf.DUMMYFUNCTION("GOOGLETRANSLATE(B3485, ""es"", ""en"")"),"Microphone Pop Filter InnoGear Double Layer A filter like any other, nothing to makes its function, but probably would do the same with another cheaper.")</f>
        <v>Microphone Pop Filter InnoGear Double Layer A filter like any other, nothing to makes its function, but probably would do the same with another cheaper.</v>
      </c>
    </row>
    <row r="3486">
      <c r="A3486" s="1">
        <v>1.0</v>
      </c>
      <c r="B3486" s="1" t="s">
        <v>3470</v>
      </c>
      <c r="C3486" t="str">
        <f>IFERROR(__xludf.DUMMYFUNCTION("GOOGLETRANSLATE(B3486, ""es"", ""en"")"),"Poor quality poor")</f>
        <v>Poor quality poor</v>
      </c>
    </row>
    <row r="3487">
      <c r="A3487" s="1">
        <v>1.0</v>
      </c>
      <c r="B3487" s="1" t="s">
        <v>3471</v>
      </c>
      <c r="C3487" t="str">
        <f>IFERROR(__xludf.DUMMYFUNCTION("GOOGLETRANSLATE(B3487, ""es"", ""en"")"),"It's not new is not new. Clearly it has been used. Some scratched parts and plastic guards were dirty and broken old")</f>
        <v>It's not new is not new. Clearly it has been used. Some scratched parts and plastic guards were dirty and broken old</v>
      </c>
    </row>
    <row r="3488">
      <c r="A3488" s="1">
        <v>1.0</v>
      </c>
      <c r="B3488" s="1" t="s">
        <v>3472</v>
      </c>
      <c r="C3488" t="str">
        <f>IFERROR(__xludf.DUMMYFUNCTION("GOOGLETRANSLATE(B3488, ""es"", ""en"")"),"Bad product I purchased the product and the plastic part of the glass is broken in less than 5 months of use. I do not recommend buying.")</f>
        <v>Bad product I purchased the product and the plastic part of the glass is broken in less than 5 months of use. I do not recommend buying.</v>
      </c>
    </row>
    <row r="3489">
      <c r="A3489" s="1">
        <v>4.0</v>
      </c>
      <c r="B3489" s="1" t="s">
        <v>3473</v>
      </c>
      <c r="C3489" t="str">
        <f>IFERROR(__xludf.DUMMYFUNCTION("GOOGLETRANSLATE(B3489, ""es"", ""en"")"),"correct the product is well packaged and arrived in perfect condition. All usb work perfectly although they are a bit slow writing, but the quality / price assessment is positive. I would give 5 stars if they had come before. Communication with the seller"&amp;" very good. There are some that if you enter wrong (reverse), sinks inward and does not read well, but removing the device solves the cork and propping well. Deve be a defect in manufacturing but easy to fix.")</f>
        <v>correct the product is well packaged and arrived in perfect condition. All usb work perfectly although they are a bit slow writing, but the quality / price assessment is positive. I would give 5 stars if they had come before. Communication with the seller very good. There are some that if you enter wrong (reverse), sinks inward and does not read well, but removing the device solves the cork and propping well. Deve be a defect in manufacturing but easy to fix.</v>
      </c>
    </row>
    <row r="3490">
      <c r="A3490" s="1">
        <v>4.0</v>
      </c>
      <c r="B3490" s="1" t="s">
        <v>3474</v>
      </c>
      <c r="C3490" t="str">
        <f>IFERROR(__xludf.DUMMYFUNCTION("GOOGLETRANSLATE(B3490, ""es"", ""en"")"),"Superb design I like its design and quality; the price is not justified.")</f>
        <v>Superb design I like its design and quality; the price is not justified.</v>
      </c>
    </row>
    <row r="3491">
      <c r="A3491" s="1">
        <v>4.0</v>
      </c>
      <c r="B3491" s="1" t="s">
        <v>3475</v>
      </c>
      <c r="C3491" t="str">
        <f>IFERROR(__xludf.DUMMYFUNCTION("GOOGLETRANSLATE(B3491, ""es"", ""en"")"),"Ideal for hiking. It's great for hiking. I miss a little more zoom in Traks. Robust and aesthetically beautiful.")</f>
        <v>Ideal for hiking. It's great for hiking. I miss a little more zoom in Traks. Robust and aesthetically beautiful.</v>
      </c>
    </row>
    <row r="3492">
      <c r="A3492" s="1">
        <v>4.0</v>
      </c>
      <c r="B3492" s="1" t="s">
        <v>3476</v>
      </c>
      <c r="C3492" t="str">
        <f>IFERROR(__xludf.DUMMYFUNCTION("GOOGLETRANSLATE(B3492, ""es"", ""en"")"),"The sole is very good. I needed shoes with a sole grip. They meet to spare. They are strong as expected. In principle all right we will have to do with sending use.The arrived in the allotted time, and perfect. I ordered a size 44, as measured in cm of my"&amp;" foot a 27,10cm, pretty good size.")</f>
        <v>The sole is very good. I needed shoes with a sole grip. They meet to spare. They are strong as expected. In principle all right we will have to do with sending use.The arrived in the allotted time, and perfect. I ordered a size 44, as measured in cm of my foot a 27,10cm, pretty good size.</v>
      </c>
    </row>
    <row r="3493">
      <c r="A3493" s="1">
        <v>5.0</v>
      </c>
      <c r="B3493" s="1" t="s">
        <v>3477</v>
      </c>
      <c r="C3493" t="str">
        <f>IFERROR(__xludf.DUMMYFUNCTION("GOOGLETRANSLATE(B3493, ""es"", ""en"")"),"thank you note I thank you for the interest you have shown AT ALL TIMES TO MY PROBLEM. It IS fair to say that when something bad is solved with interest is welcome. THANK YOU FOR PROVE THAT YOU HAVE BEEN THERE. BRACELET IS ELEGANT AND ORIGINAL. AGAIN THAN"&amp;"KS")</f>
        <v>thank you note I thank you for the interest you have shown AT ALL TIMES TO MY PROBLEM. It IS fair to say that when something bad is solved with interest is welcome. THANK YOU FOR PROVE THAT YOU HAVE BEEN THERE. BRACELET IS ELEGANT AND ORIGINAL. AGAIN THANKS</v>
      </c>
    </row>
    <row r="3494">
      <c r="A3494" s="1">
        <v>5.0</v>
      </c>
      <c r="B3494" s="1" t="s">
        <v>3478</v>
      </c>
      <c r="C3494" t="str">
        <f>IFERROR(__xludf.DUMMYFUNCTION("GOOGLETRANSLATE(B3494, ""es"", ""en"")"),"Sincerely Audio quality of the best microphones on the market! I recommend 100x100! One last! and there is enough variety of colors to choose: P")</f>
        <v>Sincerely Audio quality of the best microphones on the market! I recommend 100x100! One last! and there is enough variety of colors to choose: P</v>
      </c>
    </row>
    <row r="3495">
      <c r="A3495" s="1">
        <v>5.0</v>
      </c>
      <c r="B3495" s="1" t="s">
        <v>3479</v>
      </c>
      <c r="C3495" t="str">
        <f>IFERROR(__xludf.DUMMYFUNCTION("GOOGLETRANSLATE(B3495, ""es"", ""en"")"),"Gloves This is the shoe that I use almost every day to go to work, to go for a walk, are too comodos.La only downside is that are difficult to clean and just get wet, (as when a light drizzle falls) the stained shoes and the famous watermarks are formed i"&amp;"n suede shoes. Fat is not tolerated at all. But overall pretty happy")</f>
        <v>Gloves This is the shoe that I use almost every day to go to work, to go for a walk, are too comodos.La only downside is that are difficult to clean and just get wet, (as when a light drizzle falls) the stained shoes and the famous watermarks are formed in suede shoes. Fat is not tolerated at all. But overall pretty happy</v>
      </c>
    </row>
    <row r="3496">
      <c r="A3496" s="1">
        <v>5.0</v>
      </c>
      <c r="B3496" s="1" t="s">
        <v>3480</v>
      </c>
      <c r="C3496" t="str">
        <f>IFERROR(__xludf.DUMMYFUNCTION("GOOGLETRANSLATE(B3496, ""es"", ""en"")"),"I expected Perfect")</f>
        <v>I expected Perfect</v>
      </c>
    </row>
    <row r="3497">
      <c r="A3497" s="1">
        <v>5.0</v>
      </c>
      <c r="B3497" s="1" t="s">
        <v>3481</v>
      </c>
      <c r="C3497" t="str">
        <f>IFERROR(__xludf.DUMMYFUNCTION("GOOGLETRANSLATE(B3497, ""es"", ""en"")"),"Minimalism For now, simply spectacular")</f>
        <v>Minimalism For now, simply spectacular</v>
      </c>
    </row>
    <row r="3498">
      <c r="A3498" s="1">
        <v>5.0</v>
      </c>
      <c r="B3498" s="1" t="s">
        <v>3482</v>
      </c>
      <c r="C3498" t="str">
        <f>IFERROR(__xludf.DUMMYFUNCTION("GOOGLETRANSLATE(B3498, ""es"", ""en"")"),"Excellent memory and I have used just about a month and going great, very fast speed and good capacity and resouesta. It behaves well in my Note 8, for the price you and your specifications is a great buy. They are already recommend that 256GB is priced m"&amp;"adness.")</f>
        <v>Excellent memory and I have used just about a month and going great, very fast speed and good capacity and resouesta. It behaves well in my Note 8, for the price you and your specifications is a great buy. They are already recommend that 256GB is priced madness.</v>
      </c>
    </row>
    <row r="3499">
      <c r="A3499" s="1">
        <v>5.0</v>
      </c>
      <c r="B3499" s="1" t="s">
        <v>3483</v>
      </c>
      <c r="C3499" t="str">
        <f>IFERROR(__xludf.DUMMYFUNCTION("GOOGLETRANSLATE(B3499, ""es"", ""en"")"),"Good quality. All very well.")</f>
        <v>Good quality. All very well.</v>
      </c>
    </row>
    <row r="3500">
      <c r="A3500" s="1">
        <v>5.0</v>
      </c>
      <c r="B3500" s="1" t="s">
        <v>3484</v>
      </c>
      <c r="C3500" t="str">
        <f>IFERROR(__xludf.DUMMYFUNCTION("GOOGLETRANSLATE(B3500, ""es"", ""en"")"),"Ideals very comfortable to be at home and comfortable sleeping. They have the effect of not wearing suje, natural breast with clothes on. Pleasant sensation on the skin, soft touch.")</f>
        <v>Ideals very comfortable to be at home and comfortable sleeping. They have the effect of not wearing suje, natural breast with clothes on. Pleasant sensation on the skin, soft touch.</v>
      </c>
    </row>
    <row r="3501">
      <c r="A3501" s="1">
        <v>5.0</v>
      </c>
      <c r="B3501" s="1" t="s">
        <v>3485</v>
      </c>
      <c r="C3501" t="str">
        <f>IFERROR(__xludf.DUMMYFUNCTION("GOOGLETRANSLATE(B3501, ""es"", ""en"")"),"OUTSTANDING. Very fast delivery!. Solcitado Saturday and Sunday delivered !. The clock meets all expectations. Muyyy very nice and comfortable. In its original packaging and with all the guarantees Casio. VERY HAPPY. impeccable company.")</f>
        <v>OUTSTANDING. Very fast delivery!. Solcitado Saturday and Sunday delivered !. The clock meets all expectations. Muyyy very nice and comfortable. In its original packaging and with all the guarantees Casio. VERY HAPPY. impeccable company.</v>
      </c>
    </row>
    <row r="3502">
      <c r="A3502" s="1">
        <v>5.0</v>
      </c>
      <c r="B3502" s="1" t="s">
        <v>3486</v>
      </c>
      <c r="C3502" t="str">
        <f>IFERROR(__xludf.DUMMYFUNCTION("GOOGLETRANSLATE(B3502, ""es"", ""en"")"),"Quality and quantity is large amount of product, the format is very comfortable thanks to the dropper. The idea was to use it to make soaps but with that smell and quantity I will use it for everything.")</f>
        <v>Quality and quantity is large amount of product, the format is very comfortable thanks to the dropper. The idea was to use it to make soaps but with that smell and quantity I will use it for everything.</v>
      </c>
    </row>
    <row r="3503">
      <c r="A3503" s="1">
        <v>5.0</v>
      </c>
      <c r="B3503" s="1" t="s">
        <v>3487</v>
      </c>
      <c r="C3503" t="str">
        <f>IFERROR(__xludf.DUMMYFUNCTION("GOOGLETRANSLATE(B3503, ""es"", ""en"")"),"Very good product good money. Hear really well, you can adjust the volume from the headphones themselves. You can also answer calls and forward and rewind songs, or pause a video. Matching is very easy and quick. With them out of the charging base are aut"&amp;"omatically connected to the mobile. They have very good autonomy and what I like is that it has its own charging base that you can take it anywhere and can recharge without wires. Just load the base from time to time. Does not extinguish missing, since th"&amp;"ey themselves go off when you leave the box. If you do not want to leave in the box you can also be turned off by pressing the button with each handset. Very satisfied with the purchase")</f>
        <v>Very good product good money. Hear really well, you can adjust the volume from the headphones themselves. You can also answer calls and forward and rewind songs, or pause a video. Matching is very easy and quick. With them out of the charging base are automatically connected to the mobile. They have very good autonomy and what I like is that it has its own charging base that you can take it anywhere and can recharge without wires. Just load the base from time to time. Does not extinguish missing, since they themselves go off when you leave the box. If you do not want to leave in the box you can also be turned off by pressing the button with each handset. Very satisfied with the purchase</v>
      </c>
    </row>
    <row r="3504">
      <c r="A3504" s="1">
        <v>5.0</v>
      </c>
      <c r="B3504" s="1" t="s">
        <v>3488</v>
      </c>
      <c r="C3504" t="str">
        <f>IFERROR(__xludf.DUMMYFUNCTION("GOOGLETRANSLATE(B3504, ""es"", ""en"")"),"Comfortable, with good sound and docking station that lets you load your mobile Very happy with this purchase. The important thing for me, the sound, very good. The second in importance, comfort in my ear fits perfectly and I have taken several hours work"&amp;"ing without problems. It comes with various pads, but I put that came to me have been good. Autonomy, quite good, the longest session usage has been about 4 hours and smoothly, have failed to exhaust them. This struck me to come with a charging station th"&amp;"at allowed ""give"" charge to your mobile, I see it very useful. This advantage makes the charging station despite more than others bought and that has finally been my daughter. The controls are on the hulls themselves as usual and are quite sensitive. Ar"&amp;"e protected for moisture, and less in the gym with sweat have held up well and are easy to clean. The instructions come in Castilian and other languages. I recommend it.")</f>
        <v>Comfortable, with good sound and docking station that lets you load your mobile Very happy with this purchase. The important thing for me, the sound, very good. The second in importance, comfort in my ear fits perfectly and I have taken several hours working without problems. It comes with various pads, but I put that came to me have been good. Autonomy, quite good, the longest session usage has been about 4 hours and smoothly, have failed to exhaust them. This struck me to come with a charging station that allowed "give" charge to your mobile, I see it very useful. This advantage makes the charging station despite more than others bought and that has finally been my daughter. The controls are on the hulls themselves as usual and are quite sensitive. Are protected for moisture, and less in the gym with sweat have held up well and are easy to clean. The instructions come in Castilian and other languages. I recommend it.</v>
      </c>
    </row>
    <row r="3505">
      <c r="A3505" s="1">
        <v>5.0</v>
      </c>
      <c r="B3505" s="1" t="s">
        <v>3489</v>
      </c>
      <c r="C3505" t="str">
        <f>IFERROR(__xludf.DUMMYFUNCTION("GOOGLETRANSLATE(B3505, ""es"", ""en"")"),"Flexible and comfortable flexible and comfortable for work. Nothing to do with traditional work boots, they also reinforced, so protect your feet from being struck or crushed but do not produce chafing or weigh as much")</f>
        <v>Flexible and comfortable flexible and comfortable for work. Nothing to do with traditional work boots, they also reinforced, so protect your feet from being struck or crushed but do not produce chafing or weigh as much</v>
      </c>
    </row>
    <row r="3506">
      <c r="A3506" s="1">
        <v>5.0</v>
      </c>
      <c r="B3506" s="1" t="s">
        <v>3490</v>
      </c>
      <c r="C3506" t="str">
        <f>IFERROR(__xludf.DUMMYFUNCTION("GOOGLETRANSLATE(B3506, ""es"", ""en"")"),"Love Love")</f>
        <v>Love Love</v>
      </c>
    </row>
    <row r="3507">
      <c r="A3507" s="1">
        <v>5.0</v>
      </c>
      <c r="B3507" s="1" t="s">
        <v>3491</v>
      </c>
      <c r="C3507" t="str">
        <f>IFERROR(__xludf.DUMMYFUNCTION("GOOGLETRANSLATE(B3507, ""es"", ""en"")"),"Good product always use another brand of bottle, and advice have changed this bottle is great, and you will change all this brand. It has a nipple with easy grip and good anti-colic")</f>
        <v>Good product always use another brand of bottle, and advice have changed this bottle is great, and you will change all this brand. It has a nipple with easy grip and good anti-colic</v>
      </c>
    </row>
    <row r="3508">
      <c r="A3508" s="1">
        <v>5.0</v>
      </c>
      <c r="B3508" s="1" t="s">
        <v>3492</v>
      </c>
      <c r="C3508" t="str">
        <f>IFERROR(__xludf.DUMMYFUNCTION("GOOGLETRANSLATE(B3508, ""es"", ""en"")"),"All very well Product arrived on the indicated day me and in perfect condition. Plus I love these shoes, favor much! The only thing is that I get a little big (but I can put smoothly and probably a size less I would not have been worth)")</f>
        <v>All very well Product arrived on the indicated day me and in perfect condition. Plus I love these shoes, favor much! The only thing is that I get a little big (but I can put smoothly and probably a size less I would not have been worth)</v>
      </c>
    </row>
    <row r="3509">
      <c r="A3509" s="1">
        <v>5.0</v>
      </c>
      <c r="B3509" s="1" t="s">
        <v>3493</v>
      </c>
      <c r="C3509" t="str">
        <f>IFERROR(__xludf.DUMMYFUNCTION("GOOGLETRANSLATE(B3509, ""es"", ""en"")"),"Useful clean")</f>
        <v>Useful clean</v>
      </c>
    </row>
    <row r="3510">
      <c r="A3510" s="1">
        <v>5.0</v>
      </c>
      <c r="B3510" s="1" t="s">
        <v>3494</v>
      </c>
      <c r="C3510" t="str">
        <f>IFERROR(__xludf.DUMMYFUNCTION("GOOGLETRANSLATE(B3510, ""es"", ""en"")"),"Quality good value for money Casio, good product. Does not give problems")</f>
        <v>Quality good value for money Casio, good product. Does not give problems</v>
      </c>
    </row>
    <row r="3511">
      <c r="A3511" s="1">
        <v>5.0</v>
      </c>
      <c r="B3511" s="1" t="s">
        <v>3495</v>
      </c>
      <c r="C3511" t="str">
        <f>IFERROR(__xludf.DUMMYFUNCTION("GOOGLETRANSLATE(B3511, ""es"", ""en"")"),"Haunted! I'm delighted! As well as size, how convenience is the first time I bought, and if I last volvere to buy them")</f>
        <v>Haunted! I'm delighted! As well as size, how convenience is the first time I bought, and if I last volvere to buy them</v>
      </c>
    </row>
    <row r="3512">
      <c r="A3512" s="1">
        <v>2.0</v>
      </c>
      <c r="B3512" s="1" t="s">
        <v>3496</v>
      </c>
      <c r="C3512" t="str">
        <f>IFERROR(__xludf.DUMMYFUNCTION("GOOGLETRANSLATE(B3512, ""es"", ""en"")"),"It does not support any weight almost bought them to hang some pictures of foam board, very little heavy, 30x45 cm, unframed. The third time I hung up, began to fall off the wall. If the surface is not perfectly flat, no longer endure. I ended up pulling "&amp;"the cuelgafácil lifetime. A disappointment.")</f>
        <v>It does not support any weight almost bought them to hang some pictures of foam board, very little heavy, 30x45 cm, unframed. The third time I hung up, began to fall off the wall. If the surface is not perfectly flat, no longer endure. I ended up pulling the cuelgafácil lifetime. A disappointment.</v>
      </c>
    </row>
    <row r="3513">
      <c r="A3513" s="1">
        <v>3.0</v>
      </c>
      <c r="B3513" s="1" t="s">
        <v>3497</v>
      </c>
      <c r="C3513" t="str">
        <f>IFERROR(__xludf.DUMMYFUNCTION("GOOGLETRANSLATE(B3513, ""es"", ""en"")"),"Taurus Ultimated Lithium Vacuum broom Taurus is not a Dyson nor a Xiaomi ROidmi, but for its price suckling well and looking forward, the wheels glide well on all types of soil, it is well built and the battery lasts long enough to aspirate a 60mª floor, "&amp;"the adapter to hang on the wall next makes it pretty easy to keep it unobtrusively.")</f>
        <v>Taurus Ultimated Lithium Vacuum broom Taurus is not a Dyson nor a Xiaomi ROidmi, but for its price suckling well and looking forward, the wheels glide well on all types of soil, it is well built and the battery lasts long enough to aspirate a 60mª floor, the adapter to hang on the wall next makes it pretty easy to keep it unobtrusively.</v>
      </c>
    </row>
    <row r="3514">
      <c r="A3514" s="1">
        <v>3.0</v>
      </c>
      <c r="B3514" s="1" t="s">
        <v>3498</v>
      </c>
      <c r="C3514" t="str">
        <f>IFERROR(__xludf.DUMMYFUNCTION("GOOGLETRANSLATE(B3514, ""es"", ""en"")"),"micro Micro has been for my daughter's birthday 6 years, surprised by the quality of the sound of the speaker, although the quality of the micro is different. You have to stick the mouth to the top to be heard. For children and for the money you have, it'"&amp;"s OK, it's fun and does the job.")</f>
        <v>micro Micro has been for my daughter's birthday 6 years, surprised by the quality of the sound of the speaker, although the quality of the micro is different. You have to stick the mouth to the top to be heard. For children and for the money you have, it's OK, it's fun and does the job.</v>
      </c>
    </row>
    <row r="3515">
      <c r="A3515" s="1">
        <v>3.0</v>
      </c>
      <c r="B3515" s="1" t="s">
        <v>3499</v>
      </c>
      <c r="C3515" t="str">
        <f>IFERROR(__xludf.DUMMYFUNCTION("GOOGLETRANSLATE(B3515, ""es"", ""en"")"),"the product is correct but did not meet my expectations returned it has few departments and I do not Serbia, as to the fabric well if you have to blink often is not very practical for their 2 locks")</f>
        <v>the product is correct but did not meet my expectations returned it has few departments and I do not Serbia, as to the fabric well if you have to blink often is not very practical for their 2 locks</v>
      </c>
    </row>
    <row r="3516">
      <c r="A3516" s="1">
        <v>1.0</v>
      </c>
      <c r="B3516" s="1" t="s">
        <v>3500</v>
      </c>
      <c r="C3516" t="str">
        <f>IFERROR(__xludf.DUMMYFUNCTION("GOOGLETRANSLATE(B3516, ""es"", ""en"")"),"a piece of rubber was released and triturated with beaten. Dangerous product is useful, easy to use in general was quite happy until I noticed something odd while doing a shake, and then I saw pieces of loose plastic. He had dropped a rubber band, if I fa"&amp;"il to realize the might have ingested .. Of course, I will return and I suppose that since Amazon will not put any hits, because I have less than 1 month.")</f>
        <v>a piece of rubber was released and triturated with beaten. Dangerous product is useful, easy to use in general was quite happy until I noticed something odd while doing a shake, and then I saw pieces of loose plastic. He had dropped a rubber band, if I fail to realize the might have ingested .. Of course, I will return and I suppose that since Amazon will not put any hits, because I have less than 1 month.</v>
      </c>
    </row>
    <row r="3517">
      <c r="A3517" s="1">
        <v>1.0</v>
      </c>
      <c r="B3517" s="1" t="s">
        <v>3501</v>
      </c>
      <c r="C3517" t="str">
        <f>IFERROR(__xludf.DUMMYFUNCTION("GOOGLETRANSLATE(B3517, ""es"", ""en"")"),"Compact, but after using it one month apare oxide. Compact, as expected. But after use some began to appear oxide on the inside, in the joining area of ​​the base and the side wall weeks. I bought at the same time another stainless steel kettle another br"&amp;"and to have it in my office, which also use daily, and that there is no change in oxidation, when the type of water I use is similar. This model H.Koenig was disappointed.")</f>
        <v>Compact, but after using it one month apare oxide. Compact, as expected. But after use some began to appear oxide on the inside, in the joining area of ​​the base and the side wall weeks. I bought at the same time another stainless steel kettle another brand to have it in my office, which also use daily, and that there is no change in oxidation, when the type of water I use is similar. This model H.Koenig was disappointed.</v>
      </c>
    </row>
    <row r="3518">
      <c r="A3518" s="1">
        <v>4.0</v>
      </c>
      <c r="B3518" s="1" t="s">
        <v>3502</v>
      </c>
      <c r="C3518" t="str">
        <f>IFERROR(__xludf.DUMMYFUNCTION("GOOGLETRANSLATE(B3518, ""es"", ""en"")"),"Good size is useful and has good size, enough to carry a tablet")</f>
        <v>Good size is useful and has good size, enough to carry a tablet</v>
      </c>
    </row>
    <row r="3519">
      <c r="A3519" s="1">
        <v>4.0</v>
      </c>
      <c r="B3519" s="1" t="s">
        <v>3503</v>
      </c>
      <c r="C3519" t="str">
        <f>IFERROR(__xludf.DUMMYFUNCTION("GOOGLETRANSLATE(B3519, ""es"", ""en"")"),"That the child will have the recommended age piano is great, very good quality material and the idea is great. I returned because it is from age indicating yes or yes. My daughter, smaller, not yet identified as colors and have extra melodies did not call"&amp;" his attention, but buy it again in a couple of years, for sure.")</f>
        <v>That the child will have the recommended age piano is great, very good quality material and the idea is great. I returned because it is from age indicating yes or yes. My daughter, smaller, not yet identified as colors and have extra melodies did not call his attention, but buy it again in a couple of years, for sure.</v>
      </c>
    </row>
    <row r="3520">
      <c r="A3520" s="1">
        <v>4.0</v>
      </c>
      <c r="B3520" s="1" t="s">
        <v>3504</v>
      </c>
      <c r="C3520" t="str">
        <f>IFERROR(__xludf.DUMMYFUNCTION("GOOGLETRANSLATE(B3520, ""es"", ""en"")"),"The valuation fabric seems too loose, but I guess the sale amount is value for money. I used to give away.")</f>
        <v>The valuation fabric seems too loose, but I guess the sale amount is value for money. I used to give away.</v>
      </c>
    </row>
    <row r="3521">
      <c r="A3521" s="1">
        <v>4.0</v>
      </c>
      <c r="B3521" s="1" t="s">
        <v>3505</v>
      </c>
      <c r="C3521" t="str">
        <f>IFERROR(__xludf.DUMMYFUNCTION("GOOGLETRANSLATE(B3521, ""es"", ""en"")"),"use as many times as you like I love I feel great and very comfortable")</f>
        <v>use as many times as you like I love I feel great and very comfortable</v>
      </c>
    </row>
    <row r="3522">
      <c r="A3522" s="1">
        <v>4.0</v>
      </c>
      <c r="B3522" s="1" t="s">
        <v>3506</v>
      </c>
      <c r="C3522" t="str">
        <f>IFERROR(__xludf.DUMMYFUNCTION("GOOGLETRANSLATE(B3522, ""es"", ""en"")"),"Not bad!!! hello, goes well !! It is not a big thing!! At the moment works and very lijera.")</f>
        <v>Not bad!!! hello, goes well !! It is not a big thing!! At the moment works and very lijera.</v>
      </c>
    </row>
    <row r="3523">
      <c r="A3523" s="1">
        <v>5.0</v>
      </c>
      <c r="B3523" s="1" t="s">
        <v>3507</v>
      </c>
      <c r="C3523" t="str">
        <f>IFERROR(__xludf.DUMMYFUNCTION("GOOGLETRANSLATE(B3523, ""es"", ""en"")"),"I like to travel well")</f>
        <v>I like to travel well</v>
      </c>
    </row>
    <row r="3524">
      <c r="A3524" s="1">
        <v>5.0</v>
      </c>
      <c r="B3524" s="1" t="s">
        <v>3508</v>
      </c>
      <c r="C3524" t="str">
        <f>IFERROR(__xludf.DUMMYFUNCTION("GOOGLETRANSLATE(B3524, ""es"", ""en"")"),"Very good are good quality but cuabdo use it for a lot of tienpo tends to hurt the ears a bit")</f>
        <v>Very good are good quality but cuabdo use it for a lot of tienpo tends to hurt the ears a bit</v>
      </c>
    </row>
    <row r="3525">
      <c r="A3525" s="1">
        <v>5.0</v>
      </c>
      <c r="B3525" s="1" t="s">
        <v>3509</v>
      </c>
      <c r="C3525" t="str">
        <f>IFERROR(__xludf.DUMMYFUNCTION("GOOGLETRANSLATE(B3525, ""es"", ""en"")"),"Exceptional quality adjusted price As no objection sound, the bass is amazing. If you have a orejotas like me these headphones are somewhat uncomfortable The diameter of the almoadillas is smaller than other models more or less equivalent to AKG as the K6"&amp;"01, K701. The band also tightens. Otherwise I have no complaints, I hope that will last me a lot.")</f>
        <v>Exceptional quality adjusted price As no objection sound, the bass is amazing. If you have a orejotas like me these headphones are somewhat uncomfortable The diameter of the almoadillas is smaller than other models more or less equivalent to AKG as the K601, K701. The band also tightens. Otherwise I have no complaints, I hope that will last me a lot.</v>
      </c>
    </row>
    <row r="3526">
      <c r="A3526" s="1">
        <v>5.0</v>
      </c>
      <c r="B3526" s="1" t="s">
        <v>3510</v>
      </c>
      <c r="C3526" t="str">
        <f>IFERROR(__xludf.DUMMYFUNCTION("GOOGLETRANSLATE(B3526, ""es"", ""en"")"),"A recogemigas works worked very well, and the finish is fine, not like those plastic open as soon as the push")</f>
        <v>A recogemigas works worked very well, and the finish is fine, not like those plastic open as soon as the push</v>
      </c>
    </row>
    <row r="3527">
      <c r="A3527" s="1">
        <v>5.0</v>
      </c>
      <c r="B3527" s="1" t="s">
        <v>3511</v>
      </c>
      <c r="C3527" t="str">
        <f>IFERROR(__xludf.DUMMYFUNCTION("GOOGLETRANSLATE(B3527, ""es"", ""en"")"),"Brutal, sound very clean, highly recommended brutal, very easy to connect and a very clean sound. I guess that will be much better, but I have found it perfect. I have a school finance and I have to make the videos of the course and, frankly, spectacular "&amp;"sound. If you are looking for something simple, easy to use and connect, this is your micro.")</f>
        <v>Brutal, sound very clean, highly recommended brutal, very easy to connect and a very clean sound. I guess that will be much better, but I have found it perfect. I have a school finance and I have to make the videos of the course and, frankly, spectacular sound. If you are looking for something simple, easy to use and connect, this is your micro.</v>
      </c>
    </row>
    <row r="3528">
      <c r="A3528" s="1">
        <v>5.0</v>
      </c>
      <c r="B3528" s="1" t="s">
        <v>3512</v>
      </c>
      <c r="C3528" t="str">
        <f>IFERROR(__xludf.DUMMYFUNCTION("GOOGLETRANSLATE(B3528, ""es"", ""en"")"),"I'm wonderful ecantada with the purchase, carved as expected and are very nice and very good quality. My daughter is delighted")</f>
        <v>I'm wonderful ecantada with the purchase, carved as expected and are very nice and very good quality. My daughter is delighted</v>
      </c>
    </row>
    <row r="3529">
      <c r="A3529" s="1">
        <v>5.0</v>
      </c>
      <c r="B3529" s="1" t="s">
        <v>3513</v>
      </c>
      <c r="C3529" t="str">
        <f>IFERROR(__xludf.DUMMYFUNCTION("GOOGLETRANSLATE(B3529, ""es"", ""en"")"),"Fulfills its function I like this brand for memory cards, the truth that gives me enough confidence.")</f>
        <v>Fulfills its function I like this brand for memory cards, the truth that gives me enough confidence.</v>
      </c>
    </row>
    <row r="3530">
      <c r="A3530" s="1">
        <v>5.0</v>
      </c>
      <c r="B3530" s="1" t="s">
        <v>3514</v>
      </c>
      <c r="C3530" t="str">
        <f>IFERROR(__xludf.DUMMYFUNCTION("GOOGLETRANSLATE(B3530, ""es"", ""en"")"),"100% recommended've been using 3 weeks and am very happy. It leaves a feeling of being in the ideal face. I advise you cold use. I do not know if I will improve dark circles (is why I bought it), but I like it.")</f>
        <v>100% recommended've been using 3 weeks and am very happy. It leaves a feeling of being in the ideal face. I advise you cold use. I do not know if I will improve dark circles (is why I bought it), but I like it.</v>
      </c>
    </row>
    <row r="3531">
      <c r="A3531" s="1">
        <v>5.0</v>
      </c>
      <c r="B3531" s="1" t="s">
        <v>3515</v>
      </c>
      <c r="C3531" t="str">
        <f>IFERROR(__xludf.DUMMYFUNCTION("GOOGLETRANSLATE(B3531, ""es"", ""en"")"),"Location surprisingly useful coastal area, and according to some indications commented that had not cleaned well because here the water is somewhat harder. And the truth, which has surprised us. We put something more than the recommended amount of the abo"&amp;"ve, and although skeptical, smells clean clothes !!! Sure, I stopped using any detergent or fabric softener, the clothes are clean and with a subtle scent of the essential oil that you put into the cloth bag (includes two).")</f>
        <v>Location surprisingly useful coastal area, and according to some indications commented that had not cleaned well because here the water is somewhat harder. And the truth, which has surprised us. We put something more than the recommended amount of the above, and although skeptical, smells clean clothes !!! Sure, I stopped using any detergent or fabric softener, the clothes are clean and with a subtle scent of the essential oil that you put into the cloth bag (includes two).</v>
      </c>
    </row>
    <row r="3532">
      <c r="A3532" s="1">
        <v>5.0</v>
      </c>
      <c r="B3532" s="1" t="s">
        <v>3480</v>
      </c>
      <c r="C3532" t="str">
        <f>IFERROR(__xludf.DUMMYFUNCTION("GOOGLETRANSLATE(B3532, ""es"", ""en"")"),"I expected Perfect")</f>
        <v>I expected Perfect</v>
      </c>
    </row>
    <row r="3533">
      <c r="A3533" s="1">
        <v>5.0</v>
      </c>
      <c r="B3533" s="1" t="s">
        <v>3516</v>
      </c>
      <c r="C3533" t="str">
        <f>IFERROR(__xludf.DUMMYFUNCTION("GOOGLETRANSLATE(B3533, ""es"", ""en"")"),"Quick and not very noisy. Very good product and better value. It is powerful, fast, makes creams very thin and not too noisy. I'm happy with the purchase although it is too early to comment since I bought it recently and I have not given much use. For now"&amp;" I give very good note.")</f>
        <v>Quick and not very noisy. Very good product and better value. It is powerful, fast, makes creams very thin and not too noisy. I'm happy with the purchase although it is too early to comment since I bought it recently and I have not given much use. For now I give very good note.</v>
      </c>
    </row>
    <row r="3534">
      <c r="A3534" s="1">
        <v>5.0</v>
      </c>
      <c r="B3534" s="1" t="s">
        <v>3517</v>
      </c>
      <c r="C3534" t="str">
        <f>IFERROR(__xludf.DUMMYFUNCTION("GOOGLETRANSLATE(B3534, ""es"", ""en"")"),"Perfect for LG G3 not know if I would serve as the only mobile indicates that accepts SD up to 128GB and puts nothing SD XC. Nothing else get her to the phone the has recognized, including the brand. The counsel without fear. It's fast but not the most, b"&amp;"ut more than enough to record videos and photos in high definition. After days of little use card it has become very slow, slow to record every photo and return to let you take another.")</f>
        <v>Perfect for LG G3 not know if I would serve as the only mobile indicates that accepts SD up to 128GB and puts nothing SD XC. Nothing else get her to the phone the has recognized, including the brand. The counsel without fear. It's fast but not the most, but more than enough to record videos and photos in high definition. After days of little use card it has become very slow, slow to record every photo and return to let you take another.</v>
      </c>
    </row>
    <row r="3535">
      <c r="A3535" s="1">
        <v>5.0</v>
      </c>
      <c r="B3535" s="1" t="s">
        <v>3518</v>
      </c>
      <c r="C3535" t="str">
        <f>IFERROR(__xludf.DUMMYFUNCTION("GOOGLETRANSLATE(B3535, ""es"", ""en"")"),"professional Perfect")</f>
        <v>professional Perfect</v>
      </c>
    </row>
    <row r="3536">
      <c r="A3536" s="1">
        <v>5.0</v>
      </c>
      <c r="B3536" s="1" t="s">
        <v>3519</v>
      </c>
      <c r="C3536" t="str">
        <f>IFERROR(__xludf.DUMMYFUNCTION("GOOGLETRANSLATE(B3536, ""es"", ""en"")"),"The Ferrari of Encantada blenders with mixer. Has a lot of power that makes everything is well beaten.")</f>
        <v>The Ferrari of Encantada blenders with mixer. Has a lot of power that makes everything is well beaten.</v>
      </c>
    </row>
    <row r="3537">
      <c r="A3537" s="1">
        <v>5.0</v>
      </c>
      <c r="B3537" s="1" t="s">
        <v>3520</v>
      </c>
      <c r="C3537" t="str">
        <f>IFERROR(__xludf.DUMMYFUNCTION("GOOGLETRANSLATE(B3537, ""es"", ""en"")"),"phenomenal For the price we have so cheap, a great buy, because quality is more than enough for what they serve. Very useful for holding and have always ordered the hanging and annoying loose straps of my backpack. I also have served to keep cords tied to"&amp;"gether, or to hold them at fixed points, it is true that the May release some hair, but not serious, in any case I am happy with the purchase.")</f>
        <v>phenomenal For the price we have so cheap, a great buy, because quality is more than enough for what they serve. Very useful for holding and have always ordered the hanging and annoying loose straps of my backpack. I also have served to keep cords tied together, or to hold them at fixed points, it is true that the May release some hair, but not serious, in any case I am happy with the purchase.</v>
      </c>
    </row>
    <row r="3538">
      <c r="A3538" s="1">
        <v>5.0</v>
      </c>
      <c r="B3538" s="1" t="s">
        <v>3521</v>
      </c>
      <c r="C3538" t="str">
        <f>IFERROR(__xludf.DUMMYFUNCTION("GOOGLETRANSLATE(B3538, ""es"", ""en"")"),"You are perfect! Very nice and comfortable. Wash and dry very fast.")</f>
        <v>You are perfect! Very nice and comfortable. Wash and dry very fast.</v>
      </c>
    </row>
    <row r="3539">
      <c r="A3539" s="1">
        <v>5.0</v>
      </c>
      <c r="B3539" s="1" t="s">
        <v>3522</v>
      </c>
      <c r="C3539" t="str">
        <f>IFERROR(__xludf.DUMMYFUNCTION("GOOGLETRANSLATE(B3539, ""es"", ""en"")"),"Fantastic is perfect, weightless and is super easy to use. Everything prepared very quick and easy to clean")</f>
        <v>Fantastic is perfect, weightless and is super easy to use. Everything prepared very quick and easy to clean</v>
      </c>
    </row>
    <row r="3540">
      <c r="A3540" s="1">
        <v>5.0</v>
      </c>
      <c r="B3540" s="1" t="s">
        <v>3523</v>
      </c>
      <c r="C3540" t="str">
        <f>IFERROR(__xludf.DUMMYFUNCTION("GOOGLETRANSLATE(B3540, ""es"", ""en"")"),"Well all right")</f>
        <v>Well all right</v>
      </c>
    </row>
    <row r="3541">
      <c r="A3541" s="1">
        <v>5.0</v>
      </c>
      <c r="B3541" s="1" t="s">
        <v>3524</v>
      </c>
      <c r="C3541" t="str">
        <f>IFERROR(__xludf.DUMMYFUNCTION("GOOGLETRANSLATE(B3541, ""es"", ""en"")"),"Perfect Although they say is silent noise, but bearable ago. As for the design is very nice and very nice lights. He arrived the next day to ask and am very happy with the purchase. Just what I expected")</f>
        <v>Perfect Although they say is silent noise, but bearable ago. As for the design is very nice and very nice lights. He arrived the next day to ask and am very happy with the purchase. Just what I expected</v>
      </c>
    </row>
    <row r="3542">
      <c r="A3542" s="1">
        <v>2.0</v>
      </c>
      <c r="B3542" s="1" t="s">
        <v>3525</v>
      </c>
      <c r="C3542" t="str">
        <f>IFERROR(__xludf.DUMMYFUNCTION("GOOGLETRANSLATE(B3542, ""es"", ""en"")"),"Sound, for the price they have is not enough for what it cost, little more can you ask. Link correctly and emits sound. Do not think that clarity or tone will be fairly decent, because they are not going to be")</f>
        <v>Sound, for the price they have is not enough for what it cost, little more can you ask. Link correctly and emits sound. Do not think that clarity or tone will be fairly decent, because they are not going to be</v>
      </c>
    </row>
    <row r="3543">
      <c r="A3543" s="1">
        <v>3.0</v>
      </c>
      <c r="B3543" s="1" t="s">
        <v>3526</v>
      </c>
      <c r="C3543" t="str">
        <f>IFERROR(__xludf.DUMMYFUNCTION("GOOGLETRANSLATE(B3543, ""es"", ""en"")"),"Mediocre strip holding the backpack was poorly finished and out threads. The design is not bad but the quality improved.")</f>
        <v>Mediocre strip holding the backpack was poorly finished and out threads. The design is not bad but the quality improved.</v>
      </c>
    </row>
    <row r="3544">
      <c r="A3544" s="1">
        <v>1.0</v>
      </c>
      <c r="B3544" s="1" t="s">
        <v>3527</v>
      </c>
      <c r="C3544" t="str">
        <f>IFERROR(__xludf.DUMMYFUNCTION("GOOGLETRANSLATE(B3544, ""es"", ""en"")"),"Poor quality not worth it, I broke the first day.")</f>
        <v>Poor quality not worth it, I broke the first day.</v>
      </c>
    </row>
    <row r="3545">
      <c r="A3545" s="1">
        <v>1.0</v>
      </c>
      <c r="B3545" s="1" t="s">
        <v>3528</v>
      </c>
      <c r="C3545" t="str">
        <f>IFERROR(__xludf.DUMMYFUNCTION("GOOGLETRANSLATE(B3545, ""es"", ""en"")"),"Very improvable is very heavy. The connection cable is uncomfortable and although the fabric is soft does not counteract the discomfort of how heavy it is")</f>
        <v>Very improvable is very heavy. The connection cable is uncomfortable and although the fabric is soft does not counteract the discomfort of how heavy it is</v>
      </c>
    </row>
    <row r="3546">
      <c r="A3546" s="1">
        <v>4.0</v>
      </c>
      <c r="B3546" s="1" t="s">
        <v>3529</v>
      </c>
      <c r="C3546" t="str">
        <f>IFERROR(__xludf.DUMMYFUNCTION("GOOGLETRANSLATE(B3546, ""es"", ""en"")"),"They ARE BEST Good quality but somewhat expensive.")</f>
        <v>They ARE BEST Good quality but somewhat expensive.</v>
      </c>
    </row>
    <row r="3547">
      <c r="A3547" s="1">
        <v>4.0</v>
      </c>
      <c r="B3547" s="1" t="s">
        <v>3530</v>
      </c>
      <c r="C3547" t="str">
        <f>IFERROR(__xludf.DUMMYFUNCTION("GOOGLETRANSLATE(B3547, ""es"", ""en"")"),"Good price expected")</f>
        <v>Good price expected</v>
      </c>
    </row>
    <row r="3548">
      <c r="A3548" s="1">
        <v>4.0</v>
      </c>
      <c r="B3548" s="1" t="s">
        <v>3531</v>
      </c>
      <c r="C3548" t="str">
        <f>IFERROR(__xludf.DUMMYFUNCTION("GOOGLETRANSLATE(B3548, ""es"", ""en"")"),"Substitute for classical baize I like are like dishcloths but biodegradable. Although I do not think they will last as long as traditional.")</f>
        <v>Substitute for classical baize I like are like dishcloths but biodegradable. Although I do not think they will last as long as traditional.</v>
      </c>
    </row>
    <row r="3549">
      <c r="A3549" s="1">
        <v>4.0</v>
      </c>
      <c r="B3549" s="1" t="s">
        <v>3532</v>
      </c>
      <c r="C3549" t="str">
        <f>IFERROR(__xludf.DUMMYFUNCTION("GOOGLETRANSLATE(B3549, ""es"", ""en"")"),"VERY GOOD SIZE USB REDUCED few days I have it and goes perfectly ago. The quality-price rate is good. I do not score excellent because it lacks a cap or closure to the USB so that no dust or water him if he falls. Although it depends on each case and in a"&amp;"ddition to the price, especially I consider for a normal user thinking about a possible loss or misplacement may be better to have 2 64 G albeit a little more expensive.")</f>
        <v>VERY GOOD SIZE USB REDUCED few days I have it and goes perfectly ago. The quality-price rate is good. I do not score excellent because it lacks a cap or closure to the USB so that no dust or water him if he falls. Although it depends on each case and in addition to the price, especially I consider for a normal user thinking about a possible loss or misplacement may be better to have 2 64 G albeit a little more expensive.</v>
      </c>
    </row>
    <row r="3550">
      <c r="A3550" s="1">
        <v>4.0</v>
      </c>
      <c r="B3550" s="1" t="s">
        <v>3533</v>
      </c>
      <c r="C3550" t="str">
        <f>IFERROR(__xludf.DUMMYFUNCTION("GOOGLETRANSLATE(B3550, ""es"", ""en"")"),"The brand gives confidence All good, just a tad narrow in size. Comfortable to wear and walk.")</f>
        <v>The brand gives confidence All good, just a tad narrow in size. Comfortable to wear and walk.</v>
      </c>
    </row>
    <row r="3551">
      <c r="A3551" s="1">
        <v>5.0</v>
      </c>
      <c r="B3551" s="1" t="s">
        <v>3534</v>
      </c>
      <c r="C3551" t="str">
        <f>IFERROR(__xludf.DUMMYFUNCTION("GOOGLETRANSLATE(B3551, ""es"", ""en"")"),"Comfortable and with good reach Headphones are comfortable and have a range of about 15m. In the case we can see that we still have the battery to charge helmets and on both sides of the battery remaining for each handset. It can be charged with USB or US"&amp;"B C")</f>
        <v>Comfortable and with good reach Headphones are comfortable and have a range of about 15m. In the case we can see that we still have the battery to charge helmets and on both sides of the battery remaining for each handset. It can be charged with USB or USB C</v>
      </c>
    </row>
    <row r="3552">
      <c r="A3552" s="1">
        <v>5.0</v>
      </c>
      <c r="B3552" s="1" t="s">
        <v>3535</v>
      </c>
      <c r="C3552" t="str">
        <f>IFERROR(__xludf.DUMMYFUNCTION("GOOGLETRANSLATE(B3552, ""es"", ""en"")"),"Quality more than acceptable image. Recommended I feared that a device as low offered a poor image quality. But at all. It offers high quality. Recommendable.")</f>
        <v>Quality more than acceptable image. Recommended I feared that a device as low offered a poor image quality. But at all. It offers high quality. Recommendable.</v>
      </c>
    </row>
    <row r="3553">
      <c r="A3553" s="1">
        <v>5.0</v>
      </c>
      <c r="B3553" s="1" t="s">
        <v>3536</v>
      </c>
      <c r="C3553" t="str">
        <f>IFERROR(__xludf.DUMMYFUNCTION("GOOGLETRANSLATE(B3553, ""es"", ""en"")"),"Fast shipping and product flipflops ok")</f>
        <v>Fast shipping and product flipflops ok</v>
      </c>
    </row>
    <row r="3554">
      <c r="A3554" s="1">
        <v>5.0</v>
      </c>
      <c r="B3554" s="1" t="s">
        <v>3537</v>
      </c>
      <c r="C3554" t="str">
        <f>IFERROR(__xludf.DUMMYFUNCTION("GOOGLETRANSLATE(B3554, ""es"", ""en"")"),"Price and protection of the package is very nice as my wife to be happy")</f>
        <v>Price and protection of the package is very nice as my wife to be happy</v>
      </c>
    </row>
    <row r="3555">
      <c r="A3555" s="1">
        <v>5.0</v>
      </c>
      <c r="B3555" s="1" t="s">
        <v>3538</v>
      </c>
      <c r="C3555" t="str">
        <f>IFERROR(__xludf.DUMMYFUNCTION("GOOGLETRANSLATE(B3555, ""es"", ""en"")"),"WELL A USB BARATO")</f>
        <v>WELL A USB BARATO</v>
      </c>
    </row>
    <row r="3556">
      <c r="A3556" s="1">
        <v>5.0</v>
      </c>
      <c r="B3556" s="1" t="s">
        <v>3539</v>
      </c>
      <c r="C3556" t="str">
        <f>IFERROR(__xludf.DUMMYFUNCTION("GOOGLETRANSLATE(B3556, ""es"", ""en"")"),"From 10! The best gift I've ever done! Very happy with the result")</f>
        <v>From 10! The best gift I've ever done! Very happy with the result</v>
      </c>
    </row>
    <row r="3557">
      <c r="A3557" s="1">
        <v>5.0</v>
      </c>
      <c r="B3557" s="1" t="s">
        <v>3540</v>
      </c>
      <c r="C3557" t="str">
        <f>IFERROR(__xludf.DUMMYFUNCTION("GOOGLETRANSLATE(B3557, ""es"", ""en"")"),"Order well perfect, good seller, recommended +++")</f>
        <v>Order well perfect, good seller, recommended +++</v>
      </c>
    </row>
    <row r="3558">
      <c r="A3558" s="1">
        <v>5.0</v>
      </c>
      <c r="B3558" s="1" t="s">
        <v>3541</v>
      </c>
      <c r="C3558" t="str">
        <f>IFERROR(__xludf.DUMMYFUNCTION("GOOGLETRANSLATE(B3558, ""es"", ""en"")"),"Very light. Good product and comfortable")</f>
        <v>Very light. Good product and comfortable</v>
      </c>
    </row>
    <row r="3559">
      <c r="A3559" s="1">
        <v>5.0</v>
      </c>
      <c r="B3559" s="1" t="s">
        <v>3542</v>
      </c>
      <c r="C3559" t="str">
        <f>IFERROR(__xludf.DUMMYFUNCTION("GOOGLETRANSLATE(B3559, ""es"", ""en"")"),"It glass bottle is 120 ml This bottle glass heat resistant; silicone nipple is wide, soft and flexible and has a petal-shaped design that mimics the natural shape of the breast to facilitate engagement. It is anti-colic but does not stop the crying baby.")</f>
        <v>It glass bottle is 120 ml This bottle glass heat resistant; silicone nipple is wide, soft and flexible and has a petal-shaped design that mimics the natural shape of the breast to facilitate engagement. It is anti-colic but does not stop the crying baby.</v>
      </c>
    </row>
    <row r="3560">
      <c r="A3560" s="1">
        <v>5.0</v>
      </c>
      <c r="B3560" s="1" t="s">
        <v>3543</v>
      </c>
      <c r="C3560" t="str">
        <f>IFERROR(__xludf.DUMMYFUNCTION("GOOGLETRANSLATE(B3560, ""es"", ""en"")"),"Right earrings beautiful and quality")</f>
        <v>Right earrings beautiful and quality</v>
      </c>
    </row>
    <row r="3561">
      <c r="A3561" s="1">
        <v>5.0</v>
      </c>
      <c r="B3561" s="1" t="s">
        <v>3544</v>
      </c>
      <c r="C3561" t="str">
        <f>IFERROR(__xludf.DUMMYFUNCTION("GOOGLETRANSLATE(B3561, ""es"", ""en"")"),"Saray PERFECT! Have arrived well packed in its original box, label, limpitas and brand-new! They are very comfortable and, best, super value! To guide, I use 37 and 36 2/3 asked me! And they stuck me! 👌🏻 A 10!")</f>
        <v>Saray PERFECT! Have arrived well packed in its original box, label, limpitas and brand-new! They are very comfortable and, best, super value! To guide, I use 37 and 36 2/3 asked me! And they stuck me! 👌🏻 A 10!</v>
      </c>
    </row>
    <row r="3562">
      <c r="A3562" s="1">
        <v>5.0</v>
      </c>
      <c r="B3562" s="1" t="s">
        <v>3545</v>
      </c>
      <c r="C3562" t="str">
        <f>IFERROR(__xludf.DUMMYFUNCTION("GOOGLETRANSLATE(B3562, ""es"", ""en"")"),"Judit Barcelona is very comfortable. Vans of the best I've had. They fit perfectly and look good with everything. Highly recommended. ;)")</f>
        <v>Judit Barcelona is very comfortable. Vans of the best I've had. They fit perfectly and look good with everything. Highly recommended. ;)</v>
      </c>
    </row>
    <row r="3563">
      <c r="A3563" s="1">
        <v>5.0</v>
      </c>
      <c r="B3563" s="1" t="s">
        <v>3546</v>
      </c>
      <c r="C3563" t="str">
        <f>IFERROR(__xludf.DUMMYFUNCTION("GOOGLETRANSLATE(B3563, ""es"", ""en"")"),"Es.muy cool cart, my baby love Encantada")</f>
        <v>Es.muy cool cart, my baby love Encantada</v>
      </c>
    </row>
    <row r="3564">
      <c r="A3564" s="1">
        <v>5.0</v>
      </c>
      <c r="B3564" s="1" t="s">
        <v>3547</v>
      </c>
      <c r="C3564" t="str">
        <f>IFERROR(__xludf.DUMMYFUNCTION("GOOGLETRANSLATE(B3564, ""es"", ""en"")"),"Memory card BBB- best memory cards market, large capacity, does not fail and will not let you pulled, the storage rate is not high, I use to photograph and not doing bursts, spare me this.")</f>
        <v>Memory card BBB- best memory cards market, large capacity, does not fail and will not let you pulled, the storage rate is not high, I use to photograph and not doing bursts, spare me this.</v>
      </c>
    </row>
    <row r="3565">
      <c r="A3565" s="1">
        <v>5.0</v>
      </c>
      <c r="B3565" s="1" t="s">
        <v>3548</v>
      </c>
      <c r="C3565" t="str">
        <f>IFERROR(__xludf.DUMMYFUNCTION("GOOGLETRANSLATE(B3565, ""es"", ""en"")"),"Good perfect and cheap, comfortable and hold.")</f>
        <v>Good perfect and cheap, comfortable and hold.</v>
      </c>
    </row>
    <row r="3566">
      <c r="A3566" s="1">
        <v>5.0</v>
      </c>
      <c r="B3566" s="1" t="s">
        <v>3549</v>
      </c>
      <c r="C3566" t="str">
        <f>IFERROR(__xludf.DUMMYFUNCTION("GOOGLETRANSLATE(B3566, ""es"", ""en"")"),"just what I expected no more")</f>
        <v>just what I expected no more</v>
      </c>
    </row>
    <row r="3567">
      <c r="A3567" s="1">
        <v>5.0</v>
      </c>
      <c r="B3567" s="1" t="s">
        <v>3550</v>
      </c>
      <c r="C3567" t="str">
        <f>IFERROR(__xludf.DUMMYFUNCTION("GOOGLETRANSLATE(B3567, ""es"", ""en"")"),"yolizoe All right, all perfect and time to receive very fast. The clock works very well and the presentation box with very good camouflage.")</f>
        <v>yolizoe All right, all perfect and time to receive very fast. The clock works very well and the presentation box with very good camouflage.</v>
      </c>
    </row>
    <row r="3568">
      <c r="A3568" s="1">
        <v>5.0</v>
      </c>
      <c r="B3568" s="1" t="s">
        <v>3551</v>
      </c>
      <c r="C3568" t="str">
        <f>IFERROR(__xludf.DUMMYFUNCTION("GOOGLETRANSLATE(B3568, ""es"", ""en"")"),"Dr Improvement seen in the photograph is super comfortable to wear and for a gift that are tremendous for your presence")</f>
        <v>Dr Improvement seen in the photograph is super comfortable to wear and for a gift that are tremendous for your presence</v>
      </c>
    </row>
    <row r="3569">
      <c r="A3569" s="1">
        <v>2.0</v>
      </c>
      <c r="B3569" s="1" t="s">
        <v>3552</v>
      </c>
      <c r="C3569" t="str">
        <f>IFERROR(__xludf.DUMMYFUNCTION("GOOGLETRANSLATE(B3569, ""es"", ""en"")"),"Sponges more ""cheap"" I've seen are of the bad quality you can find in the supermarket, if not worth it, but I bought it was very cheap I'm not convinced I'd rather pay a little more for ones that last longer and We do not create so much garbage")</f>
        <v>Sponges more "cheap" I've seen are of the bad quality you can find in the supermarket, if not worth it, but I bought it was very cheap I'm not convinced I'd rather pay a little more for ones that last longer and We do not create so much garbage</v>
      </c>
    </row>
    <row r="3570">
      <c r="A3570" s="1">
        <v>3.0</v>
      </c>
      <c r="B3570" s="1" t="s">
        <v>3553</v>
      </c>
      <c r="C3570" t="str">
        <f>IFERROR(__xludf.DUMMYFUNCTION("GOOGLETRANSLATE(B3570, ""es"", ""en"")"),"Hello I do not add any invoice or waybill")</f>
        <v>Hello I do not add any invoice or waybill</v>
      </c>
    </row>
    <row r="3571">
      <c r="A3571" s="1">
        <v>3.0</v>
      </c>
      <c r="B3571" s="1" t="s">
        <v>3554</v>
      </c>
      <c r="C3571" t="str">
        <f>IFERROR(__xludf.DUMMYFUNCTION("GOOGLETRANSLATE(B3571, ""es"", ""en"")"),"SUPER SMALL mop, as such, is very good, is lightweight, flexible and comfortable. Its paste is that it is tiny, measuring 24cm largo.No should recommend therefore, should be measured at the least 30 or 35 cm. Next time I will read to find the measures. Ch"&amp;"eers!")</f>
        <v>SUPER SMALL mop, as such, is very good, is lightweight, flexible and comfortable. Its paste is that it is tiny, measuring 24cm largo.No should recommend therefore, should be measured at the least 30 or 35 cm. Next time I will read to find the measures. Cheers!</v>
      </c>
    </row>
    <row r="3572">
      <c r="A3572" s="1">
        <v>1.0</v>
      </c>
      <c r="B3572" s="1" t="s">
        <v>3555</v>
      </c>
      <c r="C3572" t="str">
        <f>IFERROR(__xludf.DUMMYFUNCTION("GOOGLETRANSLATE(B3572, ""es"", ""en"")"),"Dissatisfaction The outstanding well but do not serve nuts and other claims and sent me the same so k can put me")</f>
        <v>Dissatisfaction The outstanding well but do not serve nuts and other claims and sent me the same so k can put me</v>
      </c>
    </row>
    <row r="3573">
      <c r="A3573" s="1">
        <v>1.0</v>
      </c>
      <c r="B3573" s="1" t="s">
        <v>3556</v>
      </c>
      <c r="C3573" t="str">
        <f>IFERROR(__xludf.DUMMYFUNCTION("GOOGLETRANSLATE(B3573, ""es"", ""en"")"),"Do not buy my god The color does not match entered belt and watch. Repay sending urgent is a scam, I'm still waiting rwspuesta meanwhile for my money back by sending")</f>
        <v>Do not buy my god The color does not match entered belt and watch. Repay sending urgent is a scam, I'm still waiting rwspuesta meanwhile for my money back by sending</v>
      </c>
    </row>
    <row r="3574">
      <c r="A3574" s="1">
        <v>4.0</v>
      </c>
      <c r="B3574" s="1" t="s">
        <v>3557</v>
      </c>
      <c r="C3574" t="str">
        <f>IFERROR(__xludf.DUMMYFUNCTION("GOOGLETRANSLATE(B3574, ""es"", ""en"")"),"Exactly what I was perfect. Good quality boots, warm and offering good protection to the foot in the crudest of this cold spell. However just as much technical mountain shoe, in urban use can slip in some very smooth surfaces occurs. It notes that they ar"&amp;"e more oriented use of external")</f>
        <v>Exactly what I was perfect. Good quality boots, warm and offering good protection to the foot in the crudest of this cold spell. However just as much technical mountain shoe, in urban use can slip in some very smooth surfaces occurs. It notes that they are more oriented use of external</v>
      </c>
    </row>
    <row r="3575">
      <c r="A3575" s="1">
        <v>4.0</v>
      </c>
      <c r="B3575" s="1" t="s">
        <v>3558</v>
      </c>
      <c r="C3575" t="str">
        <f>IFERROR(__xludf.DUMMYFUNCTION("GOOGLETRANSLATE(B3575, ""es"", ""en"")"),"Good very happy with them slippers. After a few weeks of use remain as the first day. Still retain the drawing of the logo of the sole thing that is often quickly disappearing.")</f>
        <v>Good very happy with them slippers. After a few weeks of use remain as the first day. Still retain the drawing of the logo of the sole thing that is often quickly disappearing.</v>
      </c>
    </row>
    <row r="3576">
      <c r="A3576" s="1">
        <v>4.0</v>
      </c>
      <c r="B3576" s="1" t="s">
        <v>3559</v>
      </c>
      <c r="C3576" t="str">
        <f>IFERROR(__xludf.DUMMYFUNCTION("GOOGLETRANSLATE(B3576, ""es"", ""en"")"),"material and not allergic good service nothing good ..")</f>
        <v>material and not allergic good service nothing good ..</v>
      </c>
    </row>
    <row r="3577">
      <c r="A3577" s="1">
        <v>4.0</v>
      </c>
      <c r="B3577" s="1" t="s">
        <v>3560</v>
      </c>
      <c r="C3577" t="str">
        <f>IFERROR(__xludf.DUMMYFUNCTION("GOOGLETRANSLATE(B3577, ""es"", ""en"")"),"Trusting the brand I chose this brand because it is the same as it was which lasted more than 10 years, so far so good but I'm a little afraid the sockets as the lid is not tight. The container is small but well ... it's the model. Until today I am satisf"&amp;"ied with its performance.")</f>
        <v>Trusting the brand I chose this brand because it is the same as it was which lasted more than 10 years, so far so good but I'm a little afraid the sockets as the lid is not tight. The container is small but well ... it's the model. Until today I am satisfied with its performance.</v>
      </c>
    </row>
    <row r="3578">
      <c r="A3578" s="1">
        <v>4.0</v>
      </c>
      <c r="B3578" s="1" t="s">
        <v>3561</v>
      </c>
      <c r="C3578" t="str">
        <f>IFERROR(__xludf.DUMMYFUNCTION("GOOGLETRANSLATE(B3578, ""es"", ""en"")"),"Meets the price and is very nice and flattering Well this xed is very nice carving is abundant if they have lame doubt one size smaller is my appreciation of color is not the same as the one that appears on the screen but still nice and very flattering to"&amp;" quality of the garment is what I expected and is finite which like least is me their small side pockets that do not like not having good shape in pockets is my sticks only, so do not give 5 extrellas anyway I'm happy greetings and happy holidays and new "&amp;"year")</f>
        <v>Meets the price and is very nice and flattering Well this xed is very nice carving is abundant if they have lame doubt one size smaller is my appreciation of color is not the same as the one that appears on the screen but still nice and very flattering to quality of the garment is what I expected and is finite which like least is me their small side pockets that do not like not having good shape in pockets is my sticks only, so do not give 5 extrellas anyway I'm happy greetings and happy holidays and new year</v>
      </c>
    </row>
    <row r="3579">
      <c r="A3579" s="1">
        <v>5.0</v>
      </c>
      <c r="B3579" s="1" t="s">
        <v>3562</v>
      </c>
      <c r="C3579" t="str">
        <f>IFERROR(__xludf.DUMMYFUNCTION("GOOGLETRANSLATE(B3579, ""es"", ""en"")"),"Identical to the original Good product")</f>
        <v>Identical to the original Good product</v>
      </c>
    </row>
    <row r="3580">
      <c r="A3580" s="1">
        <v>5.0</v>
      </c>
      <c r="B3580" s="1" t="s">
        <v>3563</v>
      </c>
      <c r="C3580" t="str">
        <f>IFERROR(__xludf.DUMMYFUNCTION("GOOGLETRANSLATE(B3580, ""es"", ""en"")"),"ANGOOL Sports Bra Yoga Run Bra Removable Pads Women've used to practice pilates and I must say they are comfortable and give the perfect fit. Something against you, give, very hot, but winter should be wonderful")</f>
        <v>ANGOOL Sports Bra Yoga Run Bra Removable Pads Women've used to practice pilates and I must say they are comfortable and give the perfect fit. Something against you, give, very hot, but winter should be wonderful</v>
      </c>
    </row>
    <row r="3581">
      <c r="A3581" s="1">
        <v>5.0</v>
      </c>
      <c r="B3581" s="1" t="s">
        <v>3564</v>
      </c>
      <c r="C3581" t="str">
        <f>IFERROR(__xludf.DUMMYFUNCTION("GOOGLETRANSLATE(B3581, ""es"", ""en"")"),"Original saw that were original as I had read in reviews that some vendors sold them fake. Usually these boots carve big, I use a 40 and had to take a 39, the best is try them on in store and then take advantage of Amazon's offer. They are hard, so you'll"&amp;" need a few weeks to make a foot.")</f>
        <v>Original saw that were original as I had read in reviews that some vendors sold them fake. Usually these boots carve big, I use a 40 and had to take a 39, the best is try them on in store and then take advantage of Amazon's offer. They are hard, so you'll need a few weeks to make a foot.</v>
      </c>
    </row>
    <row r="3582">
      <c r="A3582" s="1">
        <v>5.0</v>
      </c>
      <c r="B3582" s="1" t="s">
        <v>3565</v>
      </c>
      <c r="C3582" t="str">
        <f>IFERROR(__xludf.DUMMYFUNCTION("GOOGLETRANSLATE(B3582, ""es"", ""en"")"),"Very good product quality and punctual delivery.")</f>
        <v>Very good product quality and punctual delivery.</v>
      </c>
    </row>
    <row r="3583">
      <c r="A3583" s="1">
        <v>5.0</v>
      </c>
      <c r="B3583" s="1" t="s">
        <v>3566</v>
      </c>
      <c r="C3583" t="str">
        <f>IFERROR(__xludf.DUMMYFUNCTION("GOOGLETRANSLATE(B3583, ""es"", ""en"")"),"It's what I needed So I ended up buying five equal. True, did I miss because I have a small bed and wanted to add the tea in the room. The kettle is sufficient to heat the water for a couple of cups. It is robust. The lid is removed from the whole and so "&amp;"is easier to clean the interior. And above all, you have the possibility to choose the water temperature seems like a great idea, he had never seen. Certainly there are much cheaper small kettles, but not of the same quality. If I need more I'll sure buy.")</f>
        <v>It's what I needed So I ended up buying five equal. True, did I miss because I have a small bed and wanted to add the tea in the room. The kettle is sufficient to heat the water for a couple of cups. It is robust. The lid is removed from the whole and so is easier to clean the interior. And above all, you have the possibility to choose the water temperature seems like a great idea, he had never seen. Certainly there are much cheaper small kettles, but not of the same quality. If I need more I'll sure buy.</v>
      </c>
    </row>
    <row r="3584">
      <c r="A3584" s="1">
        <v>5.0</v>
      </c>
      <c r="B3584" s="1" t="s">
        <v>3567</v>
      </c>
      <c r="C3584" t="str">
        <f>IFERROR(__xludf.DUMMYFUNCTION("GOOGLETRANSLATE(B3584, ""es"", ""en"")"),"super comfortable High above my prespective, good quality for money. Very satisfied")</f>
        <v>super comfortable High above my prespective, good quality for money. Very satisfied</v>
      </c>
    </row>
    <row r="3585">
      <c r="A3585" s="1">
        <v>5.0</v>
      </c>
      <c r="B3585" s="1" t="s">
        <v>3568</v>
      </c>
      <c r="C3585" t="str">
        <f>IFERROR(__xludf.DUMMYFUNCTION("GOOGLETRANSLATE(B3585, ""es"", ""en"")"),"Using all ok salomon the table for measures comes as a guante.Y have more than fulfilled my expectations.")</f>
        <v>Using all ok salomon the table for measures comes as a guante.Y have more than fulfilled my expectations.</v>
      </c>
    </row>
    <row r="3586">
      <c r="A3586" s="1">
        <v>5.0</v>
      </c>
      <c r="B3586" s="1" t="s">
        <v>3569</v>
      </c>
      <c r="C3586" t="str">
        <f>IFERROR(__xludf.DUMMYFUNCTION("GOOGLETRANSLATE(B3586, ""es"", ""en"")"),"Jon Value fine. I bought it for the comments and has not let me down. Looks very crisp. My companion looks even with astigmatism.")</f>
        <v>Jon Value fine. I bought it for the comments and has not let me down. Looks very crisp. My companion looks even with astigmatism.</v>
      </c>
    </row>
    <row r="3587">
      <c r="A3587" s="1">
        <v>5.0</v>
      </c>
      <c r="B3587" s="1" t="s">
        <v>3570</v>
      </c>
      <c r="C3587" t="str">
        <f>IFERROR(__xludf.DUMMYFUNCTION("GOOGLETRANSLATE(B3587, ""es"", ""en"")"),"Value are fine but excellent harbor, and are breathable. Happy with purchase.")</f>
        <v>Value are fine but excellent harbor, and are breathable. Happy with purchase.</v>
      </c>
    </row>
    <row r="3588">
      <c r="A3588" s="1">
        <v>5.0</v>
      </c>
      <c r="B3588" s="1" t="s">
        <v>3571</v>
      </c>
      <c r="C3588" t="str">
        <f>IFERROR(__xludf.DUMMYFUNCTION("GOOGLETRANSLATE(B3588, ""es"", ""en"")"),"Inma P Useful for school. I always buy this brand items: pencils, for example, when my children start the school year because they give me quality assurance.")</f>
        <v>Inma P Useful for school. I always buy this brand items: pencils, for example, when my children start the school year because they give me quality assurance.</v>
      </c>
    </row>
    <row r="3589">
      <c r="A3589" s="1">
        <v>5.0</v>
      </c>
      <c r="B3589" s="1" t="s">
        <v>3572</v>
      </c>
      <c r="C3589" t="str">
        <f>IFERROR(__xludf.DUMMYFUNCTION("GOOGLETRANSLATE(B3589, ""es"", ""en"")"),"Exceptional Prenda perfect, completely suits you, being as your own skin. I'll buy it.")</f>
        <v>Exceptional Prenda perfect, completely suits you, being as your own skin. I'll buy it.</v>
      </c>
    </row>
    <row r="3590">
      <c r="A3590" s="1">
        <v>5.0</v>
      </c>
      <c r="B3590" s="1" t="s">
        <v>3573</v>
      </c>
      <c r="C3590" t="str">
        <f>IFERROR(__xludf.DUMMYFUNCTION("GOOGLETRANSLATE(B3590, ""es"", ""en"")"),"OROGINALES are the real, quality / price amazon insuperable, the return to buy other colors when the lower back;) comfortable and versatile. As a side note, I picked average number less than my usual size and I are perfect.")</f>
        <v>OROGINALES are the real, quality / price amazon insuperable, the return to buy other colors when the lower back;) comfortable and versatile. As a side note, I picked average number less than my usual size and I are perfect.</v>
      </c>
    </row>
    <row r="3591">
      <c r="A3591" s="1">
        <v>5.0</v>
      </c>
      <c r="B3591" s="1" t="s">
        <v>3574</v>
      </c>
      <c r="C3591" t="str">
        <f>IFERROR(__xludf.DUMMYFUNCTION("GOOGLETRANSLATE(B3591, ""es"", ""en"")"),"Very good very good bottles, is of the best prices I've found. Great brand and the best anti-colic. No definitely repeat.")</f>
        <v>Very good very good bottles, is of the best prices I've found. Great brand and the best anti-colic. No definitely repeat.</v>
      </c>
    </row>
    <row r="3592">
      <c r="A3592" s="1">
        <v>5.0</v>
      </c>
      <c r="B3592" s="1" t="s">
        <v>3575</v>
      </c>
      <c r="C3592" t="str">
        <f>IFERROR(__xludf.DUMMYFUNCTION("GOOGLETRANSLATE(B3592, ""es"", ""en"")"),"Dr. Martens 1460 - Men's lace-up boots, black color, size 43 How could it be otherwise fulfilled all expectations. All in a timely manner. I hope that will last many winters.")</f>
        <v>Dr. Martens 1460 - Men's lace-up boots, black color, size 43 How could it be otherwise fulfilled all expectations. All in a timely manner. I hope that will last many winters.</v>
      </c>
    </row>
    <row r="3593">
      <c r="A3593" s="1">
        <v>5.0</v>
      </c>
      <c r="B3593" s="1" t="s">
        <v>3576</v>
      </c>
      <c r="C3593" t="str">
        <f>IFERROR(__xludf.DUMMYFUNCTION("GOOGLETRANSLATE(B3593, ""es"", ""en"")"),"Always great buy, know the brand and works very well.")</f>
        <v>Always great buy, know the brand and works very well.</v>
      </c>
    </row>
    <row r="3594">
      <c r="A3594" s="1">
        <v>5.0</v>
      </c>
      <c r="B3594" s="1" t="s">
        <v>3577</v>
      </c>
      <c r="C3594" t="str">
        <f>IFERROR(__xludf.DUMMYFUNCTION("GOOGLETRANSLATE(B3594, ""es"", ""en"")"),"Comfort Very conodas for trsbajar all la.noche")</f>
        <v>Comfort Very conodas for trsbajar all la.noche</v>
      </c>
    </row>
    <row r="3595">
      <c r="A3595" s="1">
        <v>5.0</v>
      </c>
      <c r="B3595" s="1" t="s">
        <v>3578</v>
      </c>
      <c r="C3595" t="str">
        <f>IFERROR(__xludf.DUMMYFUNCTION("GOOGLETRANSLATE(B3595, ""es"", ""en"")"),"SIMPLY EXTRAORDINARY! The item is beautiful, the presentation very good, fast shipping and has met my expectations. I would recommend it to anyone, the article and how to buy. Thanks for everything")</f>
        <v>SIMPLY EXTRAORDINARY! The item is beautiful, the presentation very good, fast shipping and has met my expectations. I would recommend it to anyone, the article and how to buy. Thanks for everything</v>
      </c>
    </row>
    <row r="3596">
      <c r="A3596" s="1">
        <v>5.0</v>
      </c>
      <c r="B3596" s="1" t="s">
        <v>3579</v>
      </c>
      <c r="C3596" t="str">
        <f>IFERROR(__xludf.DUMMYFUNCTION("GOOGLETRANSLATE(B3596, ""es"", ""en"")"),"Great good buy, very happy. The battery copes perfectly to clean my floor (100m2). Easy to clean and very manageable. By putting a stick, sometimes it does not get well with some edges, but otherwise fine.")</f>
        <v>Great good buy, very happy. The battery copes perfectly to clean my floor (100m2). Easy to clean and very manageable. By putting a stick, sometimes it does not get well with some edges, but otherwise fine.</v>
      </c>
    </row>
    <row r="3597">
      <c r="A3597" s="1">
        <v>5.0</v>
      </c>
      <c r="B3597" s="1" t="s">
        <v>3580</v>
      </c>
      <c r="C3597" t="str">
        <f>IFERROR(__xludf.DUMMYFUNCTION("GOOGLETRANSLATE(B3597, ""es"", ""en"")"),"Cool I'm not a great understanding in sound, but something purist. Seeking quality components, decent low, autonomy and reliability. These JBL comply with the above. After a few weeks of use I can not say anything negative. We recomendadísimos.")</f>
        <v>Cool I'm not a great understanding in sound, but something purist. Seeking quality components, decent low, autonomy and reliability. These JBL comply with the above. After a few weeks of use I can not say anything negative. We recomendadísimos.</v>
      </c>
    </row>
    <row r="3598">
      <c r="A3598" s="1">
        <v>2.0</v>
      </c>
      <c r="B3598" s="1" t="s">
        <v>3581</v>
      </c>
      <c r="C3598" t="str">
        <f>IFERROR(__xludf.DUMMYFUNCTION("GOOGLETRANSLATE(B3598, ""es"", ""en"")"),"Good product normalillo normalillo headphones are not perfect but good to hear the price already known can be acceptable")</f>
        <v>Good product normalillo normalillo headphones are not perfect but good to hear the price already known can be acceptable</v>
      </c>
    </row>
    <row r="3599">
      <c r="A3599" s="1">
        <v>3.0</v>
      </c>
      <c r="B3599" s="1" t="s">
        <v>3582</v>
      </c>
      <c r="C3599" t="str">
        <f>IFERROR(__xludf.DUMMYFUNCTION("GOOGLETRANSLATE(B3599, ""es"", ""en"")"),"Well as a gift of Mother's Day Perfect for Mother's Day that comes in an elegant box, but the collar is a little classic. I'm not sure if I'll stay because I do not just convinced the chain is a bit rough for my taste. But for 10 € I bought on sale can no"&amp;"t ask for much more, for that price it is great as a gift. PROS: Packaging elegant Price / quality aspect CONS: Some classic string a little ugly")</f>
        <v>Well as a gift of Mother's Day Perfect for Mother's Day that comes in an elegant box, but the collar is a little classic. I'm not sure if I'll stay because I do not just convinced the chain is a bit rough for my taste. But for 10 € I bought on sale can not ask for much more, for that price it is great as a gift. PROS: Packaging elegant Price / quality aspect CONS: Some classic string a little ugly</v>
      </c>
    </row>
    <row r="3600">
      <c r="A3600" s="1">
        <v>3.0</v>
      </c>
      <c r="B3600" s="1" t="s">
        <v>3583</v>
      </c>
      <c r="C3600" t="str">
        <f>IFERROR(__xludf.DUMMYFUNCTION("GOOGLETRANSLATE(B3600, ""es"", ""en"")"),"Basic quality does not convince me quality")</f>
        <v>Basic quality does not convince me quality</v>
      </c>
    </row>
    <row r="3601">
      <c r="A3601" s="1">
        <v>1.0</v>
      </c>
      <c r="B3601" s="1" t="s">
        <v>3584</v>
      </c>
      <c r="C3601" t="str">
        <f>IFERROR(__xludf.DUMMYFUNCTION("GOOGLETRANSLATE(B3601, ""es"", ""en"")"),"Vaso, specifically the lid does not close and is a real problem The mixer very well, but the laptop cover glass does not close and you lose all the functionality you have. I contacted Philipis and tells me that the warranty does not cover ""accessories"" "&amp;"to which I replied that the ""accessory"" is practically the most important of this mixer, and emotional for which I opted for this model and not another . The contents of the glass and spilled me repeatedly that the lid is opened suddenly and caused me p"&amp;"roblems. Also tell me from Philips is the seller who is responsible for covering regarding accessories, but I get contact the seller.")</f>
        <v>Vaso, specifically the lid does not close and is a real problem The mixer very well, but the laptop cover glass does not close and you lose all the functionality you have. I contacted Philipis and tells me that the warranty does not cover "accessories" to which I replied that the "accessory" is practically the most important of this mixer, and emotional for which I opted for this model and not another . The contents of the glass and spilled me repeatedly that the lid is opened suddenly and caused me problems. Also tell me from Philips is the seller who is responsible for covering regarding accessories, but I get contact the seller.</v>
      </c>
    </row>
    <row r="3602">
      <c r="A3602" s="1">
        <v>1.0</v>
      </c>
      <c r="B3602" s="1" t="s">
        <v>3585</v>
      </c>
      <c r="C3602" t="str">
        <f>IFERROR(__xludf.DUMMYFUNCTION("GOOGLETRANSLATE(B3602, ""es"", ""en"")"),"I sent a microphone used sent me a microphone and used and clearly defective with a noise like constant background vibration, which only touched options was impossible to mitigate. The box was not sealed. I ordered a replacement product and the micro that"&amp;" came to me yes it was new, nothing worked plug everything perfectly.")</f>
        <v>I sent a microphone used sent me a microphone and used and clearly defective with a noise like constant background vibration, which only touched options was impossible to mitigate. The box was not sealed. I ordered a replacement product and the micro that came to me yes it was new, nothing worked plug everything perfectly.</v>
      </c>
    </row>
    <row r="3603">
      <c r="A3603" s="1">
        <v>1.0</v>
      </c>
      <c r="B3603" s="1" t="s">
        <v>3586</v>
      </c>
      <c r="C3603" t="str">
        <f>IFERROR(__xludf.DUMMYFUNCTION("GOOGLETRANSLATE(B3603, ""es"", ""en"")"),"Mar is short leg length and the first wash I have already discarded; I do not understand because I bought this model in green and is a tad star largo.Una by precio.Gracias")</f>
        <v>Mar is short leg length and the first wash I have already discarded; I do not understand because I bought this model in green and is a tad star largo.Una by precio.Gracias</v>
      </c>
    </row>
    <row r="3604">
      <c r="A3604" s="1">
        <v>4.0</v>
      </c>
      <c r="B3604" s="1" t="s">
        <v>3378</v>
      </c>
      <c r="C3604" t="str">
        <f>IFERROR(__xludf.DUMMYFUNCTION("GOOGLETRANSLATE(B3604, ""es"", ""en"")"),"right right")</f>
        <v>right right</v>
      </c>
    </row>
    <row r="3605">
      <c r="A3605" s="1">
        <v>4.0</v>
      </c>
      <c r="B3605" s="1" t="s">
        <v>3587</v>
      </c>
      <c r="C3605" t="str">
        <f>IFERROR(__xludf.DUMMYFUNCTION("GOOGLETRANSLATE(B3605, ""es"", ""en"")"),"The whole life I've been using these dvds about 15 years, and I find no fault them. It is true that with the light end up breaking down, but after many years. Within albums, they do not have to have any problems. And yet I have not encountered any defecti"&amp;"ve dvd.")</f>
        <v>The whole life I've been using these dvds about 15 years, and I find no fault them. It is true that with the light end up breaking down, but after many years. Within albums, they do not have to have any problems. And yet I have not encountered any defective dvd.</v>
      </c>
    </row>
    <row r="3606">
      <c r="A3606" s="1">
        <v>4.0</v>
      </c>
      <c r="B3606" s="1" t="s">
        <v>3588</v>
      </c>
      <c r="C3606" t="str">
        <f>IFERROR(__xludf.DUMMYFUNCTION("GOOGLETRANSLATE(B3606, ""es"", ""en"")"),"Good value for money, high-capacity I put it to backup the most sensitive data from my nas and it works perfect. As to say that 8TB capacity is a little larger than other discs and need power adapter, but it is normal for this capability, yet the size is "&amp;"not too large")</f>
        <v>Good value for money, high-capacity I put it to backup the most sensitive data from my nas and it works perfect. As to say that 8TB capacity is a little larger than other discs and need power adapter, but it is normal for this capability, yet the size is not too large</v>
      </c>
    </row>
    <row r="3607">
      <c r="A3607" s="1">
        <v>4.0</v>
      </c>
      <c r="B3607" s="1" t="s">
        <v>3589</v>
      </c>
      <c r="C3607" t="str">
        <f>IFERROR(__xludf.DUMMYFUNCTION("GOOGLETRANSLATE(B3607, ""es"", ""en"")"),"Very good helmets in the lower middle range I use to go to work for an hour with them jobs do not bother at all since they are lightweight. I already had the old model and I liked their sound, very crisp, powerful bass and midrange and treble acceptable. "&amp;"Insulates quite well abroad without having to put the volume too high and no annoying cable because it is neither too long nor too short. I do not know what will last me but for this price surely will repeat when they fail or whatever. 8/10")</f>
        <v>Very good helmets in the lower middle range I use to go to work for an hour with them jobs do not bother at all since they are lightweight. I already had the old model and I liked their sound, very crisp, powerful bass and midrange and treble acceptable. Insulates quite well abroad without having to put the volume too high and no annoying cable because it is neither too long nor too short. I do not know what will last me but for this price surely will repeat when they fail or whatever. 8/10</v>
      </c>
    </row>
    <row r="3608">
      <c r="A3608" s="1">
        <v>5.0</v>
      </c>
      <c r="B3608" s="1" t="s">
        <v>3590</v>
      </c>
      <c r="C3608" t="str">
        <f>IFERROR(__xludf.DUMMYFUNCTION("GOOGLETRANSLATE(B3608, ""es"", ""en"")"),"Mu good We have satisfied the product. We had one like it but over the years has been deteriorating, and this is the perfect replacement. I chose only the model wearing the cut potatoes and spare us, otherwise it's perfect.")</f>
        <v>Mu good We have satisfied the product. We had one like it but over the years has been deteriorating, and this is the perfect replacement. I chose only the model wearing the cut potatoes and spare us, otherwise it's perfect.</v>
      </c>
    </row>
    <row r="3609">
      <c r="A3609" s="1">
        <v>5.0</v>
      </c>
      <c r="B3609" s="1" t="s">
        <v>3591</v>
      </c>
      <c r="C3609" t="str">
        <f>IFERROR(__xludf.DUMMYFUNCTION("GOOGLETRANSLATE(B3609, ""es"", ""en"")"),"Super They are very comfortable, easy to connect and go very well.")</f>
        <v>Super They are very comfortable, easy to connect and go very well.</v>
      </c>
    </row>
    <row r="3610">
      <c r="A3610" s="1">
        <v>5.0</v>
      </c>
      <c r="B3610" s="1" t="s">
        <v>3592</v>
      </c>
      <c r="C3610" t="str">
        <f>IFERROR(__xludf.DUMMYFUNCTION("GOOGLETRANSLATE(B3610, ""es"", ""en"")"),"Excellent quality shoes Great quality. It is the second time I buy them by the good results.")</f>
        <v>Excellent quality shoes Great quality. It is the second time I buy them by the good results.</v>
      </c>
    </row>
    <row r="3611">
      <c r="A3611" s="1">
        <v>5.0</v>
      </c>
      <c r="B3611" s="1" t="s">
        <v>3593</v>
      </c>
      <c r="C3611" t="str">
        <f>IFERROR(__xludf.DUMMYFUNCTION("GOOGLETRANSLATE(B3611, ""es"", ""en"")"),"Beautiful and nice quality sweatshirt. My son loves it.")</f>
        <v>Beautiful and nice quality sweatshirt. My son loves it.</v>
      </c>
    </row>
    <row r="3612">
      <c r="A3612" s="1">
        <v>5.0</v>
      </c>
      <c r="B3612" s="1" t="s">
        <v>3594</v>
      </c>
      <c r="C3612" t="str">
        <f>IFERROR(__xludf.DUMMYFUNCTION("GOOGLETRANSLATE(B3612, ""es"", ""en"")"),"Small but practical is small, just what we wanted. A material that seems indestructible. I liked it because I always went with one of a larger size and there were times it was unnecessary.")</f>
        <v>Small but practical is small, just what we wanted. A material that seems indestructible. I liked it because I always went with one of a larger size and there were times it was unnecessary.</v>
      </c>
    </row>
    <row r="3613">
      <c r="A3613" s="1">
        <v>5.0</v>
      </c>
      <c r="B3613" s="1" t="s">
        <v>3595</v>
      </c>
      <c r="C3613" t="str">
        <f>IFERROR(__xludf.DUMMYFUNCTION("GOOGLETRANSLATE(B3613, ""es"", ""en"")"),"Great product are perfect and gone jogging with them and are perfect, yes beware sizes I use a 47 and picked up a 48 and I will perfect")</f>
        <v>Great product are perfect and gone jogging with them and are perfect, yes beware sizes I use a 47 and picked up a 48 and I will perfect</v>
      </c>
    </row>
    <row r="3614">
      <c r="A3614" s="1">
        <v>5.0</v>
      </c>
      <c r="B3614" s="1" t="s">
        <v>3596</v>
      </c>
      <c r="C3614" t="str">
        <f>IFERROR(__xludf.DUMMYFUNCTION("GOOGLETRANSLATE(B3614, ""es"", ""en"")"),"Very simple, you plug and it works wing pressure sensitive keyboard. Very useful volume key. Maybe add some system to indicate in which area of ​​the keyboard you are because with the + and - keys you move easily through it but the sound is only when you "&amp;"place yourself.")</f>
        <v>Very simple, you plug and it works wing pressure sensitive keyboard. Very useful volume key. Maybe add some system to indicate in which area of ​​the keyboard you are because with the + and - keys you move easily through it but the sound is only when you place yourself.</v>
      </c>
    </row>
    <row r="3615">
      <c r="A3615" s="1">
        <v>5.0</v>
      </c>
      <c r="B3615" s="1" t="s">
        <v>3597</v>
      </c>
      <c r="C3615" t="str">
        <f>IFERROR(__xludf.DUMMYFUNCTION("GOOGLETRANSLATE(B3615, ""es"", ""en"")"),"The very bonitad I bought for a gift and I was lucky full, they are nicer than on the photo and bring two different strands to put taste")</f>
        <v>The very bonitad I bought for a gift and I was lucky full, they are nicer than on the photo and bring two different strands to put taste</v>
      </c>
    </row>
    <row r="3616">
      <c r="A3616" s="1">
        <v>5.0</v>
      </c>
      <c r="B3616" s="1" t="s">
        <v>3598</v>
      </c>
      <c r="C3616" t="str">
        <f>IFERROR(__xludf.DUMMYFUNCTION("GOOGLETRANSLATE(B3616, ""es"", ""en"")"),"Helmets good quality and price I was looking for a bluetooth helmets for the last time and saw these that caught my attention and good price and I was right because helmets are great truth. For my part they are 100% recommended. - The sound is quite good "&amp;"and clean. - They're pretty comfortable. - it comes with various gums of different sizes. - Very easy to match them to the phone. - Note that you can use only one of them without being required to use both at the same time as both have microphone and can "&amp;"use both hands free. Definitely a great helmets, comfortable at a very good price and easy to carry as the box is small and comfortable.")</f>
        <v>Helmets good quality and price I was looking for a bluetooth helmets for the last time and saw these that caught my attention and good price and I was right because helmets are great truth. For my part they are 100% recommended. - The sound is quite good and clean. - They're pretty comfortable. - it comes with various gums of different sizes. - Very easy to match them to the phone. - Note that you can use only one of them without being required to use both at the same time as both have microphone and can use both hands free. Definitely a great helmets, comfortable at a very good price and easy to carry as the box is small and comfortable.</v>
      </c>
    </row>
    <row r="3617">
      <c r="A3617" s="1">
        <v>5.0</v>
      </c>
      <c r="B3617" s="1" t="s">
        <v>3599</v>
      </c>
      <c r="C3617" t="str">
        <f>IFERROR(__xludf.DUMMYFUNCTION("GOOGLETRANSLATE(B3617, ""es"", ""en"")"),"Maybe I bought !!!! My house has no heating so it is always cold. With this blanket'm always hot and warm bed super good! excellent buy and super soft.")</f>
        <v>Maybe I bought !!!! My house has no heating so it is always cold. With this blanket'm always hot and warm bed super good! excellent buy and super soft.</v>
      </c>
    </row>
    <row r="3618">
      <c r="A3618" s="1">
        <v>5.0</v>
      </c>
      <c r="B3618" s="1" t="s">
        <v>3600</v>
      </c>
      <c r="C3618" t="str">
        <f>IFERROR(__xludf.DUMMYFUNCTION("GOOGLETRANSLATE(B3618, ""es"", ""en"")"),"Excellent bag skin is very elegant, easy to carry and genuine leather with many compartments. I fits all. as indicated technical sheet size. Very good compra.Desearía add that I bought on 24 November 2018 and today (04/05/2019) still impeccable.")</f>
        <v>Excellent bag skin is very elegant, easy to carry and genuine leather with many compartments. I fits all. as indicated technical sheet size. Very good compra.Desearía add that I bought on 24 November 2018 and today (04/05/2019) still impeccable.</v>
      </c>
    </row>
    <row r="3619">
      <c r="A3619" s="1">
        <v>5.0</v>
      </c>
      <c r="B3619" s="1" t="s">
        <v>3601</v>
      </c>
      <c r="C3619" t="str">
        <f>IFERROR(__xludf.DUMMYFUNCTION("GOOGLETRANSLATE(B3619, ""es"", ""en"")"),"Unlike the better then buy another, costing half and believing that would give me the expected result, I had to buy it. has nothing to do, look no further. Spanish language, autonomy of 11 hours of talk time, do not waste your money on this .Comprate expe"&amp;"riments, you will not regret.")</f>
        <v>Unlike the better then buy another, costing half and believing that would give me the expected result, I had to buy it. has nothing to do, look no further. Spanish language, autonomy of 11 hours of talk time, do not waste your money on this .Comprate experiments, you will not regret.</v>
      </c>
    </row>
    <row r="3620">
      <c r="A3620" s="1">
        <v>5.0</v>
      </c>
      <c r="B3620" s="1" t="s">
        <v>3602</v>
      </c>
      <c r="C3620" t="str">
        <f>IFERROR(__xludf.DUMMYFUNCTION("GOOGLETRANSLATE(B3620, ""es"", ""en"")"),"Espectaculars Pel preu worth not crec that n'hi Hagi sonin millor. Molt bons Greus, mitjos Aguts i, i a spectacular scene, sembla that siguin d'un molt preu superior. recomanables molt.")</f>
        <v>Espectaculars Pel preu worth not crec that n'hi Hagi sonin millor. Molt bons Greus, mitjos Aguts i, i a spectacular scene, sembla that siguin d'un molt preu superior. recomanables molt.</v>
      </c>
    </row>
    <row r="3621">
      <c r="A3621" s="1">
        <v>5.0</v>
      </c>
      <c r="B3621" s="1" t="s">
        <v>3603</v>
      </c>
      <c r="C3621" t="str">
        <f>IFERROR(__xludf.DUMMYFUNCTION("GOOGLETRANSLATE(B3621, ""es"", ""en"")"),"Comfortable and good value. Good sound pickup. Easy setup, directly to mobile via minijack, works with the recorder basic phone with no problem. Good for a second audio track when recording remotely.")</f>
        <v>Comfortable and good value. Good sound pickup. Easy setup, directly to mobile via minijack, works with the recorder basic phone with no problem. Good for a second audio track when recording remotely.</v>
      </c>
    </row>
    <row r="3622">
      <c r="A3622" s="1">
        <v>5.0</v>
      </c>
      <c r="B3622" s="1" t="s">
        <v>1425</v>
      </c>
      <c r="C3622" t="str">
        <f>IFERROR(__xludf.DUMMYFUNCTION("GOOGLETRANSLATE(B3622, ""es"", ""en"")"),"perfect perfect")</f>
        <v>perfect perfect</v>
      </c>
    </row>
    <row r="3623">
      <c r="A3623" s="1">
        <v>5.0</v>
      </c>
      <c r="B3623" s="1" t="s">
        <v>3604</v>
      </c>
      <c r="C3623" t="str">
        <f>IFERROR(__xludf.DUMMYFUNCTION("GOOGLETRANSLATE(B3623, ""es"", ""en"")"),"Miguel Angel Moles Rey Very nice, elegant and nothing to envy to other brands I've tried in pools, sea, shower, perfect, time perfect, just say the bracelet watch is inferior to the clock ... but for its price more can you ask I am very happy")</f>
        <v>Miguel Angel Moles Rey Very nice, elegant and nothing to envy to other brands I've tried in pools, sea, shower, perfect, time perfect, just say the bracelet watch is inferior to the clock ... but for its price more can you ask I am very happy</v>
      </c>
    </row>
    <row r="3624">
      <c r="A3624" s="1">
        <v>5.0</v>
      </c>
      <c r="B3624" s="1" t="s">
        <v>3605</v>
      </c>
      <c r="C3624" t="str">
        <f>IFERROR(__xludf.DUMMYFUNCTION("GOOGLETRANSLATE(B3624, ""es"", ""en"")"),"Comfort is a comfortable shoe ligueras")</f>
        <v>Comfort is a comfortable shoe ligueras</v>
      </c>
    </row>
    <row r="3625">
      <c r="A3625" s="1">
        <v>5.0</v>
      </c>
      <c r="B3625" s="1" t="s">
        <v>3606</v>
      </c>
      <c r="C3625" t="str">
        <f>IFERROR(__xludf.DUMMYFUNCTION("GOOGLETRANSLATE(B3625, ""es"", ""en"")"),"CHULA SUPER !!! Completely like that of older but small. With the same functions, the two-speed spinning blade (plastic, of course) and side buttons that dismantled in two parts (it is known that part of the controls can not scrub ... ha ha, ja, ....), it"&amp;" includes glass for mixtures. I said very complete and quite the same as that of adults.")</f>
        <v>CHULA SUPER !!! Completely like that of older but small. With the same functions, the two-speed spinning blade (plastic, of course) and side buttons that dismantled in two parts (it is known that part of the controls can not scrub ... ha ha, ja, ....), it includes glass for mixtures. I said very complete and quite the same as that of adults.</v>
      </c>
    </row>
    <row r="3626">
      <c r="A3626" s="1">
        <v>5.0</v>
      </c>
      <c r="B3626" s="1" t="s">
        <v>3607</v>
      </c>
      <c r="C3626" t="str">
        <f>IFERROR(__xludf.DUMMYFUNCTION("GOOGLETRANSLATE(B3626, ""es"", ""en"")"),"Product quality product highly recommendable, a very good buy. So expensive for my taste but the market is what it is.")</f>
        <v>Product quality product highly recommendable, a very good buy. So expensive for my taste but the market is what it is.</v>
      </c>
    </row>
    <row r="3627">
      <c r="A3627" s="1">
        <v>2.0</v>
      </c>
      <c r="B3627" s="1" t="s">
        <v>3608</v>
      </c>
      <c r="C3627" t="str">
        <f>IFERROR(__xludf.DUMMYFUNCTION("GOOGLETRANSLATE(B3627, ""es"", ""en"")"),"manageable Normal")</f>
        <v>manageable Normal</v>
      </c>
    </row>
    <row r="3628">
      <c r="A3628" s="1">
        <v>3.0</v>
      </c>
      <c r="B3628" s="1" t="s">
        <v>3609</v>
      </c>
      <c r="C3628" t="str">
        <f>IFERROR(__xludf.DUMMYFUNCTION("GOOGLETRANSLATE(B3628, ""es"", ""en"")"),"Correct Good shirt to always sport that is not running. At the causes sweat stains until it takes even tone. In general and the price I bought it fulfills its function.")</f>
        <v>Correct Good shirt to always sport that is not running. At the causes sweat stains until it takes even tone. In general and the price I bought it fulfills its function.</v>
      </c>
    </row>
    <row r="3629">
      <c r="A3629" s="1">
        <v>3.0</v>
      </c>
      <c r="B3629" s="1" t="s">
        <v>3610</v>
      </c>
      <c r="C3629" t="str">
        <f>IFERROR(__xludf.DUMMYFUNCTION("GOOGLETRANSLATE(B3629, ""es"", ""en"")"),"good price but contains much alcohol is very well priced even more noticeable alcohol")</f>
        <v>good price but contains much alcohol is very well priced even more noticeable alcohol</v>
      </c>
    </row>
    <row r="3630">
      <c r="A3630" s="1">
        <v>1.0</v>
      </c>
      <c r="B3630" s="1" t="s">
        <v>3611</v>
      </c>
      <c r="C3630" t="str">
        <f>IFERROR(__xludf.DUMMYFUNCTION("GOOGLETRANSLATE(B3630, ""es"", ""en"")"),"pesimo gum bottom squeeze well but what is the cup has nothing clamping. fabric are very thin and uncomfortable")</f>
        <v>pesimo gum bottom squeeze well but what is the cup has nothing clamping. fabric are very thin and uncomfortable</v>
      </c>
    </row>
    <row r="3631">
      <c r="A3631" s="1">
        <v>1.0</v>
      </c>
      <c r="B3631" s="1" t="s">
        <v>3612</v>
      </c>
      <c r="C3631" t="str">
        <f>IFERROR(__xludf.DUMMYFUNCTION("GOOGLETRANSLATE(B3631, ""es"", ""en"")"),"Terrible fatal stopped working month will not buy anymore. Q I hope you help serve greetings")</f>
        <v>Terrible fatal stopped working month will not buy anymore. Q I hope you help serve greetings</v>
      </c>
    </row>
    <row r="3632">
      <c r="A3632" s="1">
        <v>4.0</v>
      </c>
      <c r="B3632" s="1" t="s">
        <v>3613</v>
      </c>
      <c r="C3632" t="str">
        <f>IFERROR(__xludf.DUMMYFUNCTION("GOOGLETRANSLATE(B3632, ""es"", ""en"")"),"Good value for money .. All good ... just wet floor not worth!")</f>
        <v>Good value for money .. All good ... just wet floor not worth!</v>
      </c>
    </row>
    <row r="3633">
      <c r="A3633" s="1">
        <v>4.0</v>
      </c>
      <c r="B3633" s="1" t="s">
        <v>3614</v>
      </c>
      <c r="C3633" t="str">
        <f>IFERROR(__xludf.DUMMYFUNCTION("GOOGLETRANSLATE(B3633, ""es"", ""en"")"),"It increases the capacity of the iPad or iPhone Convenient to download photos from iPhone or iPad on trips and archive documents when you do not want or can not do in the cloud. Gift seems a wise move, it looks as shown in the photo is nice, tiny and prac"&amp;"tical")</f>
        <v>It increases the capacity of the iPad or iPhone Convenient to download photos from iPhone or iPad on trips and archive documents when you do not want or can not do in the cloud. Gift seems a wise move, it looks as shown in the photo is nice, tiny and practical</v>
      </c>
    </row>
    <row r="3634">
      <c r="A3634" s="1">
        <v>4.0</v>
      </c>
      <c r="B3634" s="1" t="s">
        <v>3615</v>
      </c>
      <c r="C3634" t="str">
        <f>IFERROR(__xludf.DUMMYFUNCTION("GOOGLETRANSLATE(B3634, ""es"", ""en"")"),"Earrings Very nice and despite its price look great")</f>
        <v>Earrings Very nice and despite its price look great</v>
      </c>
    </row>
    <row r="3635">
      <c r="A3635" s="1">
        <v>4.0</v>
      </c>
      <c r="B3635" s="1" t="s">
        <v>3616</v>
      </c>
      <c r="C3635" t="str">
        <f>IFERROR(__xludf.DUMMYFUNCTION("GOOGLETRANSLATE(B3635, ""es"", ""en"")"),"Estrecha's fine. The size corresponds but elastic bottom is exaggeratedly narrow compared to the rest. I had no problem because it was for someone quite thin")</f>
        <v>Estrecha's fine. The size corresponds but elastic bottom is exaggeratedly narrow compared to the rest. I had no problem because it was for someone quite thin</v>
      </c>
    </row>
    <row r="3636">
      <c r="A3636" s="1">
        <v>4.0</v>
      </c>
      <c r="B3636" s="1" t="s">
        <v>3617</v>
      </c>
      <c r="C3636" t="str">
        <f>IFERROR(__xludf.DUMMYFUNCTION("GOOGLETRANSLATE(B3636, ""es"", ""en"")"),"Beautiful and functional but something big. They are calentitas, comfortable and nice but are big in my size. It should be a number less.")</f>
        <v>Beautiful and functional but something big. They are calentitas, comfortable and nice but are big in my size. It should be a number less.</v>
      </c>
    </row>
    <row r="3637">
      <c r="A3637" s="1">
        <v>5.0</v>
      </c>
      <c r="B3637" s="1" t="s">
        <v>3618</v>
      </c>
      <c r="C3637" t="str">
        <f>IFERROR(__xludf.DUMMYFUNCTION("GOOGLETRANSLATE(B3637, ""es"", ""en"")"),"* Very good")</f>
        <v>* Very good</v>
      </c>
    </row>
    <row r="3638">
      <c r="A3638" s="1">
        <v>5.0</v>
      </c>
      <c r="B3638" s="1" t="s">
        <v>3619</v>
      </c>
      <c r="C3638" t="str">
        <f>IFERROR(__xludf.DUMMYFUNCTION("GOOGLETRANSLATE(B3638, ""es"", ""en"")"),"NUERNS QUALITY / PRICE Nice item value and worth. I recommend it so much I made another request.")</f>
        <v>NUERNS QUALITY / PRICE Nice item value and worth. I recommend it so much I made another request.</v>
      </c>
    </row>
    <row r="3639">
      <c r="A3639" s="1">
        <v>5.0</v>
      </c>
      <c r="B3639" s="1" t="s">
        <v>3620</v>
      </c>
      <c r="C3639" t="str">
        <f>IFERROR(__xludf.DUMMYFUNCTION("GOOGLETRANSLATE(B3639, ""es"", ""en"")"),"GOOD PRODUCT The package arrived well, the product is good and very economical, The covers are of good quality and stick perfectly. We will definitely buy this product.")</f>
        <v>GOOD PRODUCT The package arrived well, the product is good and very economical, The covers are of good quality and stick perfectly. We will definitely buy this product.</v>
      </c>
    </row>
    <row r="3640">
      <c r="A3640" s="1">
        <v>5.0</v>
      </c>
      <c r="B3640" s="1" t="s">
        <v>3621</v>
      </c>
      <c r="C3640" t="str">
        <f>IFERROR(__xludf.DUMMYFUNCTION("GOOGLETRANSLATE(B3640, ""es"", ""en"")"),"Good buy. The pad is very comfortable and the feel is very soft. It works perfectly and can be adjusted by clasps")</f>
        <v>Good buy. The pad is very comfortable and the feel is very soft. It works perfectly and can be adjusted by clasps</v>
      </c>
    </row>
    <row r="3641">
      <c r="A3641" s="1">
        <v>5.0</v>
      </c>
      <c r="B3641" s="1" t="s">
        <v>3622</v>
      </c>
      <c r="C3641" t="str">
        <f>IFERROR(__xludf.DUMMYFUNCTION("GOOGLETRANSLATE(B3641, ""es"", ""en"")"),"They are for gift and is sure to love. It is very comfortable for my daughter a lot like his style. Thanks greetings.")</f>
        <v>They are for gift and is sure to love. It is very comfortable for my daughter a lot like his style. Thanks greetings.</v>
      </c>
    </row>
    <row r="3642">
      <c r="A3642" s="1">
        <v>5.0</v>
      </c>
      <c r="B3642" s="1" t="s">
        <v>3623</v>
      </c>
      <c r="C3642" t="str">
        <f>IFERROR(__xludf.DUMMYFUNCTION("GOOGLETRANSLATE(B3642, ""es"", ""en"")"),"Clarks never fails Since I met this brand have repeated twice. Shoes comfortable, durable and reasonably priced. Very happy the truth.")</f>
        <v>Clarks never fails Since I met this brand have repeated twice. Shoes comfortable, durable and reasonably priced. Very happy the truth.</v>
      </c>
    </row>
    <row r="3643">
      <c r="A3643" s="1">
        <v>5.0</v>
      </c>
      <c r="B3643" s="1" t="s">
        <v>3624</v>
      </c>
      <c r="C3643" t="str">
        <f>IFERROR(__xludf.DUMMYFUNCTION("GOOGLETRANSLATE(B3643, ""es"", ""en"")"),"I love I've been very pleased with this purchase. Hard water tank lot. The only thing that I consider good for a bedroom because it is no noisier than others I have another model. I have it in the hall, and is perfect for this site.")</f>
        <v>I love I've been very pleased with this purchase. Hard water tank lot. The only thing that I consider good for a bedroom because it is no noisier than others I have another model. I have it in the hall, and is perfect for this site.</v>
      </c>
    </row>
    <row r="3644">
      <c r="A3644" s="1">
        <v>5.0</v>
      </c>
      <c r="B3644" s="1" t="s">
        <v>3625</v>
      </c>
      <c r="C3644" t="str">
        <f>IFERROR(__xludf.DUMMYFUNCTION("GOOGLETRANSLATE(B3644, ""es"", ""en"")"),"They were very good for a gift, liked a lot. They are very calentitas and striking, size as expected.")</f>
        <v>They were very good for a gift, liked a lot. They are very calentitas and striking, size as expected.</v>
      </c>
    </row>
    <row r="3645">
      <c r="A3645" s="1">
        <v>5.0</v>
      </c>
      <c r="B3645" s="1" t="s">
        <v>3626</v>
      </c>
      <c r="C3645" t="str">
        <f>IFERROR(__xludf.DUMMYFUNCTION("GOOGLETRANSLATE(B3645, ""es"", ""en"")"),"Buyer My 5 year old daughter is in love. Meets expectations. Very comfortable and lightweight. Also connected in various ways with any mobile or computer. You can sing in playback and children have a great time.")</f>
        <v>Buyer My 5 year old daughter is in love. Meets expectations. Very comfortable and lightweight. Also connected in various ways with any mobile or computer. You can sing in playback and children have a great time.</v>
      </c>
    </row>
    <row r="3646">
      <c r="A3646" s="1">
        <v>5.0</v>
      </c>
      <c r="B3646" s="1" t="s">
        <v>3627</v>
      </c>
      <c r="C3646" t="str">
        <f>IFERROR(__xludf.DUMMYFUNCTION("GOOGLETRANSLATE(B3646, ""es"", ""en"")"),"Super small size'm very happy with the purchase. It is a very small USB, so you can take it anywhere. Having the 2 USB (3.1 C) makes it very comfortable to use on any computer / device.")</f>
        <v>Super small size'm very happy with the purchase. It is a very small USB, so you can take it anywhere. Having the 2 USB (3.1 C) makes it very comfortable to use on any computer / device.</v>
      </c>
    </row>
    <row r="3647">
      <c r="A3647" s="1">
        <v>5.0</v>
      </c>
      <c r="B3647" s="1" t="s">
        <v>3628</v>
      </c>
      <c r="C3647" t="str">
        <f>IFERROR(__xludf.DUMMYFUNCTION("GOOGLETRANSLATE(B3647, ""es"", ""en"")"),"I like are very nice and comfortable ... Carve well")</f>
        <v>I like are very nice and comfortable ... Carve well</v>
      </c>
    </row>
    <row r="3648">
      <c r="A3648" s="1">
        <v>5.0</v>
      </c>
      <c r="B3648" s="1" t="s">
        <v>3629</v>
      </c>
      <c r="C3648" t="str">
        <f>IFERROR(__xludf.DUMMYFUNCTION("GOOGLETRANSLATE(B3648, ""es"", ""en"")"),"Good buy is very good. The size is faithful. Very comfortable, waterproof, super lightweight and very hot feet. Good buy at a better price than high street stores.")</f>
        <v>Good buy is very good. The size is faithful. Very comfortable, waterproof, super lightweight and very hot feet. Good buy at a better price than high street stores.</v>
      </c>
    </row>
    <row r="3649">
      <c r="A3649" s="1">
        <v>5.0</v>
      </c>
      <c r="B3649" s="1" t="s">
        <v>3630</v>
      </c>
      <c r="C3649" t="str">
        <f>IFERROR(__xludf.DUMMYFUNCTION("GOOGLETRANSLATE(B3649, ""es"", ""en"")"),"Good product Calentitos a bit harsh")</f>
        <v>Good product Calentitos a bit harsh</v>
      </c>
    </row>
    <row r="3650">
      <c r="A3650" s="1">
        <v>5.0</v>
      </c>
      <c r="B3650" s="1" t="s">
        <v>3631</v>
      </c>
      <c r="C3650" t="str">
        <f>IFERROR(__xludf.DUMMYFUNCTION("GOOGLETRANSLATE(B3650, ""es"", ""en"")"),"Casio never disappoints Quality assured at a bargain price and timeless aesthetics. It does not matter what decade we are, these models never go out of fashion. Casio always bet good materials both in the field and in the straps, which makes getting tired"&amp;" of the clock finish before you break it. I had another siilar model this with but the smallest and say screen and are virtually indestructible. The screen is scratched, like all clocks, but you have to hit him very hard for it to end noticing.")</f>
        <v>Casio never disappoints Quality assured at a bargain price and timeless aesthetics. It does not matter what decade we are, these models never go out of fashion. Casio always bet good materials both in the field and in the straps, which makes getting tired of the clock finish before you break it. I had another siilar model this with but the smallest and say screen and are virtually indestructible. The screen is scratched, like all clocks, but you have to hit him very hard for it to end noticing.</v>
      </c>
    </row>
    <row r="3651">
      <c r="A3651" s="1">
        <v>5.0</v>
      </c>
      <c r="B3651" s="1" t="s">
        <v>3632</v>
      </c>
      <c r="C3651" t="str">
        <f>IFERROR(__xludf.DUMMYFUNCTION("GOOGLETRANSLATE(B3651, ""es"", ""en"")"),"Such fulfill its purpose and as described. Very happy with the product.")</f>
        <v>Such fulfill its purpose and as described. Very happy with the product.</v>
      </c>
    </row>
    <row r="3652">
      <c r="A3652" s="1">
        <v>5.0</v>
      </c>
      <c r="B3652" s="1" t="s">
        <v>3633</v>
      </c>
      <c r="C3652" t="str">
        <f>IFERROR(__xludf.DUMMYFUNCTION("GOOGLETRANSLATE(B3652, ""es"", ""en"")"),"Good fabric and comfortable! I needed a mat of this kind, with pillow, as happened long hours on the computer and sometimes part of the wrist and carpal tunnel caused me discomfort. I've been trying for a while and the truth that the mouse slides very wel"&amp;"l and wrist protection is super soft and comfortable. Maybe a little ""high"" foam but safe use that flattens a bit so well. I also have to say that adheres well to the table and nothing moves! At the moment very happy both for the quality of the material"&amp;" as the rest for my doll!")</f>
        <v>Good fabric and comfortable! I needed a mat of this kind, with pillow, as happened long hours on the computer and sometimes part of the wrist and carpal tunnel caused me discomfort. I've been trying for a while and the truth that the mouse slides very well and wrist protection is super soft and comfortable. Maybe a little "high" foam but safe use that flattens a bit so well. I also have to say that adheres well to the table and nothing moves! At the moment very happy both for the quality of the material as the rest for my doll!</v>
      </c>
    </row>
    <row r="3653">
      <c r="A3653" s="1">
        <v>5.0</v>
      </c>
      <c r="B3653" s="1" t="s">
        <v>3634</v>
      </c>
      <c r="C3653" t="str">
        <f>IFERROR(__xludf.DUMMYFUNCTION("GOOGLETRANSLATE(B3653, ""es"", ""en"")"),"Does the job The product fulfills its function. It's very easy operation. I had to return for other people's problems, but the article itself is highly recommended.")</f>
        <v>Does the job The product fulfills its function. It's very easy operation. I had to return for other people's problems, but the article itself is highly recommended.</v>
      </c>
    </row>
    <row r="3654">
      <c r="A3654" s="1">
        <v>5.0</v>
      </c>
      <c r="B3654" s="1" t="s">
        <v>3635</v>
      </c>
      <c r="C3654" t="str">
        <f>IFERROR(__xludf.DUMMYFUNCTION("GOOGLETRANSLATE(B3654, ""es"", ""en"")"),"Value for money excellent value for money excellent")</f>
        <v>Value for money excellent value for money excellent</v>
      </c>
    </row>
    <row r="3655">
      <c r="A3655" s="1">
        <v>2.0</v>
      </c>
      <c r="B3655" s="1" t="s">
        <v>3636</v>
      </c>
      <c r="C3655" t="str">
        <f>IFERROR(__xludf.DUMMYFUNCTION("GOOGLETRANSLATE(B3655, ""es"", ""en"")"),"They did not work I do not understand what happened has but 25 DVD's carrying the case just 2 I could use the rest I always came out recording error, and I know that the error was due to the disks because tried with others and recording out well .. I hone"&amp;"stly do not understand why Verbatim is good brand.")</f>
        <v>They did not work I do not understand what happened has but 25 DVD's carrying the case just 2 I could use the rest I always came out recording error, and I know that the error was due to the disks because tried with others and recording out well .. I honestly do not understand why Verbatim is good brand.</v>
      </c>
    </row>
    <row r="3656">
      <c r="A3656" s="1">
        <v>3.0</v>
      </c>
      <c r="B3656" s="1" t="s">
        <v>3637</v>
      </c>
      <c r="C3656" t="str">
        <f>IFERROR(__xludf.DUMMYFUNCTION("GOOGLETRANSLATE(B3656, ""es"", ""en"")"),"Acceptable but with faults The product is generally acceptable, however in my opinion has three faults. The first is that it takes a lot of noise. If you live alone without problem but but ... The second is that the buttons are so discreet they can not fi"&amp;"nd them by touch. Although they have light, to find the button often have to stop and get a look. Finally and most importantly at its lowest intensity it is quite strong. For women sensitive clitoris becomes painful. However if you have many sensitivity i"&amp;"t is perfect.")</f>
        <v>Acceptable but with faults The product is generally acceptable, however in my opinion has three faults. The first is that it takes a lot of noise. If you live alone without problem but but ... The second is that the buttons are so discreet they can not find them by touch. Although they have light, to find the button often have to stop and get a look. Finally and most importantly at its lowest intensity it is quite strong. For women sensitive clitoris becomes painful. However if you have many sensitivity it is perfect.</v>
      </c>
    </row>
    <row r="3657">
      <c r="A3657" s="1">
        <v>3.0</v>
      </c>
      <c r="B3657" s="1" t="s">
        <v>3638</v>
      </c>
      <c r="C3657" t="str">
        <f>IFERROR(__xludf.DUMMYFUNCTION("GOOGLETRANSLATE(B3657, ""es"", ""en"")"),"The right product gem though I came from a different color to which it is advertised. It came to me magenta, its performance is good, and includes clips on shipping.")</f>
        <v>The right product gem though I came from a different color to which it is advertised. It came to me magenta, its performance is good, and includes clips on shipping.</v>
      </c>
    </row>
    <row r="3658">
      <c r="A3658" s="1">
        <v>1.0</v>
      </c>
      <c r="B3658" s="1" t="s">
        <v>3639</v>
      </c>
      <c r="C3658" t="str">
        <f>IFERROR(__xludf.DUMMYFUNCTION("GOOGLETRANSLATE(B3658, ""es"", ""en"")"),"Failure to recharge the other day estrenarlos, one of the earphones stopped charging and not even be linked automatically try but not loaded, the sound can say okay, only I heard the first day, therefore the I returned, I bought some another brand and so "&amp;"far going very well.")</f>
        <v>Failure to recharge the other day estrenarlos, one of the earphones stopped charging and not even be linked automatically try but not loaded, the sound can say okay, only I heard the first day, therefore the I returned, I bought some another brand and so far going very well.</v>
      </c>
    </row>
    <row r="3659">
      <c r="A3659" s="1">
        <v>1.0</v>
      </c>
      <c r="B3659" s="1" t="s">
        <v>3640</v>
      </c>
      <c r="C3659" t="str">
        <f>IFERROR(__xludf.DUMMYFUNCTION("GOOGLETRANSLATE(B3659, ""es"", ""en"")"),"Timo Without your case or certificate indicating that it is original. The only similar with the real is the price. A scam, as requested reimbursement have arrived.")</f>
        <v>Timo Without your case or certificate indicating that it is original. The only similar with the real is the price. A scam, as requested reimbursement have arrived.</v>
      </c>
    </row>
    <row r="3660">
      <c r="A3660" s="1">
        <v>4.0</v>
      </c>
      <c r="B3660" s="1" t="s">
        <v>3641</v>
      </c>
      <c r="C3660" t="str">
        <f>IFERROR(__xludf.DUMMYFUNCTION("GOOGLETRANSLATE(B3660, ""es"", ""en"")"),"The drawer is fine for the markers is small and fragile")</f>
        <v>The drawer is fine for the markers is small and fragile</v>
      </c>
    </row>
    <row r="3661">
      <c r="A3661" s="1">
        <v>4.0</v>
      </c>
      <c r="B3661" s="1" t="s">
        <v>3642</v>
      </c>
      <c r="C3661" t="str">
        <f>IFERROR(__xludf.DUMMYFUNCTION("GOOGLETRANSLATE(B3661, ""es"", ""en"")"),"special and recommended Teat The baby accepted very well the nipple, which is intended to have to try to suctioning as if the mother's breast were, but it is unclear if anti-colic or not, so that aspect can be improved. At the end we finished with another"&amp;" brand to vary the teat and does not get used, but the experience was good.")</f>
        <v>special and recommended Teat The baby accepted very well the nipple, which is intended to have to try to suctioning as if the mother's breast were, but it is unclear if anti-colic or not, so that aspect can be improved. At the end we finished with another brand to vary the teat and does not get used, but the experience was good.</v>
      </c>
    </row>
    <row r="3662">
      <c r="A3662" s="1">
        <v>4.0</v>
      </c>
      <c r="B3662" s="1" t="s">
        <v>3643</v>
      </c>
      <c r="C3662" t="str">
        <f>IFERROR(__xludf.DUMMYFUNCTION("GOOGLETRANSLATE(B3662, ""es"", ""en"")"),"Dishcloths are good, use them to clean bathrooms, kitchen, etc. Occasionally a washer and like new.")</f>
        <v>Dishcloths are good, use them to clean bathrooms, kitchen, etc. Occasionally a washer and like new.</v>
      </c>
    </row>
    <row r="3663">
      <c r="A3663" s="1">
        <v>4.0</v>
      </c>
      <c r="B3663" s="1" t="s">
        <v>3644</v>
      </c>
      <c r="C3663" t="str">
        <f>IFERROR(__xludf.DUMMYFUNCTION("GOOGLETRANSLATE(B3663, ""es"", ""en"")"),"I have gudtadi Good product but is a bit difficult to place")</f>
        <v>I have gudtadi Good product but is a bit difficult to place</v>
      </c>
    </row>
    <row r="3664">
      <c r="A3664" s="1">
        <v>4.0</v>
      </c>
      <c r="B3664" s="1" t="s">
        <v>3645</v>
      </c>
      <c r="C3664" t="str">
        <f>IFERROR(__xludf.DUMMYFUNCTION("GOOGLETRANSLATE(B3664, ""es"", ""en"")"),"Bella I like the Practice of use")</f>
        <v>Bella I like the Practice of use</v>
      </c>
    </row>
    <row r="3665">
      <c r="A3665" s="1">
        <v>5.0</v>
      </c>
      <c r="B3665" s="1" t="s">
        <v>3646</v>
      </c>
      <c r="C3665" t="str">
        <f>IFERROR(__xludf.DUMMYFUNCTION("GOOGLETRANSLATE(B3665, ""es"", ""en"")"),"Jade roller This roller is perfect for massaging the muscles of the face and help smooth out age marks. Daily treatment decongests massaged areas and also cools the skin. It is very well done in material and assembly, with a very good finish and perfectly"&amp;" polished Jade. He comes stored in a hermetically sealed bag and a vacuum with stone gua sha. Very happy with this product.")</f>
        <v>Jade roller This roller is perfect for massaging the muscles of the face and help smooth out age marks. Daily treatment decongests massaged areas and also cools the skin. It is very well done in material and assembly, with a very good finish and perfectly polished Jade. He comes stored in a hermetically sealed bag and a vacuum with stone gua sha. Very happy with this product.</v>
      </c>
    </row>
    <row r="3666">
      <c r="A3666" s="1">
        <v>5.0</v>
      </c>
      <c r="B3666" s="1" t="s">
        <v>3647</v>
      </c>
      <c r="C3666" t="str">
        <f>IFERROR(__xludf.DUMMYFUNCTION("GOOGLETRANSLATE(B3666, ""es"", ""en"")"),"Smells very natural I liked the pack much. The aromas smell very natural, unlike others that seem more synthetic ... Normal Durannlo, when you turn the smell can last until the end of the day if you put it in a small room and poorly ventilated. For the pr"&amp;"ice it is very good buy.")</f>
        <v>Smells very natural I liked the pack much. The aromas smell very natural, unlike others that seem more synthetic ... Normal Durannlo, when you turn the smell can last until the end of the day if you put it in a small room and poorly ventilated. For the price it is very good buy.</v>
      </c>
    </row>
    <row r="3667">
      <c r="A3667" s="1">
        <v>5.0</v>
      </c>
      <c r="B3667" s="1" t="s">
        <v>3648</v>
      </c>
      <c r="C3667" t="str">
        <f>IFERROR(__xludf.DUMMYFUNCTION("GOOGLETRANSLATE(B3667, ""es"", ""en"")"),"Perfect nice, comfortable")</f>
        <v>Perfect nice, comfortable</v>
      </c>
    </row>
    <row r="3668">
      <c r="A3668" s="1">
        <v>5.0</v>
      </c>
      <c r="B3668" s="1" t="s">
        <v>3649</v>
      </c>
      <c r="C3668" t="str">
        <f>IFERROR(__xludf.DUMMYFUNCTION("GOOGLETRANSLATE(B3668, ""es"", ""en"")"),"Worth the price is as is in the photo, waisted trousers and sport. It serves both for sport and for putting it under skirts. The shipment was correct and arrived in perfect condition. The quality also looks good, I have not found any loose thread or anyth"&amp;"ing let me think otherwise. There have not been any problems with the vendor.")</f>
        <v>Worth the price is as is in the photo, waisted trousers and sport. It serves both for sport and for putting it under skirts. The shipment was correct and arrived in perfect condition. The quality also looks good, I have not found any loose thread or anything let me think otherwise. There have not been any problems with the vendor.</v>
      </c>
    </row>
    <row r="3669">
      <c r="A3669" s="1">
        <v>5.0</v>
      </c>
      <c r="B3669" s="1" t="s">
        <v>3650</v>
      </c>
      <c r="C3669" t="str">
        <f>IFERROR(__xludf.DUMMYFUNCTION("GOOGLETRANSLATE(B3669, ""es"", ""en"")"),"Super Fantastic USB drive with a fantastic finish aluminum. Ideal for connection to TV movies without showing the USB or forever carry it as a keychain")</f>
        <v>Super Fantastic USB drive with a fantastic finish aluminum. Ideal for connection to TV movies without showing the USB or forever carry it as a keychain</v>
      </c>
    </row>
    <row r="3670">
      <c r="A3670" s="1">
        <v>5.0</v>
      </c>
      <c r="B3670" s="1" t="s">
        <v>3651</v>
      </c>
      <c r="C3670" t="str">
        <f>IFERROR(__xludf.DUMMYFUNCTION("GOOGLETRANSLATE(B3670, ""es"", ""en"")"),"Perfect Perfect. Both delivery and product. What I have seen is what I received, which in some other cases the image does not fit the reality of the product received.")</f>
        <v>Perfect Perfect. Both delivery and product. What I have seen is what I received, which in some other cases the image does not fit the reality of the product received.</v>
      </c>
    </row>
    <row r="3671">
      <c r="A3671" s="1">
        <v>5.0</v>
      </c>
      <c r="B3671" s="1" t="s">
        <v>3652</v>
      </c>
      <c r="C3671" t="str">
        <f>IFERROR(__xludf.DUMMYFUNCTION("GOOGLETRANSLATE(B3671, ""es"", ""en"")"),"Practical for kids are fine, but you have to turn up the volume butt")</f>
        <v>Practical for kids are fine, but you have to turn up the volume butt</v>
      </c>
    </row>
    <row r="3672">
      <c r="A3672" s="1">
        <v>5.0</v>
      </c>
      <c r="B3672" s="1" t="s">
        <v>3653</v>
      </c>
      <c r="C3672" t="str">
        <f>IFERROR(__xludf.DUMMYFUNCTION("GOOGLETRANSLATE(B3672, ""es"", ""en"")"),"Fantastic. And comfortable at the same chulas From that I tried ... I do not want other footwear. Super comfortable super !!!")</f>
        <v>Fantastic. And comfortable at the same chulas From that I tried ... I do not want other footwear. Super comfortable super !!!</v>
      </c>
    </row>
    <row r="3673">
      <c r="A3673" s="1">
        <v>5.0</v>
      </c>
      <c r="B3673" s="1" t="s">
        <v>3654</v>
      </c>
      <c r="C3673" t="str">
        <f>IFERROR(__xludf.DUMMYFUNCTION("GOOGLETRANSLATE(B3673, ""es"", ""en"")"),"Perfect is everything I expected it is a wonder this gizmo works me perfectly all right very happy")</f>
        <v>Perfect is everything I expected it is a wonder this gizmo works me perfectly all right very happy</v>
      </c>
    </row>
    <row r="3674">
      <c r="A3674" s="1">
        <v>5.0</v>
      </c>
      <c r="B3674" s="1" t="s">
        <v>3655</v>
      </c>
      <c r="C3674" t="str">
        <f>IFERROR(__xludf.DUMMYFUNCTION("GOOGLETRANSLATE(B3674, ""es"", ""en"")"),"Recommendable! Although a kettle of considerable size, it is very light and very well finished with quality materials. It is really pretty and looks good in the kitchen. As for its function, performs well and is very useful thermometer as there are teas t"&amp;"hat do not need the kettle boiling water ... with this you can control the temperature of the water.")</f>
        <v>Recommendable! Although a kettle of considerable size, it is very light and very well finished with quality materials. It is really pretty and looks good in the kitchen. As for its function, performs well and is very useful thermometer as there are teas that do not need the kettle boiling water ... with this you can control the temperature of the water.</v>
      </c>
    </row>
    <row r="3675">
      <c r="A3675" s="1">
        <v>5.0</v>
      </c>
      <c r="B3675" s="1" t="s">
        <v>3656</v>
      </c>
      <c r="C3675" t="str">
        <f>IFERROR(__xludf.DUMMYFUNCTION("GOOGLETRANSLATE(B3675, ""es"", ""en"")"),"As it is as they describe and photo.")</f>
        <v>As it is as they describe and photo.</v>
      </c>
    </row>
    <row r="3676">
      <c r="A3676" s="1">
        <v>5.0</v>
      </c>
      <c r="B3676" s="1" t="s">
        <v>3657</v>
      </c>
      <c r="C3676" t="str">
        <f>IFERROR(__xludf.DUMMYFUNCTION("GOOGLETRANSLATE(B3676, ""es"", ""en"")"),"Cool sweat pants Best I've had to be very special floor with his pants and they've loved Son Comodisimos and price are bararisimos. The use until pajama how comfortable they are Comprare again this product in another color if you could")</f>
        <v>Cool sweat pants Best I've had to be very special floor with his pants and they've loved Son Comodisimos and price are bararisimos. The use until pajama how comfortable they are Comprare again this product in another color if you could</v>
      </c>
    </row>
    <row r="3677">
      <c r="A3677" s="1">
        <v>5.0</v>
      </c>
      <c r="B3677" s="1" t="s">
        <v>3658</v>
      </c>
      <c r="C3677" t="str">
        <f>IFERROR(__xludf.DUMMYFUNCTION("GOOGLETRANSLATE(B3677, ""es"", ""en"")"),"Good Very good sound simple and comfortable, they are comfortable to wear with their ears are great and sound great. Cables are not snared. They have an advantage of high price and are very durable. Control from the remote control on the cord is very usef"&amp;"ul, you can answer the call or hang up the phone without touching it, and use this command to move from one song to another. They are almost abandoned by the price and quality they have. Very good buy")</f>
        <v>Good Very good sound simple and comfortable, they are comfortable to wear with their ears are great and sound great. Cables are not snared. They have an advantage of high price and are very durable. Control from the remote control on the cord is very useful, you can answer the call or hang up the phone without touching it, and use this command to move from one song to another. They are almost abandoned by the price and quality they have. Very good buy</v>
      </c>
    </row>
    <row r="3678">
      <c r="A3678" s="1">
        <v>5.0</v>
      </c>
      <c r="B3678" s="1" t="s">
        <v>3659</v>
      </c>
      <c r="C3678" t="str">
        <f>IFERROR(__xludf.DUMMYFUNCTION("GOOGLETRANSLATE(B3678, ""es"", ""en"")"),"Quick Amreico")</f>
        <v>Quick Amreico</v>
      </c>
    </row>
    <row r="3679">
      <c r="A3679" s="1">
        <v>5.0</v>
      </c>
      <c r="B3679" s="1" t="s">
        <v>3660</v>
      </c>
      <c r="C3679" t="str">
        <f>IFERROR(__xludf.DUMMYFUNCTION("GOOGLETRANSLATE(B3679, ""es"", ""en"")"),"5 stars Pros: - sound clear, without interference, - flawless connectivity (I've tested on iOS, Android, Windows and Linux) - noise canceling somewhat higher than the previous model - comfortable even if worn for many hours - ergonomic design, a little he"&amp;"avier than the previous model - buttons fairly intuitive - quick loading and good autonomy (reached last 8-9 hours with the battery charged to 100%) - audio cable very good quality with robust plug - flexible speakers They are rotated easily and hinges gi"&amp;"ve the impression of being durable and well made. - they have their small briefcase to carry wherever Cons - a lot of plastic (although good quality) and some metal - very short charging cable")</f>
        <v>5 stars Pros: - sound clear, without interference, - flawless connectivity (I've tested on iOS, Android, Windows and Linux) - noise canceling somewhat higher than the previous model - comfortable even if worn for many hours - ergonomic design, a little heavier than the previous model - buttons fairly intuitive - quick loading and good autonomy (reached last 8-9 hours with the battery charged to 100%) - audio cable very good quality with robust plug - flexible speakers They are rotated easily and hinges give the impression of being durable and well made. - they have their small briefcase to carry wherever Cons - a lot of plastic (although good quality) and some metal - very short charging cable</v>
      </c>
    </row>
    <row r="3680">
      <c r="A3680" s="1">
        <v>5.0</v>
      </c>
      <c r="B3680" s="1" t="s">
        <v>3661</v>
      </c>
      <c r="C3680" t="str">
        <f>IFERROR(__xludf.DUMMYFUNCTION("GOOGLETRANSLATE(B3680, ""es"", ""en"")"),"Good product right time delivery. Good product. Good quality. I recommend it")</f>
        <v>Good product right time delivery. Good product. Good quality. I recommend it</v>
      </c>
    </row>
    <row r="3681">
      <c r="A3681" s="1">
        <v>5.0</v>
      </c>
      <c r="B3681" s="1" t="s">
        <v>3662</v>
      </c>
      <c r="C3681" t="str">
        <f>IFERROR(__xludf.DUMMYFUNCTION("GOOGLETRANSLATE(B3681, ""es"", ""en"")"),"It harbors good enough")</f>
        <v>It harbors good enough</v>
      </c>
    </row>
    <row r="3682">
      <c r="A3682" s="1">
        <v>5.0</v>
      </c>
      <c r="B3682" s="1" t="s">
        <v>3663</v>
      </c>
      <c r="C3682" t="str">
        <f>IFERROR(__xludf.DUMMYFUNCTION("GOOGLETRANSLATE(B3682, ""es"", ""en"")"),"Converse All right, shipping ahead of schedule, I'm happy")</f>
        <v>Converse All right, shipping ahead of schedule, I'm happy</v>
      </c>
    </row>
    <row r="3683">
      <c r="A3683" s="1">
        <v>5.0</v>
      </c>
      <c r="B3683" s="1" t="s">
        <v>3664</v>
      </c>
      <c r="C3683" t="str">
        <f>IFERROR(__xludf.DUMMYFUNCTION("GOOGLETRANSLATE(B3683, ""es"", ""en"")"),"Very good price for the size of the blanket and good brand I loved this brand and its electric blanket, large size. Excellent value for money. Very soft and versatility.")</f>
        <v>Very good price for the size of the blanket and good brand I loved this brand and its electric blanket, large size. Excellent value for money. Very soft and versatility.</v>
      </c>
    </row>
    <row r="3684">
      <c r="A3684" s="1">
        <v>2.0</v>
      </c>
      <c r="B3684" s="1" t="s">
        <v>3665</v>
      </c>
      <c r="C3684" t="str">
        <f>IFERROR(__xludf.DUMMYFUNCTION("GOOGLETRANSLATE(B3684, ""es"", ""en"")"),"I overtightening not tried it. I had to return because too tight contour back. Seemed good quality. Maybe for skinny girls is fine.")</f>
        <v>I overtightening not tried it. I had to return because too tight contour back. Seemed good quality. Maybe for skinny girls is fine.</v>
      </c>
    </row>
    <row r="3685">
      <c r="A3685" s="1">
        <v>3.0</v>
      </c>
      <c r="B3685" s="1" t="s">
        <v>3666</v>
      </c>
      <c r="C3685" t="str">
        <f>IFERROR(__xludf.DUMMYFUNCTION("GOOGLETRANSLATE(B3685, ""es"", ""en"")"),"This it seems tough, good stuff. good size. I q by value is fine. incluiye regulator properly locate holes. recommended.")</f>
        <v>This it seems tough, good stuff. good size. I q by value is fine. incluiye regulator properly locate holes. recommended.</v>
      </c>
    </row>
    <row r="3686">
      <c r="A3686" s="1">
        <v>1.0</v>
      </c>
      <c r="B3686" s="1" t="s">
        <v>3667</v>
      </c>
      <c r="C3686" t="str">
        <f>IFERROR(__xludf.DUMMYFUNCTION("GOOGLETRANSLATE(B3686, ""es"", ""en"")"),"Low quality and bad attention to the customer The product is of low quality. Printing letters it is not adequate and the quality of the finishing of the product is very very low for kingston. Packaging is not always of this brand, it is poor quality and i"&amp;"t shows the naked eye. the clueless are also made with the bill and ask and you have excuses ....")</f>
        <v>Low quality and bad attention to the customer The product is of low quality. Printing letters it is not adequate and the quality of the finishing of the product is very very low for kingston. Packaging is not always of this brand, it is poor quality and it shows the naked eye. the clueless are also made with the bill and ask and you have excuses ....</v>
      </c>
    </row>
    <row r="3687">
      <c r="A3687" s="1">
        <v>1.0</v>
      </c>
      <c r="B3687" s="1" t="s">
        <v>3668</v>
      </c>
      <c r="C3687" t="str">
        <f>IFERROR(__xludf.DUMMYFUNCTION("GOOGLETRANSLATE(B3687, ""es"", ""en"")"),"Inflexible, maladaptive, DECEPCION impossible to wash a cup, let alone a drink or a cup, everything is contoured impossible to clean with these pads, only apply to base pans, not molded, not adapted or adjusted, I'll see using them to shower before throwi"&amp;"ng them ...")</f>
        <v>Inflexible, maladaptive, DECEPCION impossible to wash a cup, let alone a drink or a cup, everything is contoured impossible to clean with these pads, only apply to base pans, not molded, not adapted or adjusted, I'll see using them to shower before throwing them ...</v>
      </c>
    </row>
    <row r="3688">
      <c r="A3688" s="1">
        <v>4.0</v>
      </c>
      <c r="B3688" s="1" t="s">
        <v>3669</v>
      </c>
      <c r="C3688" t="str">
        <f>IFERROR(__xludf.DUMMYFUNCTION("GOOGLETRANSLATE(B3688, ""es"", ""en"")"),"good quality bags are sturdy, easy handling perfectly fulfilling its mission. Transparency is good and the thickness of the bags suitable for their function")</f>
        <v>good quality bags are sturdy, easy handling perfectly fulfilling its mission. Transparency is good and the thickness of the bags suitable for their function</v>
      </c>
    </row>
    <row r="3689">
      <c r="A3689" s="1">
        <v>4.0</v>
      </c>
      <c r="B3689" s="1" t="s">
        <v>3670</v>
      </c>
      <c r="C3689" t="str">
        <f>IFERROR(__xludf.DUMMYFUNCTION("GOOGLETRANSLATE(B3689, ""es"", ""en"")"),"Quality / Price very good to the mess! It is a USB memory brand SANDISK 128GB total in my case (115 GB usable in FAT 32), USB 3.1 standard with plastic body without fully writing LED reading. It includes in its memory the SanDisk Secure Access software. A"&amp;"nd some more ... I leave a picture comparing the previous model with this in terms of read / write latencies. In my case the previous model is 32GB. Regards.")</f>
        <v>Quality / Price very good to the mess! It is a USB memory brand SANDISK 128GB total in my case (115 GB usable in FAT 32), USB 3.1 standard with plastic body without fully writing LED reading. It includes in its memory the SanDisk Secure Access software. And some more ... I leave a picture comparing the previous model with this in terms of read / write latencies. In my case the previous model is 32GB. Regards.</v>
      </c>
    </row>
    <row r="3690">
      <c r="A3690" s="1">
        <v>4.0</v>
      </c>
      <c r="B3690" s="1" t="s">
        <v>3671</v>
      </c>
      <c r="C3690" t="str">
        <f>IFERROR(__xludf.DUMMYFUNCTION("GOOGLETRANSLATE(B3690, ""es"", ""en"")"),"Quality good quality like the originals that came with the DishMatic. Easy to install. For now it is like the first day of use. But I try not to wash covered with because it is just wearing what.")</f>
        <v>Quality good quality like the originals that came with the DishMatic. Easy to install. For now it is like the first day of use. But I try not to wash covered with because it is just wearing what.</v>
      </c>
    </row>
    <row r="3691">
      <c r="A3691" s="1">
        <v>4.0</v>
      </c>
      <c r="B3691" s="1" t="s">
        <v>3672</v>
      </c>
      <c r="C3691" t="str">
        <f>IFERROR(__xludf.DUMMYFUNCTION("GOOGLETRANSLATE(B3691, ""es"", ""en"")"),"Q Better than I expected I have two days with them without being a great professional audio treble and bass you hear and isolate outside noise pretty well. For now great .... From the day I bought it I have not reloaded and still works perfectly. q I took"&amp;" about 3 months and I hear almost every day hour-hour and a half")</f>
        <v>Q Better than I expected I have two days with them without being a great professional audio treble and bass you hear and isolate outside noise pretty well. For now great .... From the day I bought it I have not reloaded and still works perfectly. q I took about 3 months and I hear almost every day hour-hour and a half</v>
      </c>
    </row>
    <row r="3692">
      <c r="A3692" s="1">
        <v>4.0</v>
      </c>
      <c r="B3692" s="1" t="s">
        <v>3673</v>
      </c>
      <c r="C3692" t="str">
        <f>IFERROR(__xludf.DUMMYFUNCTION("GOOGLETRANSLATE(B3692, ""es"", ""en"")"),"I carry good stapler using it a while and fulfills its function. It is robust, and carries the metal body where brown is hard plastic. Recommendable.")</f>
        <v>I carry good stapler using it a while and fulfills its function. It is robust, and carries the metal body where brown is hard plastic. Recommendable.</v>
      </c>
    </row>
    <row r="3693">
      <c r="A3693" s="1">
        <v>5.0</v>
      </c>
      <c r="B3693" s="1" t="s">
        <v>3674</v>
      </c>
      <c r="C3693" t="str">
        <f>IFERROR(__xludf.DUMMYFUNCTION("GOOGLETRANSLATE(B3693, ""es"", ""en"")"),"All good as ever! Comfort and quality at a very good price")</f>
        <v>All good as ever! Comfort and quality at a very good price</v>
      </c>
    </row>
    <row r="3694">
      <c r="A3694" s="1">
        <v>5.0</v>
      </c>
      <c r="B3694" s="1" t="s">
        <v>3675</v>
      </c>
      <c r="C3694" t="str">
        <f>IFERROR(__xludf.DUMMYFUNCTION("GOOGLETRANSLATE(B3694, ""es"", ""en"")"),"Very nice pandora bracelet")</f>
        <v>Very nice pandora bracelet</v>
      </c>
    </row>
    <row r="3695">
      <c r="A3695" s="1">
        <v>5.0</v>
      </c>
      <c r="B3695" s="1" t="s">
        <v>3676</v>
      </c>
      <c r="C3695" t="str">
        <f>IFERROR(__xludf.DUMMYFUNCTION("GOOGLETRANSLATE(B3695, ""es"", ""en"")"),"Durable oils smell great, I use aromatherapy both the home environment as clothes and they are fantastic.")</f>
        <v>Durable oils smell great, I use aromatherapy both the home environment as clothes and they are fantastic.</v>
      </c>
    </row>
    <row r="3696">
      <c r="A3696" s="1">
        <v>5.0</v>
      </c>
      <c r="B3696" s="1" t="s">
        <v>3677</v>
      </c>
      <c r="C3696" t="str">
        <f>IFERROR(__xludf.DUMMYFUNCTION("GOOGLETRANSLATE(B3696, ""es"", ""en"")"),"Stereo sound headphones I have proven effective and are a great stereo sound helmets. I have tried several days and are as they are, how they look in the pictures, easy to use, manageable, simply plug into the jack and voila, you have to raise and lower t"&amp;"he volume, it is best to listen to our favorite music. Sound hooves are heard perfectly, very comfortable adapt perfectly to the ear. Efectúes recommend that you purchase at 100%, you'll be great, and not going to want to change. I give my score: (From 1 "&amp;"to 10) Quality: 10 Price: 10 Usability 10 Packaging 10 Design: 10 Termination: 10 If you have served you my comment would appreciate you that marcases as ""useful"" to the end of this text. Thank you!")</f>
        <v>Stereo sound headphones I have proven effective and are a great stereo sound helmets. I have tried several days and are as they are, how they look in the pictures, easy to use, manageable, simply plug into the jack and voila, you have to raise and lower the volume, it is best to listen to our favorite music. Sound hooves are heard perfectly, very comfortable adapt perfectly to the ear. Efectúes recommend that you purchase at 100%, you'll be great, and not going to want to change. I give my score: (From 1 to 10) Quality: 10 Price: 10 Usability 10 Packaging 10 Design: 10 Termination: 10 If you have served you my comment would appreciate you that marcases as "useful" to the end of this text. Thank you!</v>
      </c>
    </row>
    <row r="3697">
      <c r="A3697" s="1">
        <v>5.0</v>
      </c>
      <c r="B3697" s="1" t="s">
        <v>3678</v>
      </c>
      <c r="C3697" t="str">
        <f>IFERROR(__xludf.DUMMYFUNCTION("GOOGLETRANSLATE(B3697, ""es"", ""en"")"),"Comfortable and very well made calentitas These boots have a very high quality, are completely waterproof for the sole and the design is really nice. One of the strengths is that they are very hot inside as they have an internal borreguito. very sturdy bo"&amp;"ots look, I've been using for several trips, both as mountain city, he has never entered my water inside and what is most important, have not had sore feet during use. My chosen size is the same as any shoe / sneaker purchased in a shoe store. The rubber "&amp;"sole is of very good quality, I have been walking between stones and some moisture and at no time have I slipped, so they are very stable. A perfect buy for fall / winter.")</f>
        <v>Comfortable and very well made calentitas These boots have a very high quality, are completely waterproof for the sole and the design is really nice. One of the strengths is that they are very hot inside as they have an internal borreguito. very sturdy boots look, I've been using for several trips, both as mountain city, he has never entered my water inside and what is most important, have not had sore feet during use. My chosen size is the same as any shoe / sneaker purchased in a shoe store. The rubber sole is of very good quality, I have been walking between stones and some moisture and at no time have I slipped, so they are very stable. A perfect buy for fall / winter.</v>
      </c>
    </row>
    <row r="3698">
      <c r="A3698" s="1">
        <v>5.0</v>
      </c>
      <c r="B3698" s="1" t="s">
        <v>3679</v>
      </c>
      <c r="C3698" t="str">
        <f>IFERROR(__xludf.DUMMYFUNCTION("GOOGLETRANSLATE(B3698, ""es"", ""en"")"),"large hard drive and fast I have a SSD 250GB for games and I was short, I decided to catch this much more capacity and tried games I'm playing in the ssd in this and the truth that load quite fast and not notice much difference. It is somewhat slower but "&amp;"no comparison with the ancients had.")</f>
        <v>large hard drive and fast I have a SSD 250GB for games and I was short, I decided to catch this much more capacity and tried games I'm playing in the ssd in this and the truth that load quite fast and not notice much difference. It is somewhat slower but no comparison with the ancients had.</v>
      </c>
    </row>
    <row r="3699">
      <c r="A3699" s="1">
        <v>5.0</v>
      </c>
      <c r="B3699" s="1" t="s">
        <v>3680</v>
      </c>
      <c r="C3699" t="str">
        <f>IFERROR(__xludf.DUMMYFUNCTION("GOOGLETRANSLATE(B3699, ""es"", ""en"")"),"He walked right room behind a time t of this style to ""retire"" a Nike Dart IV had and they had given me a fantastic result. They are simple, beautiful and without fanfare. They seem very sturdy and the finish is good. I hope last long!")</f>
        <v>He walked right room behind a time t of this style to "retire" a Nike Dart IV had and they had given me a fantastic result. They are simple, beautiful and without fanfare. They seem very sturdy and the finish is good. I hope last long!</v>
      </c>
    </row>
    <row r="3700">
      <c r="A3700" s="1">
        <v>5.0</v>
      </c>
      <c r="B3700" s="1" t="s">
        <v>3681</v>
      </c>
      <c r="C3700" t="str">
        <f>IFERROR(__xludf.DUMMYFUNCTION("GOOGLETRANSLATE(B3700, ""es"", ""en"")"),"Cheap, nice, and keeps time. He was tired of the appearance of my super-rugged and reliable digital casio and want something more elegant (but cheap). It is basic (no alarm, no date, of course) but I love the simplicity of its aesthetics. The strap is com"&amp;"fortable and durable. It makes no noise unless you hit your ear and hear a faint tic. I have three months with him every day since and I have not had to adjust the time. It came fast and well protected. At this price (less than € 10) unbeatable.")</f>
        <v>Cheap, nice, and keeps time. He was tired of the appearance of my super-rugged and reliable digital casio and want something more elegant (but cheap). It is basic (no alarm, no date, of course) but I love the simplicity of its aesthetics. The strap is comfortable and durable. It makes no noise unless you hit your ear and hear a faint tic. I have three months with him every day since and I have not had to adjust the time. It came fast and well protected. At this price (less than € 10) unbeatable.</v>
      </c>
    </row>
    <row r="3701">
      <c r="A3701" s="1">
        <v>5.0</v>
      </c>
      <c r="B3701" s="1" t="s">
        <v>3682</v>
      </c>
      <c r="C3701" t="str">
        <f>IFERROR(__xludf.DUMMYFUNCTION("GOOGLETRANSLATE(B3701, ""es"", ""en"")"),"The speed All good")</f>
        <v>The speed All good</v>
      </c>
    </row>
    <row r="3702">
      <c r="A3702" s="1">
        <v>5.0</v>
      </c>
      <c r="B3702" s="1" t="s">
        <v>3683</v>
      </c>
      <c r="C3702" t="str">
        <f>IFERROR(__xludf.DUMMYFUNCTION("GOOGLETRANSLATE(B3702, ""es"", ""en"")"),"Card with the correct quality A very cheap like all the cards have standard size and standard capacity declared (in my case 32Gb). Without doing a speed test and writing I can say that I've used to record video in high quality and goes perfectly, which is"&amp;" the most that can be asked (except for professional use). The reason for such a good valuation is the cheap price.")</f>
        <v>Card with the correct quality A very cheap like all the cards have standard size and standard capacity declared (in my case 32Gb). Without doing a speed test and writing I can say that I've used to record video in high quality and goes perfectly, which is the most that can be asked (except for professional use). The reason for such a good valuation is the cheap price.</v>
      </c>
    </row>
    <row r="3703">
      <c r="A3703" s="1">
        <v>5.0</v>
      </c>
      <c r="B3703" s="1" t="s">
        <v>3684</v>
      </c>
      <c r="C3703" t="str">
        <f>IFERROR(__xludf.DUMMYFUNCTION("GOOGLETRANSLATE(B3703, ""es"", ""en"")"),"Ideal for relaxing muscles ideal for tired, tense muscles.")</f>
        <v>Ideal for relaxing muscles ideal for tired, tense muscles.</v>
      </c>
    </row>
    <row r="3704">
      <c r="A3704" s="1">
        <v>5.0</v>
      </c>
      <c r="B3704" s="1" t="s">
        <v>3685</v>
      </c>
      <c r="C3704" t="str">
        <f>IFERROR(__xludf.DUMMYFUNCTION("GOOGLETRANSLATE(B3704, ""es"", ""en"")"),"I like bottle that did not cause colic my baby and I use frequently, I like glass because it does not stick both flavors")</f>
        <v>I like bottle that did not cause colic my baby and I use frequently, I like glass because it does not stick both flavors</v>
      </c>
    </row>
    <row r="3705">
      <c r="A3705" s="1">
        <v>5.0</v>
      </c>
      <c r="B3705" s="1" t="s">
        <v>3686</v>
      </c>
      <c r="C3705" t="str">
        <f>IFERROR(__xludf.DUMMYFUNCTION("GOOGLETRANSLATE(B3705, ""es"", ""en"")"),"Good product bought several times. good presentation and especially the product complies. Used mainly for blemishes / pimples and helps a lot to have better skin. I recommend purchase because the quality / price is very good")</f>
        <v>Good product bought several times. good presentation and especially the product complies. Used mainly for blemishes / pimples and helps a lot to have better skin. I recommend purchase because the quality / price is very good</v>
      </c>
    </row>
    <row r="3706">
      <c r="A3706" s="1">
        <v>5.0</v>
      </c>
      <c r="B3706" s="1" t="s">
        <v>3687</v>
      </c>
      <c r="C3706" t="str">
        <f>IFERROR(__xludf.DUMMYFUNCTION("GOOGLETRANSLATE(B3706, ""es"", ""en"")"),"Sami Encantada with the product and service received. perfect sizing, very comfortable, modern. Both they serve every day to see you as what clothes trimmed with. Thank you ;)")</f>
        <v>Sami Encantada with the product and service received. perfect sizing, very comfortable, modern. Both they serve every day to see you as what clothes trimmed with. Thank you ;)</v>
      </c>
    </row>
    <row r="3707">
      <c r="A3707" s="1">
        <v>5.0</v>
      </c>
      <c r="B3707" s="1" t="s">
        <v>3688</v>
      </c>
      <c r="C3707" t="str">
        <f>IFERROR(__xludf.DUMMYFUNCTION("GOOGLETRANSLATE(B3707, ""es"", ""en"")"),"Quality is an HDD disk I replaced this type ssd on a HP laptop. I am doing very well and the speed of the laptop is 5 times higher. When you use the disk for the first time the computer does not recognize but if you go to Control Panel, safety, defragment"&amp;"ation yen the same option appears you the option to set the new record. I have Windows 10. I hope it lasts me, but I hacertado full.")</f>
        <v>Quality is an HDD disk I replaced this type ssd on a HP laptop. I am doing very well and the speed of the laptop is 5 times higher. When you use the disk for the first time the computer does not recognize but if you go to Control Panel, safety, defragmentation yen the same option appears you the option to set the new record. I have Windows 10. I hope it lasts me, but I hacertado full.</v>
      </c>
    </row>
    <row r="3708">
      <c r="A3708" s="1">
        <v>5.0</v>
      </c>
      <c r="B3708" s="1" t="s">
        <v>3689</v>
      </c>
      <c r="C3708" t="str">
        <f>IFERROR(__xludf.DUMMYFUNCTION("GOOGLETRANSLATE(B3708, ""es"", ""en"")"),"Very comfortable Ever since I tried always I use them for everything. Although it has a defect that taught in the second picture .... but gives no problem if you stretch a lot can reach descoserse in my case I came so.")</f>
        <v>Very comfortable Ever since I tried always I use them for everything. Although it has a defect that taught in the second picture .... but gives no problem if you stretch a lot can reach descoserse in my case I came so.</v>
      </c>
    </row>
    <row r="3709">
      <c r="A3709" s="1">
        <v>5.0</v>
      </c>
      <c r="B3709" s="1" t="s">
        <v>3690</v>
      </c>
      <c r="C3709" t="str">
        <f>IFERROR(__xludf.DUMMYFUNCTION("GOOGLETRANSLATE(B3709, ""es"", ""en"")"),"Excellent performance and took more than a year since I bought it and meets its goal has good performance. fully recommended")</f>
        <v>Excellent performance and took more than a year since I bought it and meets its goal has good performance. fully recommended</v>
      </c>
    </row>
    <row r="3710">
      <c r="A3710" s="1">
        <v>5.0</v>
      </c>
      <c r="B3710" s="1" t="s">
        <v>3691</v>
      </c>
      <c r="C3710" t="str">
        <f>IFERROR(__xludf.DUMMYFUNCTION("GOOGLETRANSLATE(B3710, ""es"", ""en"")"),"Recommended that say this boot is very recognized brand that says it all")</f>
        <v>Recommended that say this boot is very recognized brand that says it all</v>
      </c>
    </row>
    <row r="3711">
      <c r="A3711" s="1">
        <v>5.0</v>
      </c>
      <c r="B3711" s="1" t="s">
        <v>3692</v>
      </c>
      <c r="C3711" t="str">
        <f>IFERROR(__xludf.DUMMYFUNCTION("GOOGLETRANSLATE(B3711, ""es"", ""en"")"),"Good product I like everything. It works very well and is easy to use and clean")</f>
        <v>Good product I like everything. It works very well and is easy to use and clean</v>
      </c>
    </row>
    <row r="3712">
      <c r="A3712" s="1">
        <v>2.0</v>
      </c>
      <c r="B3712" s="1" t="s">
        <v>3693</v>
      </c>
      <c r="C3712" t="str">
        <f>IFERROR(__xludf.DUMMYFUNCTION("GOOGLETRANSLATE(B3712, ""es"", ""en"")"),"I would not buy To begin not give too hot. And then no clamping neck, which is a little uncomfortable. It's short. I lay for neck and lower back, but I covers or one thing or the other. I do not recommend purchase.")</f>
        <v>I would not buy To begin not give too hot. And then no clamping neck, which is a little uncomfortable. It's short. I lay for neck and lower back, but I covers or one thing or the other. I do not recommend purchase.</v>
      </c>
    </row>
    <row r="3713">
      <c r="A3713" s="1">
        <v>3.0</v>
      </c>
      <c r="B3713" s="1" t="s">
        <v>3694</v>
      </c>
      <c r="C3713" t="str">
        <f>IFERROR(__xludf.DUMMYFUNCTION("GOOGLETRANSLATE(B3713, ""es"", ""en"")"),"Lavender least for now and not even all ... probe Very good Good testing generally not yet even all essences .... should have a larger format for price and performance were evenly matched ...")</f>
        <v>Lavender least for now and not even all ... probe Very good Good testing generally not yet even all essences .... should have a larger format for price and performance were evenly matched ...</v>
      </c>
    </row>
    <row r="3714">
      <c r="A3714" s="1">
        <v>3.0</v>
      </c>
      <c r="B3714" s="1" t="s">
        <v>3695</v>
      </c>
      <c r="C3714" t="str">
        <f>IFERROR(__xludf.DUMMYFUNCTION("GOOGLETRANSLATE(B3714, ""es"", ""en"")"),"It works well. The device works well. Downsides are that the ear does not fit fully in the space provided, and also, in my case, it seems that I have intolerance to the cover material pads, so that in a few minutes gives me acute pain in skin contact him."&amp;" Contacted the service to the customer, they have failed to give me solution or recommendation. The apparatus is light and fully absorbs serious noises. As a solution to get locate intolerance material, it will be perfect.")</f>
        <v>It works well. The device works well. Downsides are that the ear does not fit fully in the space provided, and also, in my case, it seems that I have intolerance to the cover material pads, so that in a few minutes gives me acute pain in skin contact him. Contacted the service to the customer, they have failed to give me solution or recommendation. The apparatus is light and fully absorbs serious noises. As a solution to get locate intolerance material, it will be perfect.</v>
      </c>
    </row>
    <row r="3715">
      <c r="A3715" s="1">
        <v>1.0</v>
      </c>
      <c r="B3715" s="1" t="s">
        <v>3696</v>
      </c>
      <c r="C3715" t="str">
        <f>IFERROR(__xludf.DUMMYFUNCTION("GOOGLETRANSLATE(B3715, ""es"", ""en"")"),"The Corona bad experience came fully folded and with some fallen stones")</f>
        <v>The Corona bad experience came fully folded and with some fallen stones</v>
      </c>
    </row>
    <row r="3716">
      <c r="A3716" s="1">
        <v>1.0</v>
      </c>
      <c r="B3716" s="1" t="s">
        <v>3697</v>
      </c>
      <c r="C3716" t="str">
        <f>IFERROR(__xludf.DUMMYFUNCTION("GOOGLETRANSLATE(B3716, ""es"", ""en"")"),"They are not good are nice but I weeklong break for the sole")</f>
        <v>They are not good are nice but I weeklong break for the sole</v>
      </c>
    </row>
    <row r="3717">
      <c r="A3717" s="1">
        <v>1.0</v>
      </c>
      <c r="B3717" s="1" t="s">
        <v>3698</v>
      </c>
      <c r="C3717" t="str">
        <f>IFERROR(__xludf.DUMMYFUNCTION("GOOGLETRANSLATE(B3717, ""es"", ""en"")"),"It does not fit as requested I bought 320 GB hard drive and actually has 32 GB. I have not served me for what I wanted. In the box it has a huge picture that says 320 GB wrong to the least I get me")</f>
        <v>It does not fit as requested I bought 320 GB hard drive and actually has 32 GB. I have not served me for what I wanted. In the box it has a huge picture that says 320 GB wrong to the least I get me</v>
      </c>
    </row>
    <row r="3718">
      <c r="A3718" s="1">
        <v>4.0</v>
      </c>
      <c r="B3718" s="1" t="s">
        <v>3699</v>
      </c>
      <c r="C3718" t="str">
        <f>IFERROR(__xludf.DUMMYFUNCTION("GOOGLETRANSLATE(B3718, ""es"", ""en"")"),"WATCH GORGEOUS BUT ME CAME WITH CONTAINER ROTO This watch is unbeatable for its value and give it a five star rating if it were not because the box it came in was broken and scratched. When you buy a new product expected to reach you in optimum condition,"&amp;" and has not been the case.")</f>
        <v>WATCH GORGEOUS BUT ME CAME WITH CONTAINER ROTO This watch is unbeatable for its value and give it a five star rating if it were not because the box it came in was broken and scratched. When you buy a new product expected to reach you in optimum condition, and has not been the case.</v>
      </c>
    </row>
    <row r="3719">
      <c r="A3719" s="1">
        <v>4.0</v>
      </c>
      <c r="B3719" s="1" t="s">
        <v>3700</v>
      </c>
      <c r="C3719" t="str">
        <f>IFERROR(__xludf.DUMMYFUNCTION("GOOGLETRANSLATE(B3719, ""es"", ""en"")"),"Very good buy good buy, only negative I would say is too heavy. Otherwise the stretcher and perfect accessories. Charmed")</f>
        <v>Very good buy good buy, only negative I would say is too heavy. Otherwise the stretcher and perfect accessories. Charmed</v>
      </c>
    </row>
    <row r="3720">
      <c r="A3720" s="1">
        <v>4.0</v>
      </c>
      <c r="B3720" s="1" t="s">
        <v>3701</v>
      </c>
      <c r="C3720" t="str">
        <f>IFERROR(__xludf.DUMMYFUNCTION("GOOGLETRANSLATE(B3720, ""es"", ""en"")"),"Ignacio Generally the product meets my expectations are however sometimes it is difficult to perceive clearly the needles on the background of dark sphere.")</f>
        <v>Ignacio Generally the product meets my expectations are however sometimes it is difficult to perceive clearly the needles on the background of dark sphere.</v>
      </c>
    </row>
    <row r="3721">
      <c r="A3721" s="1">
        <v>4.0</v>
      </c>
      <c r="B3721" s="1" t="s">
        <v>3702</v>
      </c>
      <c r="C3721" t="str">
        <f>IFERROR(__xludf.DUMMYFUNCTION("GOOGLETRANSLATE(B3721, ""es"", ""en"")"),"Well done Good quality and fast shipping, one day")</f>
        <v>Well done Good quality and fast shipping, one day</v>
      </c>
    </row>
    <row r="3722">
      <c r="A3722" s="1">
        <v>5.0</v>
      </c>
      <c r="B3722" s="1" t="s">
        <v>3703</v>
      </c>
      <c r="C3722" t="str">
        <f>IFERROR(__xludf.DUMMYFUNCTION("GOOGLETRANSLATE(B3722, ""es"", ""en"")"),"Perfect, the best Value For for 9 € which cost me a flash deal is the best there is. I have installed a Samson Meteor.")</f>
        <v>Perfect, the best Value For for 9 € which cost me a flash deal is the best there is. I have installed a Samson Meteor.</v>
      </c>
    </row>
    <row r="3723">
      <c r="A3723" s="1">
        <v>5.0</v>
      </c>
      <c r="B3723" s="1" t="s">
        <v>3704</v>
      </c>
      <c r="C3723" t="str">
        <f>IFERROR(__xludf.DUMMYFUNCTION("GOOGLETRANSLATE(B3723, ""es"", ""en"")"),"It was cheap for my granddaughter was not expecting much and the truth is q it is extraordinary")</f>
        <v>It was cheap for my granddaughter was not expecting much and the truth is q it is extraordinary</v>
      </c>
    </row>
    <row r="3724">
      <c r="A3724" s="1">
        <v>5.0</v>
      </c>
      <c r="B3724" s="1" t="s">
        <v>3705</v>
      </c>
      <c r="C3724" t="str">
        <f>IFERROR(__xludf.DUMMYFUNCTION("GOOGLETRANSLATE(B3724, ""es"", ""en"")"),"Fantastica Love")</f>
        <v>Fantastica Love</v>
      </c>
    </row>
    <row r="3725">
      <c r="A3725" s="1">
        <v>5.0</v>
      </c>
      <c r="B3725" s="1" t="s">
        <v>3706</v>
      </c>
      <c r="C3725" t="str">
        <f>IFERROR(__xludf.DUMMYFUNCTION("GOOGLETRANSLATE(B3725, ""es"", ""en"")"),"Great!!! I put 3 star to work out why it is very cool to utizarlo doing sport, otherwise it is great and fits like a glove. Perfect.")</f>
        <v>Great!!! I put 3 star to work out why it is very cool to utizarlo doing sport, otherwise it is great and fits like a glove. Perfect.</v>
      </c>
    </row>
    <row r="3726">
      <c r="A3726" s="1">
        <v>5.0</v>
      </c>
      <c r="B3726" s="1" t="s">
        <v>3707</v>
      </c>
      <c r="C3726" t="str">
        <f>IFERROR(__xludf.DUMMYFUNCTION("GOOGLETRANSLATE(B3726, ""es"", ""en"")"),"The best are perfect")</f>
        <v>The best are perfect</v>
      </c>
    </row>
    <row r="3727">
      <c r="A3727" s="1">
        <v>5.0</v>
      </c>
      <c r="B3727" s="1" t="s">
        <v>3708</v>
      </c>
      <c r="C3727" t="str">
        <f>IFERROR(__xludf.DUMMYFUNCTION("GOOGLETRANSLATE(B3727, ""es"", ""en"")"),"Perfect for athletes. a very good subject for sport. Very comfortable. very soft fabric that fits perfectly. Breathable evacuates sweat.")</f>
        <v>Perfect for athletes. a very good subject for sport. Very comfortable. very soft fabric that fits perfectly. Breathable evacuates sweat.</v>
      </c>
    </row>
    <row r="3728">
      <c r="A3728" s="1">
        <v>5.0</v>
      </c>
      <c r="B3728" s="1" t="s">
        <v>3709</v>
      </c>
      <c r="C3728" t="str">
        <f>IFERROR(__xludf.DUMMYFUNCTION("GOOGLETRANSLATE(B3728, ""es"", ""en"")"),"Super comfortable I bought them for work, because the need to make the shows and others slip super good, not even the estrenarlos made me rubbing of some sort. Haunted")</f>
        <v>Super comfortable I bought them for work, because the need to make the shows and others slip super good, not even the estrenarlos made me rubbing of some sort. Haunted</v>
      </c>
    </row>
    <row r="3729">
      <c r="A3729" s="1">
        <v>5.0</v>
      </c>
      <c r="B3729" s="1" t="s">
        <v>3710</v>
      </c>
      <c r="C3729" t="str">
        <f>IFERROR(__xludf.DUMMYFUNCTION("GOOGLETRANSLATE(B3729, ""es"", ""en"")"),"meets my expectations easy to install, capacity")</f>
        <v>meets my expectations easy to install, capacity</v>
      </c>
    </row>
    <row r="3730">
      <c r="A3730" s="1">
        <v>5.0</v>
      </c>
      <c r="B3730" s="1" t="s">
        <v>3711</v>
      </c>
      <c r="C3730" t="str">
        <f>IFERROR(__xludf.DUMMYFUNCTION("GOOGLETRANSLATE(B3730, ""es"", ""en"")"),"shirt Well")</f>
        <v>shirt Well</v>
      </c>
    </row>
    <row r="3731">
      <c r="A3731" s="1">
        <v>5.0</v>
      </c>
      <c r="B3731" s="1" t="s">
        <v>3712</v>
      </c>
      <c r="C3731" t="str">
        <f>IFERROR(__xludf.DUMMYFUNCTION("GOOGLETRANSLATE(B3731, ""es"", ""en"")"),"incredible Perfect")</f>
        <v>incredible Perfect</v>
      </c>
    </row>
    <row r="3732">
      <c r="A3732" s="1">
        <v>5.0</v>
      </c>
      <c r="B3732" s="1" t="s">
        <v>3713</v>
      </c>
      <c r="C3732" t="str">
        <f>IFERROR(__xludf.DUMMYFUNCTION("GOOGLETRANSLATE(B3732, ""es"", ""en"")"),"Best Very impressed with the packaging and what you get for your money. Build quality also looks good. The sound is much richer than my old headphones (Coloud) with deeper bass and, more importantly, are much more comfortable. The package includes a bag s"&amp;"torage cute and a protector for the jack.")</f>
        <v>Best Very impressed with the packaging and what you get for your money. Build quality also looks good. The sound is much richer than my old headphones (Coloud) with deeper bass and, more importantly, are much more comfortable. The package includes a bag storage cute and a protector for the jack.</v>
      </c>
    </row>
    <row r="3733">
      <c r="A3733" s="1">
        <v>5.0</v>
      </c>
      <c r="B3733" s="1" t="s">
        <v>3714</v>
      </c>
      <c r="C3733" t="str">
        <f>IFERROR(__xludf.DUMMYFUNCTION("GOOGLETRANSLATE(B3733, ""es"", ""en"")"),"Precious Super nice and very comfortable .... I love me")</f>
        <v>Precious Super nice and very comfortable .... I love me</v>
      </c>
    </row>
    <row r="3734">
      <c r="A3734" s="1">
        <v>5.0</v>
      </c>
      <c r="B3734" s="1" t="s">
        <v>3715</v>
      </c>
      <c r="C3734" t="str">
        <f>IFERROR(__xludf.DUMMYFUNCTION("GOOGLETRANSLATE(B3734, ""es"", ""en"")"),"Precious pendant is beautiful, my wife loved him. In addition tucked it came in a box, so it came well protected. It is silver, and one of the pieces of heart is tone pink gold.")</f>
        <v>Precious pendant is beautiful, my wife loved him. In addition tucked it came in a box, so it came well protected. It is silver, and one of the pieces of heart is tone pink gold.</v>
      </c>
    </row>
    <row r="3735">
      <c r="A3735" s="1">
        <v>5.0</v>
      </c>
      <c r="B3735" s="1" t="s">
        <v>3716</v>
      </c>
      <c r="C3735" t="str">
        <f>IFERROR(__xludf.DUMMYFUNCTION("GOOGLETRANSLATE(B3735, ""es"", ""en"")"),"Great Fantastico")</f>
        <v>Great Fantastico</v>
      </c>
    </row>
    <row r="3736">
      <c r="A3736" s="1">
        <v>5.0</v>
      </c>
      <c r="B3736" s="1" t="s">
        <v>3717</v>
      </c>
      <c r="C3736" t="str">
        <f>IFERROR(__xludf.DUMMYFUNCTION("GOOGLETRANSLATE(B3736, ""es"", ""en"")"),"I would buy without hesitation I bought one (USB version 2.0) in 2014 that lasted two years hanging from my key chain full of keys. Stopped working in the summer of 2016. Between that falls to the ground and I have very careful with this, I think it has l"&amp;"asted long enough. When I stopped working, I bought a new one (USB version 3.0) without thinking about it and I'm just as happy. I bought one as a gift but in October 2016 and my friend is very happy. It is small and cute, fit a lot of data and very well "&amp;"priced.")</f>
        <v>I would buy without hesitation I bought one (USB version 2.0) in 2014 that lasted two years hanging from my key chain full of keys. Stopped working in the summer of 2016. Between that falls to the ground and I have very careful with this, I think it has lasted long enough. When I stopped working, I bought a new one (USB version 3.0) without thinking about it and I'm just as happy. I bought one as a gift but in October 2016 and my friend is very happy. It is small and cute, fit a lot of data and very well priced.</v>
      </c>
    </row>
    <row r="3737">
      <c r="A3737" s="1">
        <v>5.0</v>
      </c>
      <c r="B3737" s="1" t="s">
        <v>3718</v>
      </c>
      <c r="C3737" t="str">
        <f>IFERROR(__xludf.DUMMYFUNCTION("GOOGLETRANSLATE(B3737, ""es"", ""en"")"),"Comfortable and modern I love these shoes because they are comfortable and with a very special design. You can put them to turn around or to go to the office. They are very breathable so I do not recommend its use in winter or autumn. Ideally, countries u"&amp;"se in summer because although they are closed, the foot will be very cool.")</f>
        <v>Comfortable and modern I love these shoes because they are comfortable and with a very special design. You can put them to turn around or to go to the office. They are very breathable so I do not recommend its use in winter or autumn. Ideally, countries use in summer because although they are closed, the foot will be very cool.</v>
      </c>
    </row>
    <row r="3738">
      <c r="A3738" s="1">
        <v>5.0</v>
      </c>
      <c r="B3738" s="1" t="s">
        <v>3719</v>
      </c>
      <c r="C3738" t="str">
        <f>IFERROR(__xludf.DUMMYFUNCTION("GOOGLETRANSLATE(B3738, ""es"", ""en"")"),"Good product Perfect for a little old cameras. This is the best option for quality / price, speed is quite acceptable.")</f>
        <v>Good product Perfect for a little old cameras. This is the best option for quality / price, speed is quite acceptable.</v>
      </c>
    </row>
    <row r="3739">
      <c r="A3739" s="1">
        <v>5.0</v>
      </c>
      <c r="B3739" s="1" t="s">
        <v>3720</v>
      </c>
      <c r="C3739" t="str">
        <f>IFERROR(__xludf.DUMMYFUNCTION("GOOGLETRANSLATE(B3739, ""es"", ""en"")"),"Small and large space for carry-key, always good and compatible with my Samsung S8 +, you'll need that if an adapter to USB-C, are worth very little on Amazon, but you cover all types of terminals of this type. Very good to go photos to USB and then to th"&amp;"e computer without middleware or faster.")</f>
        <v>Small and large space for carry-key, always good and compatible with my Samsung S8 +, you'll need that if an adapter to USB-C, are worth very little on Amazon, but you cover all types of terminals of this type. Very good to go photos to USB and then to the computer without middleware or faster.</v>
      </c>
    </row>
    <row r="3740">
      <c r="A3740" s="1">
        <v>2.0</v>
      </c>
      <c r="B3740" s="1" t="s">
        <v>3721</v>
      </c>
      <c r="C3740" t="str">
        <f>IFERROR(__xludf.DUMMYFUNCTION("GOOGLETRANSLATE(B3740, ""es"", ""en"")"),"3 I have gone into disrepair, for the price, not devolvor.")</f>
        <v>3 I have gone into disrepair, for the price, not devolvor.</v>
      </c>
    </row>
    <row r="3741">
      <c r="A3741" s="1">
        <v>3.0</v>
      </c>
      <c r="B3741" s="1" t="s">
        <v>3722</v>
      </c>
      <c r="C3741" t="str">
        <f>IFERROR(__xludf.DUMMYFUNCTION("GOOGLETRANSLATE(B3741, ""es"", ""en"")"),"Fulfilled but lasted little pads are heard well and to date take about two years without any problems. The paste having the pads are manufactured in an imitation leather. They cracked and quartered a few months (without going outdoors or to give them the "&amp;"sun), and the outer layer of the pad, which is a kind of plastic that mimics the skin began to peel into small squares that They left in the hair, shoulders or sofa. A bit cumbersome.")</f>
        <v>Fulfilled but lasted little pads are heard well and to date take about two years without any problems. The paste having the pads are manufactured in an imitation leather. They cracked and quartered a few months (without going outdoors or to give them the sun), and the outer layer of the pad, which is a kind of plastic that mimics the skin began to peel into small squares that They left in the hair, shoulders or sofa. A bit cumbersome.</v>
      </c>
    </row>
    <row r="3742">
      <c r="A3742" s="1">
        <v>3.0</v>
      </c>
      <c r="B3742" s="1" t="s">
        <v>3723</v>
      </c>
      <c r="C3742" t="str">
        <f>IFERROR(__xludf.DUMMYFUNCTION("GOOGLETRANSLATE(B3742, ""es"", ""en"")"),"Like the other. Not work on my tablet. It works fine and all, but nothing remarkable about others, including reading speed. I do not know where they get it from 80MB / s. And yes, I have not been able to rularla on my tablet BQ Aquaris M10 do not know why"&amp;", since the rest of micro SDXC I have both the 64GB and the 32GB, also Class 10 UHS 1, but other brands, work perfectly in this tablet (and I've tried to format it in different file systems, with different cluster sizes and more, but nothing, no way). Eye"&amp;" if want for that tablet. Otherwise, I'm using it on my phone and it works pretty well, like others of its kind.")</f>
        <v>Like the other. Not work on my tablet. It works fine and all, but nothing remarkable about others, including reading speed. I do not know where they get it from 80MB / s. And yes, I have not been able to rularla on my tablet BQ Aquaris M10 do not know why, since the rest of micro SDXC I have both the 64GB and the 32GB, also Class 10 UHS 1, but other brands, work perfectly in this tablet (and I've tried to format it in different file systems, with different cluster sizes and more, but nothing, no way). Eye if want for that tablet. Otherwise, I'm using it on my phone and it works pretty well, like others of its kind.</v>
      </c>
    </row>
    <row r="3743">
      <c r="A3743" s="1">
        <v>1.0</v>
      </c>
      <c r="B3743" s="1" t="s">
        <v>3724</v>
      </c>
      <c r="C3743" t="str">
        <f>IFERROR(__xludf.DUMMYFUNCTION("GOOGLETRANSLATE(B3743, ""es"", ""en"")"),"Do not treat us to return! Good morning, I really was not what I expected, it does not absorb much as it seems and almost prefer a Dyson. I also think he needs more utensils so I decided to give the opportunity to mark up buying the next model surprise th"&amp;"at has more utensils though the engine power is the same. I'm trying to return but no one comes to my house so if you want to call out to return it for a pasta and is that I have not even a message sad when they will happen. Osea super bad with Amazon.")</f>
        <v>Do not treat us to return! Good morning, I really was not what I expected, it does not absorb much as it seems and almost prefer a Dyson. I also think he needs more utensils so I decided to give the opportunity to mark up buying the next model surprise that has more utensils though the engine power is the same. I'm trying to return but no one comes to my house so if you want to call out to return it for a pasta and is that I have not even a message sad when they will happen. Osea super bad with Amazon.</v>
      </c>
    </row>
    <row r="3744">
      <c r="A3744" s="1">
        <v>4.0</v>
      </c>
      <c r="B3744" s="1" t="s">
        <v>3725</v>
      </c>
      <c r="C3744" t="str">
        <f>IFERROR(__xludf.DUMMYFUNCTION("GOOGLETRANSLATE(B3744, ""es"", ""en"")"),"Good product for the price good product for the price. It is true that a large logo has not seen in the picture, but neither bothered nor is scandalous. I would buy.")</f>
        <v>Good product for the price good product for the price. It is true that a large logo has not seen in the picture, but neither bothered nor is scandalous. I would buy.</v>
      </c>
    </row>
    <row r="3745">
      <c r="A3745" s="1">
        <v>4.0</v>
      </c>
      <c r="B3745" s="1" t="s">
        <v>3726</v>
      </c>
      <c r="C3745" t="str">
        <f>IFERROR(__xludf.DUMMYFUNCTION("GOOGLETRANSLATE(B3745, ""es"", ""en"")"),"Cheap and does the job. For the price you have plenty fulfills its function. It is a rather flimsy plastic clip but withstands weight, I used to catch micros and other items for photo shoots and no problem. But I will insist that it is very simple and has"&amp;" no excessive force at certain angles.")</f>
        <v>Cheap and does the job. For the price you have plenty fulfills its function. It is a rather flimsy plastic clip but withstands weight, I used to catch micros and other items for photo shoots and no problem. But I will insist that it is very simple and has no excessive force at certain angles.</v>
      </c>
    </row>
    <row r="3746">
      <c r="A3746" s="1">
        <v>4.0</v>
      </c>
      <c r="B3746" s="1" t="s">
        <v>3727</v>
      </c>
      <c r="C3746" t="str">
        <f>IFERROR(__xludf.DUMMYFUNCTION("GOOGLETRANSLATE(B3746, ""es"", ""en"")"),"Martin A. A basic machine but I think useful if you use it to make mayonnaise or creams, that's what I want and asking the price more")</f>
        <v>Martin A. A basic machine but I think useful if you use it to make mayonnaise or creams, that's what I want and asking the price more</v>
      </c>
    </row>
    <row r="3747">
      <c r="A3747" s="1">
        <v>4.0</v>
      </c>
      <c r="B3747" s="1" t="s">
        <v>3728</v>
      </c>
      <c r="C3747" t="str">
        <f>IFERROR(__xludf.DUMMYFUNCTION("GOOGLETRANSLATE(B3747, ""es"", ""en"")"),"Good product needed a protector to record some shots on the outside, windy and the truth is that I could not do better choice, they are perfect for shooting outdoors. I will use the microphone Rode Smartlav + and the truth is that greatly improved the sou"&amp;"nd as you record multiple shots at the windbreaks and without, comes with no bag or anything, so you have to keep them well to keep him. The truth is that money are fine, you can go to other high ranges, but the wing works perfectly.")</f>
        <v>Good product needed a protector to record some shots on the outside, windy and the truth is that I could not do better choice, they are perfect for shooting outdoors. I will use the microphone Rode Smartlav + and the truth is that greatly improved the sound as you record multiple shots at the windbreaks and without, comes with no bag or anything, so you have to keep them well to keep him. The truth is that money are fine, you can go to other high ranges, but the wing works perfectly.</v>
      </c>
    </row>
    <row r="3748">
      <c r="A3748" s="1">
        <v>4.0</v>
      </c>
      <c r="B3748" s="1" t="s">
        <v>3729</v>
      </c>
      <c r="C3748" t="str">
        <f>IFERROR(__xludf.DUMMYFUNCTION("GOOGLETRANSLATE(B3748, ""es"", ""en"")"),"Well I do not understand the double blade")</f>
        <v>Well I do not understand the double blade</v>
      </c>
    </row>
    <row r="3749">
      <c r="A3749" s="1">
        <v>5.0</v>
      </c>
      <c r="B3749" s="1" t="s">
        <v>3730</v>
      </c>
      <c r="C3749" t="str">
        <f>IFERROR(__xludf.DUMMYFUNCTION("GOOGLETRANSLATE(B3749, ""es"", ""en"")"),"They are a spectacular model Eternas I will last a lifetime with good use, I had to ask another number but now I get a great fit and very comfortable.")</f>
        <v>They are a spectacular model Eternas I will last a lifetime with good use, I had to ask another number but now I get a great fit and very comfortable.</v>
      </c>
    </row>
    <row r="3750">
      <c r="A3750" s="1">
        <v>5.0</v>
      </c>
      <c r="B3750" s="1" t="s">
        <v>3731</v>
      </c>
      <c r="C3750" t="str">
        <f>IFERROR(__xludf.DUMMYFUNCTION("GOOGLETRANSLATE(B3750, ""es"", ""en"")"),"Kristian. C. fulfills its function. Simple and easy to use. For occasional home use, karaoke parties meetings, etc., perfect. Good distance without interference by 50m is assumed that endures and does much interference.")</f>
        <v>Kristian. C. fulfills its function. Simple and easy to use. For occasional home use, karaoke parties meetings, etc., perfect. Good distance without interference by 50m is assumed that endures and does much interference.</v>
      </c>
    </row>
    <row r="3751">
      <c r="A3751" s="1">
        <v>5.0</v>
      </c>
      <c r="B3751" s="1" t="s">
        <v>3732</v>
      </c>
      <c r="C3751" t="str">
        <f>IFERROR(__xludf.DUMMYFUNCTION("GOOGLETRANSLATE(B3751, ""es"", ""en"")"),"Light and very good sound. I was surprised, did not expect this sound quality for this price, they sound really good and some serious very balanced. Active noise cancellation plenty noticeable and they are super lightweight and comfortable cushions taking"&amp;" them quite a while.")</f>
        <v>Light and very good sound. I was surprised, did not expect this sound quality for this price, they sound really good and some serious very balanced. Active noise cancellation plenty noticeable and they are super lightweight and comfortable cushions taking them quite a while.</v>
      </c>
    </row>
    <row r="3752">
      <c r="A3752" s="1">
        <v>5.0</v>
      </c>
      <c r="B3752" s="1" t="s">
        <v>3733</v>
      </c>
      <c r="C3752" t="str">
        <f>IFERROR(__xludf.DUMMYFUNCTION("GOOGLETRANSLATE(B3752, ""es"", ""en"")"),"anti-colic system achieved very good anti-colic system")</f>
        <v>anti-colic system achieved very good anti-colic system</v>
      </c>
    </row>
    <row r="3753">
      <c r="A3753" s="1">
        <v>5.0</v>
      </c>
      <c r="B3753" s="1" t="s">
        <v>3734</v>
      </c>
      <c r="C3753" t="str">
        <f>IFERROR(__xludf.DUMMYFUNCTION("GOOGLETRANSLATE(B3753, ""es"", ""en"")"),"Good product very good buy, perfect for keeping your feet warm in the winter and very comfortable. Perfectly meets the expectations. I recommend it")</f>
        <v>Good product very good buy, perfect for keeping your feet warm in the winter and very comfortable. Perfectly meets the expectations. I recommend it</v>
      </c>
    </row>
    <row r="3754">
      <c r="A3754" s="1">
        <v>5.0</v>
      </c>
      <c r="B3754" s="1" t="s">
        <v>3735</v>
      </c>
      <c r="C3754" t="str">
        <f>IFERROR(__xludf.DUMMYFUNCTION("GOOGLETRANSLATE(B3754, ""es"", ""en"")"),"Very pretty. Good price-quality good price and good watch. It was a gift for my husband to the q loves watches. The Casio brand is for me the best value for money. Very happy with the purchase.")</f>
        <v>Very pretty. Good price-quality good price and good watch. It was a gift for my husband to the q loves watches. The Casio brand is for me the best value for money. Very happy with the purchase.</v>
      </c>
    </row>
    <row r="3755">
      <c r="A3755" s="1">
        <v>5.0</v>
      </c>
      <c r="B3755" s="1" t="s">
        <v>3736</v>
      </c>
      <c r="C3755" t="str">
        <f>IFERROR(__xludf.DUMMYFUNCTION("GOOGLETRANSLATE(B3755, ""es"", ""en"")"),"Perfect for Me connection has been perfect for use for q buy it, perhaps a little long, but always good some extra meter")</f>
        <v>Perfect for Me connection has been perfect for use for q buy it, perhaps a little long, but always good some extra meter</v>
      </c>
    </row>
    <row r="3756">
      <c r="A3756" s="1">
        <v>5.0</v>
      </c>
      <c r="B3756" s="1" t="s">
        <v>3737</v>
      </c>
      <c r="C3756" t="str">
        <f>IFERROR(__xludf.DUMMYFUNCTION("GOOGLETRANSLATE(B3756, ""es"", ""en"")"),"Good all good")</f>
        <v>Good all good</v>
      </c>
    </row>
    <row r="3757">
      <c r="A3757" s="1">
        <v>5.0</v>
      </c>
      <c r="B3757" s="1" t="s">
        <v>3738</v>
      </c>
      <c r="C3757" t="str">
        <f>IFERROR(__xludf.DUMMYFUNCTION("GOOGLETRANSLATE(B3757, ""es"", ""en"")"),"Buy 10 are more beautiful and comfortable option of a knockdown price. They arrived quickly and well packaged. Perfect purchase. Highly recommended. Rejects imitations, you burn your feet.")</f>
        <v>Buy 10 are more beautiful and comfortable option of a knockdown price. They arrived quickly and well packaged. Perfect purchase. Highly recommended. Rejects imitations, you burn your feet.</v>
      </c>
    </row>
    <row r="3758">
      <c r="A3758" s="1">
        <v>5.0</v>
      </c>
      <c r="B3758" s="1" t="s">
        <v>3739</v>
      </c>
      <c r="C3758" t="str">
        <f>IFERROR(__xludf.DUMMYFUNCTION("GOOGLETRANSLATE(B3758, ""es"", ""en"")"),"It was completed a three-piece for a gift. The product is as shown in the photo. Very good price for a three-piece")</f>
        <v>It was completed a three-piece for a gift. The product is as shown in the photo. Very good price for a three-piece</v>
      </c>
    </row>
    <row r="3759">
      <c r="A3759" s="1">
        <v>5.0</v>
      </c>
      <c r="B3759" s="1" t="s">
        <v>3740</v>
      </c>
      <c r="C3759" t="str">
        <f>IFERROR(__xludf.DUMMYFUNCTION("GOOGLETRANSLATE(B3759, ""es"", ""en"")"),"Adaptable to the size ear Cool, come in a faux leather pouch for storage. The cable has a plastic cover to prevent tangling and seems to make them more resistant or less is the feeling it gives. They also bring different sizes for the handset which is app"&amp;"reciated if you dwarf ears like me and the microphone picks up pretty clean sound calls, this morning I spoke with my niece and had no noise as you had before. Hear very well for the price they have, I listen to a lot of classical music in the street and "&amp;"I can not fault the quality of the sound while it is true that the cable is heard walking but that happens to everyone.")</f>
        <v>Adaptable to the size ear Cool, come in a faux leather pouch for storage. The cable has a plastic cover to prevent tangling and seems to make them more resistant or less is the feeling it gives. They also bring different sizes for the handset which is appreciated if you dwarf ears like me and the microphone picks up pretty clean sound calls, this morning I spoke with my niece and had no noise as you had before. Hear very well for the price they have, I listen to a lot of classical music in the street and I can not fault the quality of the sound while it is true that the cable is heard walking but that happens to everyone.</v>
      </c>
    </row>
    <row r="3760">
      <c r="A3760" s="1">
        <v>5.0</v>
      </c>
      <c r="B3760" s="1" t="s">
        <v>3741</v>
      </c>
      <c r="C3760" t="str">
        <f>IFERROR(__xludf.DUMMYFUNCTION("GOOGLETRANSLATE(B3760, ""es"", ""en"")"),"easy solution to our wrinkles I liked about the product that only a few drops are needed for implementation. With the dispenser drip it is very easy to apply. The result is not immediate but day after day it is working.")</f>
        <v>easy solution to our wrinkles I liked about the product that only a few drops are needed for implementation. With the dispenser drip it is very easy to apply. The result is not immediate but day after day it is working.</v>
      </c>
    </row>
    <row r="3761">
      <c r="A3761" s="1">
        <v>5.0</v>
      </c>
      <c r="B3761" s="1" t="s">
        <v>3742</v>
      </c>
      <c r="C3761" t="str">
        <f>IFERROR(__xludf.DUMMYFUNCTION("GOOGLETRANSLATE(B3761, ""es"", ""en"")"),"Offer price Good quality, perfect fit, my noviabquedo delighted with his gift and the price cheaper than elsewhere!")</f>
        <v>Offer price Good quality, perfect fit, my noviabquedo delighted with his gift and the price cheaper than elsewhere!</v>
      </c>
    </row>
    <row r="3762">
      <c r="A3762" s="1">
        <v>5.0</v>
      </c>
      <c r="B3762" s="1" t="s">
        <v>3743</v>
      </c>
      <c r="C3762" t="str">
        <f>IFERROR(__xludf.DUMMYFUNCTION("GOOGLETRANSLATE(B3762, ""es"", ""en"")"),"Tot perfecte. Tot perfecte. gràcies")</f>
        <v>Tot perfecte. Tot perfecte. gràcies</v>
      </c>
    </row>
    <row r="3763">
      <c r="A3763" s="1">
        <v>5.0</v>
      </c>
      <c r="B3763" s="1" t="s">
        <v>3744</v>
      </c>
      <c r="C3763" t="str">
        <f>IFERROR(__xludf.DUMMYFUNCTION("GOOGLETRANSLATE(B3763, ""es"", ""en"")"),"What I expected bracelet simple, but very guapa.Envio fast as always with Amazon")</f>
        <v>What I expected bracelet simple, but very guapa.Envio fast as always with Amazon</v>
      </c>
    </row>
    <row r="3764">
      <c r="A3764" s="1">
        <v>5.0</v>
      </c>
      <c r="B3764" s="1" t="s">
        <v>3745</v>
      </c>
      <c r="C3764" t="str">
        <f>IFERROR(__xludf.DUMMYFUNCTION("GOOGLETRANSLATE(B3764, ""es"", ""en"")"),"WHOLE LIFE TOGETHER. &lt;Div id = ""video-block-R2MDZR9SUYH8T0"" class = ""a-section a-spacing-small a-spacing-top mini video-block""&gt; &lt;/ div&gt; &lt;input type = ""hidden"" name = """" value = ""https://images-eu.ssl-images-amazon.com/images/I/B13kf+gPTTS.mp4"" c"&amp;"lass = ""video-url""&gt; &lt;input type = ""hidden"" name = """" value = "" https://images-eu.ssl-images-amazon.com/images/I/912dRdoiALS.png ""class ="" video-slate-img-url ""&gt; &amp; nbsp; J.Rosée"" Never Distant "", Choker Three Women colors 925 Sterling Silver wi"&amp;"th this choker will be telling enmeshed our partner that we will always be together, all her life, a choker womens J.Rosée brand, sold on the website of Amazon Spain by the company J .Rosée good jewelry studio and managed by Amazon, so you can wrap the gi"&amp;"ft. Jewel comes presented us a gift of the same brand in blue and brown fabric textured case, measuring 9.2 x 7.5 x 3.5 cm., On top goes the brand name, J.Rosée in his inside the choker is caught in a small blue velvet display case next to it he is a poli"&amp;"shed cloth, a greeting card, a bag or velvet bag to save the jewel and blue ribbon with the name of the brand. The pendant is a tangle of three colors, gold, silver and bronze, symbolizing never far and always together, inseparable, measuring 1.1 x 1.15 c"&amp;"ms., Is enshrined in a silver choker 45 cm., With an added 5 cm. to adjust, the entire set is 925 sterling silver material anti allergy. You can wear all day, making it perfect for celebrations and events elegant and discreet at the same time, drawing att"&amp;"ention, but not overly so, and is perfect to show love and we'll always be together. Undoubtedly, if you advise with this gem show our love and we'll be together forever, very elegant and quality, having a phenomenal price. Moito67_Ray")</f>
        <v>WHOLE LIFE TOGETHER. &lt;Div id = "video-block-R2MDZR9SUYH8T0" class = "a-section a-spacing-small a-spacing-top mini video-block"&gt; &lt;/ div&gt; &lt;input type = "hidden" name = "" value = "https://images-eu.ssl-images-amazon.com/images/I/B13kf+gPTTS.mp4" class = "video-url"&gt; &lt;input type = "hidden" name = "" value = " https://images-eu.ssl-images-amazon.com/images/I/912dRdoiALS.png "class =" video-slate-img-url "&gt; &amp; nbsp; J.Rosée" Never Distant ", Choker Three Women colors 925 Sterling Silver with this choker will be telling enmeshed our partner that we will always be together, all her life, a choker womens J.Rosée brand, sold on the website of Amazon Spain by the company J .Rosée good jewelry studio and managed by Amazon, so you can wrap the gift. Jewel comes presented us a gift of the same brand in blue and brown fabric textured case, measuring 9.2 x 7.5 x 3.5 cm., On top goes the brand name, J.Rosée in his inside the choker is caught in a small blue velvet display case next to it he is a polished cloth, a greeting card, a bag or velvet bag to save the jewel and blue ribbon with the name of the brand. The pendant is a tangle of three colors, gold, silver and bronze, symbolizing never far and always together, inseparable, measuring 1.1 x 1.15 cms., Is enshrined in a silver choker 45 cm., With an added 5 cm. to adjust, the entire set is 925 sterling silver material anti allergy. You can wear all day, making it perfect for celebrations and events elegant and discreet at the same time, drawing attention, but not overly so, and is perfect to show love and we'll always be together. Undoubtedly, if you advise with this gem show our love and we'll be together forever, very elegant and quality, having a phenomenal price. Moito67_Ray</v>
      </c>
    </row>
    <row r="3765">
      <c r="A3765" s="1">
        <v>5.0</v>
      </c>
      <c r="B3765" s="1" t="s">
        <v>3746</v>
      </c>
      <c r="C3765" t="str">
        <f>IFERROR(__xludf.DUMMYFUNCTION("GOOGLETRANSLATE(B3765, ""es"", ""en"")"),"Anonimo watch is beautiful. Does not disappoint. Everything perfect both cash and watch. Black background is much nicer than white. I recommend purchase.")</f>
        <v>Anonimo watch is beautiful. Does not disappoint. Everything perfect both cash and watch. Black background is much nicer than white. I recommend purchase.</v>
      </c>
    </row>
    <row r="3766">
      <c r="A3766" s="1">
        <v>5.0</v>
      </c>
      <c r="B3766" s="1" t="s">
        <v>3747</v>
      </c>
      <c r="C3766" t="str">
        <f>IFERROR(__xludf.DUMMYFUNCTION("GOOGLETRANSLATE(B3766, ""es"", ""en"")"),"Helmets wireless TV ... The package has been well delivered and on time. In excellent overall !! These helmets can be connected to the TV, as the console, you hear quite well. Folding are comfortable to wear, even if you have small ears better.")</f>
        <v>Helmets wireless TV ... The package has been well delivered and on time. In excellent overall !! These helmets can be connected to the TV, as the console, you hear quite well. Folding are comfortable to wear, even if you have small ears better.</v>
      </c>
    </row>
    <row r="3767">
      <c r="A3767" s="1">
        <v>5.0</v>
      </c>
      <c r="B3767" s="1" t="s">
        <v>3748</v>
      </c>
      <c r="C3767" t="str">
        <f>IFERROR(__xludf.DUMMYFUNCTION("GOOGLETRANSLATE(B3767, ""es"", ""en"")"),"Excellent for me is excellent in my kitchen, quickly I give much use")</f>
        <v>Excellent for me is excellent in my kitchen, quickly I give much use</v>
      </c>
    </row>
    <row r="3768">
      <c r="A3768" s="1">
        <v>2.0</v>
      </c>
      <c r="B3768" s="1" t="s">
        <v>3749</v>
      </c>
      <c r="C3768" t="str">
        <f>IFERROR(__xludf.DUMMYFUNCTION("GOOGLETRANSLATE(B3768, ""es"", ""en"")"),"At the beginning cuidadin well, I put me intensively in the neck and was counterproductive. Not abuse, put it very soft")</f>
        <v>At the beginning cuidadin well, I put me intensively in the neck and was counterproductive. Not abuse, put it very soft</v>
      </c>
    </row>
    <row r="3769">
      <c r="A3769" s="1">
        <v>3.0</v>
      </c>
      <c r="B3769" s="1" t="s">
        <v>3750</v>
      </c>
      <c r="C3769" t="str">
        <f>IFERROR(__xludf.DUMMYFUNCTION("GOOGLETRANSLATE(B3769, ""es"", ""en"")"),"I ordered a rather large number than mine and I are rather large.")</f>
        <v>I ordered a rather large number than mine and I are rather large.</v>
      </c>
    </row>
    <row r="3770">
      <c r="A3770" s="1">
        <v>1.0</v>
      </c>
      <c r="B3770" s="1" t="s">
        <v>3751</v>
      </c>
      <c r="C3770" t="str">
        <f>IFERROR(__xludf.DUMMYFUNCTION("GOOGLETRANSLATE(B3770, ""es"", ""en"")"),"Useful and practical Good")</f>
        <v>Useful and practical Good</v>
      </c>
    </row>
    <row r="3771">
      <c r="A3771" s="1">
        <v>1.0</v>
      </c>
      <c r="B3771" s="1" t="s">
        <v>3752</v>
      </c>
      <c r="C3771" t="str">
        <f>IFERROR(__xludf.DUMMYFUNCTION("GOOGLETRANSLATE(B3771, ""es"", ""en"")"),"Does not meet the expected conditions At first glance it seems an interesting product, but once you use it you realize it does not work as expected, gradually losing power and only serves to beat / blend very soft products. It is better to spend a little "&amp;"more and buy a better quality to last longer.")</f>
        <v>Does not meet the expected conditions At first glance it seems an interesting product, but once you use it you realize it does not work as expected, gradually losing power and only serves to beat / blend very soft products. It is better to spend a little more and buy a better quality to last longer.</v>
      </c>
    </row>
    <row r="3772">
      <c r="A3772" s="1">
        <v>1.0</v>
      </c>
      <c r="B3772" s="1" t="s">
        <v>3753</v>
      </c>
      <c r="C3772" t="str">
        <f>IFERROR(__xludf.DUMMYFUNCTION("GOOGLETRANSLATE(B3772, ""es"", ""en"")"),"NOS lasted 1 WEEK It has been my son put it in the pool (1 meter deep) and just get water. They disappeared from the screen numbers. We put it to dry and nothing. I decided to open it to see if reaching the screen could be arranged but impossible to put i"&amp;"t back then. Between this and sending a disaster.")</f>
        <v>NOS lasted 1 WEEK It has been my son put it in the pool (1 meter deep) and just get water. They disappeared from the screen numbers. We put it to dry and nothing. I decided to open it to see if reaching the screen could be arranged but impossible to put it back then. Between this and sending a disaster.</v>
      </c>
    </row>
    <row r="3773">
      <c r="A3773" s="1">
        <v>4.0</v>
      </c>
      <c r="B3773" s="1" t="s">
        <v>3754</v>
      </c>
      <c r="C3773" t="str">
        <f>IFERROR(__xludf.DUMMYFUNCTION("GOOGLETRANSLATE(B3773, ""es"", ""en"")"),"Very good Good Value for money, no background noise, recommended for all those who played a home or friends level.")</f>
        <v>Very good Good Value for money, no background noise, recommended for all those who played a home or friends level.</v>
      </c>
    </row>
    <row r="3774">
      <c r="A3774" s="1">
        <v>4.0</v>
      </c>
      <c r="B3774" s="1" t="s">
        <v>3755</v>
      </c>
      <c r="C3774" t="str">
        <f>IFERROR(__xludf.DUMMYFUNCTION("GOOGLETRANSLATE(B3774, ""es"", ""en"")"),"Soft smell the dining room where I got the dog may not work because the dog smell more than vaporfresh🤣😭 but elsewhere the house itself.")</f>
        <v>Soft smell the dining room where I got the dog may not work because the dog smell more than vaporfresh🤣😭 but elsewhere the house itself.</v>
      </c>
    </row>
    <row r="3775">
      <c r="A3775" s="1">
        <v>4.0</v>
      </c>
      <c r="B3775" s="1" t="s">
        <v>3756</v>
      </c>
      <c r="C3775" t="str">
        <f>IFERROR(__xludf.DUMMYFUNCTION("GOOGLETRANSLATE(B3775, ""es"", ""en"")"),"Adrian is a pretty good watch is handsome and looks good quality .in considering its price, but would not recommend it but I am very careful nonetheless not that time has broken the glass in one hand without any blow and disappointed true in theory sell i"&amp;"t as having a strong glass is not true.")</f>
        <v>Adrian is a pretty good watch is handsome and looks good quality .in considering its price, but would not recommend it but I am very careful nonetheless not that time has broken the glass in one hand without any blow and disappointed true in theory sell it as having a strong glass is not true.</v>
      </c>
    </row>
    <row r="3776">
      <c r="A3776" s="1">
        <v>4.0</v>
      </c>
      <c r="B3776" s="1" t="s">
        <v>3757</v>
      </c>
      <c r="C3776" t="str">
        <f>IFERROR(__xludf.DUMMYFUNCTION("GOOGLETRANSLATE(B3776, ""es"", ""en"")"),"Hard drive is requested presentation good price spartan hard drive, you have not given me any problems during installation. totally spartan his presentation an envelope and protected in a bubble bag. Without any instructions, screws or nothing at all in m"&amp;"y case it was not necessary but keep in mind that if you need some kind of instruction you will have to go to google.")</f>
        <v>Hard drive is requested presentation good price spartan hard drive, you have not given me any problems during installation. totally spartan his presentation an envelope and protected in a bubble bag. Without any instructions, screws or nothing at all in my case it was not necessary but keep in mind that if you need some kind of instruction you will have to go to google.</v>
      </c>
    </row>
    <row r="3777">
      <c r="A3777" s="1">
        <v>4.0</v>
      </c>
      <c r="B3777" s="1" t="s">
        <v>3758</v>
      </c>
      <c r="C3777" t="str">
        <f>IFERROR(__xludf.DUMMYFUNCTION("GOOGLETRANSLATE(B3777, ""es"", ""en"")"),"Sound water as small waterfall. I find it handy, oil water is added where same, the sound of the water inside the tank is relaxing. The wet steam, but do not know why, because not always does. I wish that the momentum of the steam is greater. Overall good"&amp;", soft light tones are relaxing.")</f>
        <v>Sound water as small waterfall. I find it handy, oil water is added where same, the sound of the water inside the tank is relaxing. The wet steam, but do not know why, because not always does. I wish that the momentum of the steam is greater. Overall good, soft light tones are relaxing.</v>
      </c>
    </row>
    <row r="3778">
      <c r="A3778" s="1">
        <v>5.0</v>
      </c>
      <c r="B3778" s="1" t="s">
        <v>3759</v>
      </c>
      <c r="C3778" t="str">
        <f>IFERROR(__xludf.DUMMYFUNCTION("GOOGLETRANSLATE(B3778, ""es"", ""en"")"),"Elegant, functional and very low price I need this product very often since made numerous presentations with PowerPoint and this makes work much easier. I bought this product because of its very low price. And I'm really surprised. Control design is very "&amp;"elegant, practical and allows you to carry comfortably in hand. It is very accurate and does the job perfectly very simply, what makes me like it more. In addition it wears a red laser pointer to point to. Definitely worth really worth investing in this p"&amp;"roduct so cheap, simple and useful.")</f>
        <v>Elegant, functional and very low price I need this product very often since made numerous presentations with PowerPoint and this makes work much easier. I bought this product because of its very low price. And I'm really surprised. Control design is very elegant, practical and allows you to carry comfortably in hand. It is very accurate and does the job perfectly very simply, what makes me like it more. In addition it wears a red laser pointer to point to. Definitely worth really worth investing in this product so cheap, simple and useful.</v>
      </c>
    </row>
    <row r="3779">
      <c r="A3779" s="1">
        <v>5.0</v>
      </c>
      <c r="B3779" s="1" t="s">
        <v>3760</v>
      </c>
      <c r="C3779" t="str">
        <f>IFERROR(__xludf.DUMMYFUNCTION("GOOGLETRANSLATE(B3779, ""es"", ""en"")"),"Good good good shoe shoe soles grip well")</f>
        <v>Good good good shoe shoe soles grip well</v>
      </c>
    </row>
    <row r="3780">
      <c r="A3780" s="1">
        <v>5.0</v>
      </c>
      <c r="B3780" s="1" t="s">
        <v>3761</v>
      </c>
      <c r="C3780" t="str">
        <f>IFERROR(__xludf.DUMMYFUNCTION("GOOGLETRANSLATE(B3780, ""es"", ""en"")"),"No such good will for sound, I used to feed them led strips remote and fulfill its role to perfection")</f>
        <v>No such good will for sound, I used to feed them led strips remote and fulfill its role to perfection</v>
      </c>
    </row>
    <row r="3781">
      <c r="A3781" s="1">
        <v>5.0</v>
      </c>
      <c r="B3781" s="1" t="s">
        <v>3762</v>
      </c>
      <c r="C3781" t="str">
        <f>IFERROR(__xludf.DUMMYFUNCTION("GOOGLETRANSLATE(B3781, ""es"", ""en"")"),"Very good quality and shock resistant children This product already knew that gave him one of my children and now the other queria.Tiene also very good if you sync audio with bluetooth of the mobile can move songs to the the child cante.Ademas am surprise"&amp;"d with the high volume that compared with other microfonos")</f>
        <v>Very good quality and shock resistant children This product already knew that gave him one of my children and now the other queria.Tiene also very good if you sync audio with bluetooth of the mobile can move songs to the the child cante.Ademas am surprised with the high volume that compared with other microfonos</v>
      </c>
    </row>
    <row r="3782">
      <c r="A3782" s="1">
        <v>5.0</v>
      </c>
      <c r="B3782" s="1" t="s">
        <v>3763</v>
      </c>
      <c r="C3782" t="str">
        <f>IFERROR(__xludf.DUMMYFUNCTION("GOOGLETRANSLATE(B3782, ""es"", ""en"")"),"Cracking the product recommended by the pack Amplitube application and jack table meter stops for wear helmets guitRra and effects")</f>
        <v>Cracking the product recommended by the pack Amplitube application and jack table meter stops for wear helmets guitRra and effects</v>
      </c>
    </row>
    <row r="3783">
      <c r="A3783" s="1">
        <v>5.0</v>
      </c>
      <c r="B3783" s="1" t="s">
        <v>3764</v>
      </c>
      <c r="C3783" t="str">
        <f>IFERROR(__xludf.DUMMYFUNCTION("GOOGLETRANSLATE(B3783, ""es"", ""en"")"),"GOOD perfect, just buy what I needed")</f>
        <v>GOOD perfect, just buy what I needed</v>
      </c>
    </row>
    <row r="3784">
      <c r="A3784" s="1">
        <v>5.0</v>
      </c>
      <c r="B3784" s="1" t="s">
        <v>3765</v>
      </c>
      <c r="C3784" t="str">
        <f>IFERROR(__xludf.DUMMYFUNCTION("GOOGLETRANSLATE(B3784, ""es"", ""en"")"),"Good price for a good product very good product will buy good price for what is offered")</f>
        <v>Good price for a good product very good product will buy good price for what is offered</v>
      </c>
    </row>
    <row r="3785">
      <c r="A3785" s="1">
        <v>5.0</v>
      </c>
      <c r="B3785" s="1" t="s">
        <v>3766</v>
      </c>
      <c r="C3785" t="str">
        <f>IFERROR(__xludf.DUMMYFUNCTION("GOOGLETRANSLATE(B3785, ""es"", ""en"")"),"Electric kettle Aicook came the day they told me, heats water in less than 5 minutes, super happy with purchase")</f>
        <v>Electric kettle Aicook came the day they told me, heats water in less than 5 minutes, super happy with purchase</v>
      </c>
    </row>
    <row r="3786">
      <c r="A3786" s="1">
        <v>5.0</v>
      </c>
      <c r="B3786" s="1" t="s">
        <v>3767</v>
      </c>
      <c r="C3786" t="str">
        <f>IFERROR(__xludf.DUMMYFUNCTION("GOOGLETRANSLATE(B3786, ""es"", ""en"")"),"comfortable and quality Good quality, tight and comfortable. There q ask the same number usually chocks, in my case 44, and I look perfect.")</f>
        <v>comfortable and quality Good quality, tight and comfortable. There q ask the same number usually chocks, in my case 44, and I look perfect.</v>
      </c>
    </row>
    <row r="3787">
      <c r="A3787" s="1">
        <v>5.0</v>
      </c>
      <c r="B3787" s="1" t="s">
        <v>3768</v>
      </c>
      <c r="C3787" t="str">
        <f>IFERROR(__xludf.DUMMYFUNCTION("GOOGLETRANSLATE(B3787, ""es"", ""en"")"),"Rachel sent me arrived perfect and the micro has a terrific result for the price it has. I've been singing with him doing bowling with a group and has always gone great. Unbeatable value for money.")</f>
        <v>Rachel sent me arrived perfect and the micro has a terrific result for the price it has. I've been singing with him doing bowling with a group and has always gone great. Unbeatable value for money.</v>
      </c>
    </row>
    <row r="3788">
      <c r="A3788" s="1">
        <v>5.0</v>
      </c>
      <c r="B3788" s="1" t="s">
        <v>3769</v>
      </c>
      <c r="C3788" t="str">
        <f>IFERROR(__xludf.DUMMYFUNCTION("GOOGLETRANSLATE(B3788, ""es"", ""en"")"),"Sound quality and elegance certainly an excellent purchase. You can use them in all kinds of areas. Are very comfortable for the gym because they do not fall despite physical exercise and sound is impeccable. And even top aesthetics is elegant and managea"&amp;"ble")</f>
        <v>Sound quality and elegance certainly an excellent purchase. You can use them in all kinds of areas. Are very comfortable for the gym because they do not fall despite physical exercise and sound is impeccable. And even top aesthetics is elegant and manageable</v>
      </c>
    </row>
    <row r="3789">
      <c r="A3789" s="1">
        <v>5.0</v>
      </c>
      <c r="B3789" s="1" t="s">
        <v>3770</v>
      </c>
      <c r="C3789" t="str">
        <f>IFERROR(__xludf.DUMMYFUNCTION("GOOGLETRANSLATE(B3789, ""es"", ""en"")"),"For a long lasting fragrance time I've been looking for an essential oil with citric aroma, which is long kept in the environment without being overly strong and this oil has been a success. In addition to the fragrance I like to use it to drive away mosq"&amp;"uitoes. It comes with dropper, easier to use without wasting the product as has happened with other poorer quality. I bought it primarily for use in the humidor and also to massage.")</f>
        <v>For a long lasting fragrance time I've been looking for an essential oil with citric aroma, which is long kept in the environment without being overly strong and this oil has been a success. In addition to the fragrance I like to use it to drive away mosquitoes. It comes with dropper, easier to use without wasting the product as has happened with other poorer quality. I bought it primarily for use in the humidor and also to massage.</v>
      </c>
    </row>
    <row r="3790">
      <c r="A3790" s="1">
        <v>5.0</v>
      </c>
      <c r="B3790" s="1" t="s">
        <v>3771</v>
      </c>
      <c r="C3790" t="str">
        <f>IFERROR(__xludf.DUMMYFUNCTION("GOOGLETRANSLATE(B3790, ""es"", ""en"")"),"Comodas are comfortable foam insole")</f>
        <v>Comodas are comfortable foam insole</v>
      </c>
    </row>
    <row r="3791">
      <c r="A3791" s="1">
        <v>5.0</v>
      </c>
      <c r="B3791" s="1" t="s">
        <v>3772</v>
      </c>
      <c r="C3791" t="str">
        <f>IFERROR(__xludf.DUMMYFUNCTION("GOOGLETRANSLATE(B3791, ""es"", ""en"")"),"GOOD BUY MORE THAN SATISFIED. Quite attractive in design and technology. Meets expectations in quality / price ratio. Other more expensive headphones sound like these. I'm thinking about my lady to give her.")</f>
        <v>GOOD BUY MORE THAN SATISFIED. Quite attractive in design and technology. Meets expectations in quality / price ratio. Other more expensive headphones sound like these. I'm thinking about my lady to give her.</v>
      </c>
    </row>
    <row r="3792">
      <c r="A3792" s="1">
        <v>5.0</v>
      </c>
      <c r="B3792" s="1" t="s">
        <v>3773</v>
      </c>
      <c r="C3792" t="str">
        <f>IFERROR(__xludf.DUMMYFUNCTION("GOOGLETRANSLATE(B3792, ""es"", ""en"")"),"Perfect perfect size to go on a motorcycle and comfortable ....")</f>
        <v>Perfect perfect size to go on a motorcycle and comfortable ....</v>
      </c>
    </row>
    <row r="3793">
      <c r="A3793" s="1">
        <v>5.0</v>
      </c>
      <c r="B3793" s="1" t="s">
        <v>3774</v>
      </c>
      <c r="C3793" t="str">
        <f>IFERROR(__xludf.DUMMYFUNCTION("GOOGLETRANSLATE(B3793, ""es"", ""en"")"),"Vans SK8 Hi Ideals, as is the photo, monísimas and very comfortable, very fast shipping, would buy without hesitation, very happy with purchase")</f>
        <v>Vans SK8 Hi Ideals, as is the photo, monísimas and very comfortable, very fast shipping, would buy without hesitation, very happy with purchase</v>
      </c>
    </row>
    <row r="3794">
      <c r="A3794" s="1">
        <v>5.0</v>
      </c>
      <c r="B3794" s="1" t="s">
        <v>3775</v>
      </c>
      <c r="C3794" t="str">
        <f>IFERROR(__xludf.DUMMYFUNCTION("GOOGLETRANSLATE(B3794, ""es"", ""en"")"),"Reduced size and good metal, with ring to wear on the keys, you see that is rigid and hard, and with Justino size, but not small, worn on the keys very well.")</f>
        <v>Reduced size and good metal, with ring to wear on the keys, you see that is rigid and hard, and with Justino size, but not small, worn on the keys very well.</v>
      </c>
    </row>
    <row r="3795">
      <c r="A3795" s="1">
        <v>5.0</v>
      </c>
      <c r="B3795" s="1" t="s">
        <v>3776</v>
      </c>
      <c r="C3795" t="str">
        <f>IFERROR(__xludf.DUMMYFUNCTION("GOOGLETRANSLATE(B3795, ""es"", ""en"")"),"Excellent quality / price. I do not find any, but it is an absolutely recommended purchase. I got them at an unbeatable price.")</f>
        <v>Excellent quality / price. I do not find any, but it is an absolutely recommended purchase. I got them at an unbeatable price.</v>
      </c>
    </row>
    <row r="3796">
      <c r="A3796" s="1">
        <v>5.0</v>
      </c>
      <c r="B3796" s="1" t="s">
        <v>3777</v>
      </c>
      <c r="C3796" t="str">
        <f>IFERROR(__xludf.DUMMYFUNCTION("GOOGLETRANSLATE(B3796, ""es"", ""en"")"),"Powerful and safe is very well tiene.buena.potencia and whip me by insurance leading especially with a child at home is going well")</f>
        <v>Powerful and safe is very well tiene.buena.potencia and whip me by insurance leading especially with a child at home is going well</v>
      </c>
    </row>
    <row r="3797">
      <c r="A3797" s="1">
        <v>2.0</v>
      </c>
      <c r="B3797" s="1" t="s">
        <v>3778</v>
      </c>
      <c r="C3797" t="str">
        <f>IFERROR(__xludf.DUMMYFUNCTION("GOOGLETRANSLATE(B3797, ""es"", ""en"")"),"I could not ajustármelos, presentation, sound and battery box to load fall seem excellent. The sound is a bit flat (I get the feeling that it lacks serious, but it is natural for such small headphones). The finish is great. It is a bit cumbersome out of t"&amp;"he box because it is magnetized and not ""loose"" easily. The button operation is intuitive and easy, perhaps too sensitive, but it's going very well. I tried to handle Siri with them but it sure is simple, like to the pair and link them to the Bluetooth "&amp;"phone. But there is a big but, and hence my rating: fall me. I managed to be maintained in the ear when I moved: and sitting still remain, but I can not introduce good (it's up to my ear, I guess) but walk or talk with them on. I'm thinking about returnin"&amp;"g, I do not know if they will be accepted because I've tried several of the gums brought to adjust.")</f>
        <v>I could not ajustármelos, presentation, sound and battery box to load fall seem excellent. The sound is a bit flat (I get the feeling that it lacks serious, but it is natural for such small headphones). The finish is great. It is a bit cumbersome out of the box because it is magnetized and not "loose" easily. The button operation is intuitive and easy, perhaps too sensitive, but it's going very well. I tried to handle Siri with them but it sure is simple, like to the pair and link them to the Bluetooth phone. But there is a big but, and hence my rating: fall me. I managed to be maintained in the ear when I moved: and sitting still remain, but I can not introduce good (it's up to my ear, I guess) but walk or talk with them on. I'm thinking about returning, I do not know if they will be accepted because I've tried several of the gums brought to adjust.</v>
      </c>
    </row>
    <row r="3798">
      <c r="A3798" s="1">
        <v>3.0</v>
      </c>
      <c r="B3798" s="1" t="s">
        <v>42</v>
      </c>
      <c r="C3798" t="str">
        <f>IFERROR(__xludf.DUMMYFUNCTION("GOOGLETRANSLATE(B3798, ""es"", ""en"")"),"Well well")</f>
        <v>Well well</v>
      </c>
    </row>
    <row r="3799">
      <c r="A3799" s="1">
        <v>3.0</v>
      </c>
      <c r="B3799" s="1" t="s">
        <v>3779</v>
      </c>
      <c r="C3799" t="str">
        <f>IFERROR(__xludf.DUMMYFUNCTION("GOOGLETRANSLATE(B3799, ""es"", ""en"")"),"It makes more noise than the expected great works, but that does just that noise is not. It has a small fan base which makes a constant buzz, and to me personally bothers me if I have it in the same room when I go to sleep.")</f>
        <v>It makes more noise than the expected great works, but that does just that noise is not. It has a small fan base which makes a constant buzz, and to me personally bothers me if I have it in the same room when I go to sleep.</v>
      </c>
    </row>
    <row r="3800">
      <c r="A3800" s="1">
        <v>3.0</v>
      </c>
      <c r="B3800" s="1" t="s">
        <v>3780</v>
      </c>
      <c r="C3800" t="str">
        <f>IFERROR(__xludf.DUMMYFUNCTION("GOOGLETRANSLATE(B3800, ""es"", ""en"")"),"menstrual cup is somewhat complicated to put on and remove, but it is practical. It is very comfortable not the notes that you wear. I ordered this with ball but not if it would have been better ask for it to stick or this very had touched, but also is a "&amp;"bit indifferent, since no strips end by the vacuum that makes the cup, simply to detect where is located the Cup. Normal is neither too soft nor too hard.")</f>
        <v>menstrual cup is somewhat complicated to put on and remove, but it is practical. It is very comfortable not the notes that you wear. I ordered this with ball but not if it would have been better ask for it to stick or this very had touched, but also is a bit indifferent, since no strips end by the vacuum that makes the cup, simply to detect where is located the Cup. Normal is neither too soft nor too hard.</v>
      </c>
    </row>
    <row r="3801">
      <c r="A3801" s="1">
        <v>1.0</v>
      </c>
      <c r="B3801" s="1" t="s">
        <v>3781</v>
      </c>
      <c r="C3801" t="str">
        <f>IFERROR(__xludf.DUMMYFUNCTION("GOOGLETRANSLATE(B3801, ""es"", ""en"")"),"You can not take the my band 3 is impossible to remove the bracelet my bracelet band 3, and is of tremendous importance for charging.")</f>
        <v>You can not take the my band 3 is impossible to remove the bracelet my bracelet band 3, and is of tremendous importance for charging.</v>
      </c>
    </row>
    <row r="3802">
      <c r="A3802" s="1">
        <v>1.0</v>
      </c>
      <c r="B3802" s="1" t="s">
        <v>3782</v>
      </c>
      <c r="C3802" t="str">
        <f>IFERROR(__xludf.DUMMYFUNCTION("GOOGLETRANSLATE(B3802, ""es"", ""en"")"),"Mal returned it do not give bad smell")</f>
        <v>Mal returned it do not give bad smell</v>
      </c>
    </row>
    <row r="3803">
      <c r="A3803" s="1">
        <v>4.0</v>
      </c>
      <c r="B3803" s="1" t="s">
        <v>3783</v>
      </c>
      <c r="C3803" t="str">
        <f>IFERROR(__xludf.DUMMYFUNCTION("GOOGLETRANSLATE(B3803, ""es"", ""en"")"),"Slate quality durable and easy to hang, I arrive smoothly and highly recommended if you are looking for a board of this type.")</f>
        <v>Slate quality durable and easy to hang, I arrive smoothly and highly recommended if you are looking for a board of this type.</v>
      </c>
    </row>
    <row r="3804">
      <c r="A3804" s="1">
        <v>4.0</v>
      </c>
      <c r="B3804" s="1" t="s">
        <v>3784</v>
      </c>
      <c r="C3804" t="str">
        <f>IFERROR(__xludf.DUMMYFUNCTION("GOOGLETRANSLATE(B3804, ""es"", ""en"")"),"Well, expensive and scarce. Brush tops! Expensive and scarce as always, but for now fulfills its mission. The big advantage is the applicator brush, and much cleaner than conventional curious.")</f>
        <v>Well, expensive and scarce. Brush tops! Expensive and scarce as always, but for now fulfills its mission. The big advantage is the applicator brush, and much cleaner than conventional curious.</v>
      </c>
    </row>
    <row r="3805">
      <c r="A3805" s="1">
        <v>4.0</v>
      </c>
      <c r="B3805" s="1" t="s">
        <v>3785</v>
      </c>
      <c r="C3805" t="str">
        <f>IFERROR(__xludf.DUMMYFUNCTION("GOOGLETRANSLATE(B3805, ""es"", ""en"")"),"Well Well, meets expectations for what I want it, money for good quantity, quality, time will tell, I do it.")</f>
        <v>Well Well, meets expectations for what I want it, money for good quantity, quality, time will tell, I do it.</v>
      </c>
    </row>
    <row r="3806">
      <c r="A3806" s="1">
        <v>4.0</v>
      </c>
      <c r="B3806" s="1" t="s">
        <v>3786</v>
      </c>
      <c r="C3806" t="str">
        <f>IFERROR(__xludf.DUMMYFUNCTION("GOOGLETRANSLATE(B3806, ""es"", ""en"")"),"They are like the picture I arrived at the estimated time. They are exactly the same as in the photo. I usually use 40 or 41, after trying a few like in a department store decided to order a size 40 and I still get a little big but are really comfortable."&amp;" I do not recommend for use in summer and foot sweating something.")</f>
        <v>They are like the picture I arrived at the estimated time. They are exactly the same as in the photo. I usually use 40 or 41, after trying a few like in a department store decided to order a size 40 and I still get a little big but are really comfortable. I do not recommend for use in summer and foot sweating something.</v>
      </c>
    </row>
    <row r="3807">
      <c r="A3807" s="1">
        <v>5.0</v>
      </c>
      <c r="B3807" s="1" t="s">
        <v>3787</v>
      </c>
      <c r="C3807" t="str">
        <f>IFERROR(__xludf.DUMMYFUNCTION("GOOGLETRANSLATE(B3807, ""es"", ""en"")"),"Quality Samsung does not fail in these components. High quality, and easy to install.")</f>
        <v>Quality Samsung does not fail in these components. High quality, and easy to install.</v>
      </c>
    </row>
    <row r="3808">
      <c r="A3808" s="1">
        <v>5.0</v>
      </c>
      <c r="B3808" s="1" t="s">
        <v>3788</v>
      </c>
      <c r="C3808" t="str">
        <f>IFERROR(__xludf.DUMMYFUNCTION("GOOGLETRANSLATE(B3808, ""es"", ""en"")"),"Dymo label tape Perfect !!! They arrived very quickly and are good material. They adapt perfectly to my label. 100% recommended! I will buy. Definitely.")</f>
        <v>Dymo label tape Perfect !!! They arrived very quickly and are good material. They adapt perfectly to my label. 100% recommended! I will buy. Definitely.</v>
      </c>
    </row>
    <row r="3809">
      <c r="A3809" s="1">
        <v>5.0</v>
      </c>
      <c r="B3809" s="1" t="s">
        <v>3789</v>
      </c>
      <c r="C3809" t="str">
        <f>IFERROR(__xludf.DUMMYFUNCTION("GOOGLETRANSLATE(B3809, ""es"", ""en"")"),"I'm good shoes foot wide, and these are my first New Balance. I asked the average number more than usual, and I will perfect. Comfortable and very nice. Very happy with the product.")</f>
        <v>I'm good shoes foot wide, and these are my first New Balance. I asked the average number more than usual, and I will perfect. Comfortable and very nice. Very happy with the product.</v>
      </c>
    </row>
    <row r="3810">
      <c r="A3810" s="1">
        <v>5.0</v>
      </c>
      <c r="B3810" s="1" t="s">
        <v>3790</v>
      </c>
      <c r="C3810" t="str">
        <f>IFERROR(__xludf.DUMMYFUNCTION("GOOGLETRANSLATE(B3810, ""es"", ""en"")"),"Very good very good headphones all well and how they describe. I am very happy are comfortable and fold well to put them in his bag.")</f>
        <v>Very good very good headphones all well and how they describe. I am very happy are comfortable and fold well to put them in his bag.</v>
      </c>
    </row>
    <row r="3811">
      <c r="A3811" s="1">
        <v>5.0</v>
      </c>
      <c r="B3811" s="1" t="s">
        <v>3791</v>
      </c>
      <c r="C3811" t="str">
        <f>IFERROR(__xludf.DUMMYFUNCTION("GOOGLETRANSLATE(B3811, ""es"", ""en"")"),"Headphones The headphones have run fascinates me are very anatomical also heard quite strong and is not distorted, brings a case that can save them and take them with you and having a hook! They adapt to any type of ear because it brings different sizes i"&amp;"n rubber suits the handset .. I would certainly have seemed a very good investment! I recommend")</f>
        <v>Headphones The headphones have run fascinates me are very anatomical also heard quite strong and is not distorted, brings a case that can save them and take them with you and having a hook! They adapt to any type of ear because it brings different sizes in rubber suits the handset .. I would certainly have seemed a very good investment! I recommend</v>
      </c>
    </row>
    <row r="3812">
      <c r="A3812" s="1">
        <v>5.0</v>
      </c>
      <c r="B3812" s="1" t="s">
        <v>3792</v>
      </c>
      <c r="C3812" t="str">
        <f>IFERROR(__xludf.DUMMYFUNCTION("GOOGLETRANSLATE(B3812, ""es"", ""en"")"),"Terrific quality, well recommended product finishing and quality")</f>
        <v>Terrific quality, well recommended product finishing and quality</v>
      </c>
    </row>
    <row r="3813">
      <c r="A3813" s="1">
        <v>5.0</v>
      </c>
      <c r="B3813" s="1" t="s">
        <v>3793</v>
      </c>
      <c r="C3813" t="str">
        <f>IFERROR(__xludf.DUMMYFUNCTION("GOOGLETRANSLATE(B3813, ""es"", ""en"")"),"Very comfortable I have really enjoyed these socks, bought or descalz to-house and meets what they say. I chock one comment 39/40 and have very narrow foot and I go a fair bit")</f>
        <v>Very comfortable I have really enjoyed these socks, bought or descalz to-house and meets what they say. I chock one comment 39/40 and have very narrow foot and I go a fair bit</v>
      </c>
    </row>
    <row r="3814">
      <c r="A3814" s="1">
        <v>5.0</v>
      </c>
      <c r="B3814" s="1" t="s">
        <v>3794</v>
      </c>
      <c r="C3814" t="str">
        <f>IFERROR(__xludf.DUMMYFUNCTION("GOOGLETRANSLATE(B3814, ""es"", ""en"")"),"He arrived avtiempo Good quality / price")</f>
        <v>He arrived avtiempo Good quality / price</v>
      </c>
    </row>
    <row r="3815">
      <c r="A3815" s="1">
        <v>5.0</v>
      </c>
      <c r="B3815" s="1" t="s">
        <v>3795</v>
      </c>
      <c r="C3815" t="str">
        <f>IFERROR(__xludf.DUMMYFUNCTION("GOOGLETRANSLATE(B3815, ""es"", ""en"")"),"Thanks to the elegant 2400W power water certainly have it ready in no more than one minute, with the pot full. Brushed stainless steel, in this case makes it very elegant and is perfectly locate in the kitchen. Also in the other three colors is very cool "&amp;"in the kitchen, especially red, I love it. Easy to clean with fully removable filter. As for the noise level, compared with other similar features, you could say it's quieter. Value exceptional in this model Russel Hobbs")</f>
        <v>Thanks to the elegant 2400W power water certainly have it ready in no more than one minute, with the pot full. Brushed stainless steel, in this case makes it very elegant and is perfectly locate in the kitchen. Also in the other three colors is very cool in the kitchen, especially red, I love it. Easy to clean with fully removable filter. As for the noise level, compared with other similar features, you could say it's quieter. Value exceptional in this model Russel Hobbs</v>
      </c>
    </row>
    <row r="3816">
      <c r="A3816" s="1">
        <v>5.0</v>
      </c>
      <c r="B3816" s="1" t="s">
        <v>3796</v>
      </c>
      <c r="C3816" t="str">
        <f>IFERROR(__xludf.DUMMYFUNCTION("GOOGLETRANSLATE(B3816, ""es"", ""en"")"),"They are great as expected good quality and fleece inside. Very warm and comfortable good design. I like Joma because the quality and the price corresponds to the most international is height marks")</f>
        <v>They are great as expected good quality and fleece inside. Very warm and comfortable good design. I like Joma because the quality and the price corresponds to the most international is height marks</v>
      </c>
    </row>
    <row r="3817">
      <c r="A3817" s="1">
        <v>5.0</v>
      </c>
      <c r="B3817" s="1" t="s">
        <v>3797</v>
      </c>
      <c r="C3817" t="str">
        <f>IFERROR(__xludf.DUMMYFUNCTION("GOOGLETRANSLATE(B3817, ""es"", ""en"")"),"Very elegant A lovely necklace 3 strings, although it is note sheet, is well placed. I recommend it (especially for its price) PD 'if anyone knows how to keep the chains that tell me tangling !!")</f>
        <v>Very elegant A lovely necklace 3 strings, although it is note sheet, is well placed. I recommend it (especially for its price) PD 'if anyone knows how to keep the chains that tell me tangling !!</v>
      </c>
    </row>
    <row r="3818">
      <c r="A3818" s="1">
        <v>5.0</v>
      </c>
      <c r="B3818" s="1" t="s">
        <v>3798</v>
      </c>
      <c r="C3818" t="str">
        <f>IFERROR(__xludf.DUMMYFUNCTION("GOOGLETRANSLATE(B3818, ""es"", ""en"")"),"Good Value The product is packaged correctly. It includes parts of headphones, charging cable and sheath. Also instructions. After they have been used mainly for several days running, I can say that I have finally found a headset that did not fall from th"&amp;"e ear to be moving. They are very comfortable because the cable that connects them is very thin and does not bother.")</f>
        <v>Good Value The product is packaged correctly. It includes parts of headphones, charging cable and sheath. Also instructions. After they have been used mainly for several days running, I can say that I have finally found a headset that did not fall from the ear to be moving. They are very comfortable because the cable that connects them is very thin and does not bother.</v>
      </c>
    </row>
    <row r="3819">
      <c r="A3819" s="1">
        <v>5.0</v>
      </c>
      <c r="B3819" s="1" t="s">
        <v>3799</v>
      </c>
      <c r="C3819" t="str">
        <f>IFERROR(__xludf.DUMMYFUNCTION("GOOGLETRANSLATE(B3819, ""es"", ""en"")"),"/ Crystals perfect price quality quite large. I use them for vaping")</f>
        <v>/ Crystals perfect price quality quite large. I use them for vaping</v>
      </c>
    </row>
    <row r="3820">
      <c r="A3820" s="1">
        <v>5.0</v>
      </c>
      <c r="B3820" s="1" t="s">
        <v>3800</v>
      </c>
      <c r="C3820" t="str">
        <f>IFERROR(__xludf.DUMMYFUNCTION("GOOGLETRANSLATE(B3820, ""es"", ""en"")"),"Facilitate the exercise of that area seems very useful and easy to use")</f>
        <v>Facilitate the exercise of that area seems very useful and easy to use</v>
      </c>
    </row>
    <row r="3821">
      <c r="A3821" s="1">
        <v>5.0</v>
      </c>
      <c r="B3821" s="1" t="s">
        <v>3801</v>
      </c>
      <c r="C3821" t="str">
        <f>IFERROR(__xludf.DUMMYFUNCTION("GOOGLETRANSLATE(B3821, ""es"", ""en"")"),"Great product, no problems of any kind Product great, and inexpensive. Meets my expectations, and buy it back when finished me. I have not had any problem for ceterlas in the stapler, and sew documents. I recommend everyone.")</f>
        <v>Great product, no problems of any kind Product great, and inexpensive. Meets my expectations, and buy it back when finished me. I have not had any problem for ceterlas in the stapler, and sew documents. I recommend everyone.</v>
      </c>
    </row>
    <row r="3822">
      <c r="A3822" s="1">
        <v>5.0</v>
      </c>
      <c r="B3822" s="1" t="s">
        <v>3802</v>
      </c>
      <c r="C3822" t="str">
        <f>IFERROR(__xludf.DUMMYFUNCTION("GOOGLETRANSLATE(B3822, ""es"", ""en"")"),"Bluetooth headsets, Bagotte sport earphones Stereo MICROFO headphones for the price you are not going to find anything better and have some time with them and go luxury load very fast battery lasts a very good barbarity sound and better micro operating to"&amp;" the 100x100 unlike others who say they have free hands and a potato micro is the truth I am very happy with this purchase.")</f>
        <v>Bluetooth headsets, Bagotte sport earphones Stereo MICROFO headphones for the price you are not going to find anything better and have some time with them and go luxury load very fast battery lasts a very good barbarity sound and better micro operating to the 100x100 unlike others who say they have free hands and a potato micro is the truth I am very happy with this purchase.</v>
      </c>
    </row>
    <row r="3823">
      <c r="A3823" s="1">
        <v>5.0</v>
      </c>
      <c r="B3823" s="1" t="s">
        <v>3803</v>
      </c>
      <c r="C3823" t="str">
        <f>IFERROR(__xludf.DUMMYFUNCTION("GOOGLETRANSLATE(B3823, ""es"", ""en"")"),"A good all-terrain boots and especially effective against rain and cold. There is little to bring about the boots known Panama Jack, can be considered a brand with expensive prices in general, but in the case of this model the truth is that it costs you w"&amp;"arrant a warm feeling in your feet and dry them through the Goretex membrane protection that bring inside, I've tested in snow and rain and puddles that covered a little more effectively the sole and feet remain dry and warm. Once clean, you put them in y"&amp;"our own way and are a modern footwear and showy to wear street, cups and others, combined with informal styles and classic looks, and prefer jeans inside or outside is a boot color reddish very resistant to time and to the trot and opts for a somewhat cla"&amp;"ssic and true to the brand effectiveness and design protection against the elements. So far I can say that I use a 43 in almost all kinds of shoes, and have adjusted to my measure as is, do not come big or small. As a negative thing, do not bring the pot "&amp;"of fat in physical stores often give you.")</f>
        <v>A good all-terrain boots and especially effective against rain and cold. There is little to bring about the boots known Panama Jack, can be considered a brand with expensive prices in general, but in the case of this model the truth is that it costs you warrant a warm feeling in your feet and dry them through the Goretex membrane protection that bring inside, I've tested in snow and rain and puddles that covered a little more effectively the sole and feet remain dry and warm. Once clean, you put them in your own way and are a modern footwear and showy to wear street, cups and others, combined with informal styles and classic looks, and prefer jeans inside or outside is a boot color reddish very resistant to time and to the trot and opts for a somewhat classic and true to the brand effectiveness and design protection against the elements. So far I can say that I use a 43 in almost all kinds of shoes, and have adjusted to my measure as is, do not come big or small. As a negative thing, do not bring the pot of fat in physical stores often give you.</v>
      </c>
    </row>
    <row r="3824">
      <c r="A3824" s="1">
        <v>5.0</v>
      </c>
      <c r="B3824" s="1" t="s">
        <v>3804</v>
      </c>
      <c r="C3824" t="str">
        <f>IFERROR(__xludf.DUMMYFUNCTION("GOOGLETRANSLATE(B3824, ""es"", ""en"")"),"Watch pool man. I bought this watch to crush in the pool and not have to be very careful, the truth is that it is very many functions, battery for 10 years and I am delighted with him.")</f>
        <v>Watch pool man. I bought this watch to crush in the pool and not have to be very careful, the truth is that it is very many functions, battery for 10 years and I am delighted with him.</v>
      </c>
    </row>
    <row r="3825">
      <c r="A3825" s="1">
        <v>5.0</v>
      </c>
      <c r="B3825" s="1" t="s">
        <v>3805</v>
      </c>
      <c r="C3825" t="str">
        <f>IFERROR(__xludf.DUMMYFUNCTION("GOOGLETRANSLATE(B3825, ""es"", ""en"")"),"So comfortable perfect")</f>
        <v>So comfortable perfect</v>
      </c>
    </row>
    <row r="3826">
      <c r="A3826" s="1">
        <v>2.0</v>
      </c>
      <c r="B3826" s="1" t="s">
        <v>3806</v>
      </c>
      <c r="C3826" t="str">
        <f>IFERROR(__xludf.DUMMYFUNCTION("GOOGLETRANSLATE(B3826, ""es"", ""en"")"),"BLUETOOH AND DEPENDENCE CONNECTION BOX. I'm reading all comments and nobody mentions the issue of the existing problem with the connection. There should be a feature to choose comfortably when using headphones in stereo mode (both) or independently use ea"&amp;"ch uni. It is an arduous task to connect both simultaneously, sometimes the left is connected, other right but rarely connects to the first two, you have to tread lightly to remove both the two box. Another problem is that there is no shutdown feature, an"&amp;"d if you take them off you have to put them in the box, that is, to go with her everywhere. You can not use and leave without the box, because if then Cape X want time back use, no sign of any form and leaves reconnect with the mobile, ie, it does not est"&amp;"ablish the connection until it returns to the box and take it out again. Why I had to be repaid therefore regretfully really listen very well and do not fall, but having to take time to get X plug it in and rely on the box, as not.")</f>
        <v>BLUETOOH AND DEPENDENCE CONNECTION BOX. I'm reading all comments and nobody mentions the issue of the existing problem with the connection. There should be a feature to choose comfortably when using headphones in stereo mode (both) or independently use each uni. It is an arduous task to connect both simultaneously, sometimes the left is connected, other right but rarely connects to the first two, you have to tread lightly to remove both the two box. Another problem is that there is no shutdown feature, and if you take them off you have to put them in the box, that is, to go with her everywhere. You can not use and leave without the box, because if then Cape X want time back use, no sign of any form and leaves reconnect with the mobile, ie, it does not establish the connection until it returns to the box and take it out again. Why I had to be repaid therefore regretfully really listen very well and do not fall, but having to take time to get X plug it in and rely on the box, as not.</v>
      </c>
    </row>
    <row r="3827">
      <c r="A3827" s="1">
        <v>3.0</v>
      </c>
      <c r="B3827" s="1" t="s">
        <v>3807</v>
      </c>
      <c r="C3827" t="str">
        <f>IFERROR(__xludf.DUMMYFUNCTION("GOOGLETRANSLATE(B3827, ""es"", ""en"")"),"Rapido The truth is very fast, but for the money instead of putting a sticker, they could have put some dissipative rubber or include a shield")</f>
        <v>Rapido The truth is very fast, but for the money instead of putting a sticker, they could have put some dissipative rubber or include a shield</v>
      </c>
    </row>
    <row r="3828">
      <c r="A3828" s="1">
        <v>1.0</v>
      </c>
      <c r="B3828" s="1" t="s">
        <v>3808</v>
      </c>
      <c r="C3828" t="str">
        <f>IFERROR(__xludf.DUMMYFUNCTION("GOOGLETRANSLATE(B3828, ""es"", ""en"")"),"Ana The size of the watch is very small. I'd say it's size lady or a child. In the picture looks much bigger.")</f>
        <v>Ana The size of the watch is very small. I'd say it's size lady or a child. In the picture looks much bigger.</v>
      </c>
    </row>
    <row r="3829">
      <c r="A3829" s="1">
        <v>1.0</v>
      </c>
      <c r="B3829" s="1" t="s">
        <v>3809</v>
      </c>
      <c r="C3829" t="str">
        <f>IFERROR(__xludf.DUMMYFUNCTION("GOOGLETRANSLATE(B3829, ""es"", ""en"")"),"Decepcion Less than a year that have since December 2017 today 26 November 2018 has broken ago. Very bad compra.No is the first time that happens to me buying the amazon again blender broke x bad material thought to have been unknown to the mark x that oc"&amp;"urrió.Me decide to spend more and buy a ""good"" marks not happen this time the falloes smell burning heating process. I do not recommend it.")</f>
        <v>Decepcion Less than a year that have since December 2017 today 26 November 2018 has broken ago. Very bad compra.No is the first time that happens to me buying the amazon again blender broke x bad material thought to have been unknown to the mark x that ocurrió.Me decide to spend more and buy a "good" marks not happen this time the falloes smell burning heating process. I do not recommend it.</v>
      </c>
    </row>
    <row r="3830">
      <c r="A3830" s="1">
        <v>4.0</v>
      </c>
      <c r="B3830" s="1" t="s">
        <v>3810</v>
      </c>
      <c r="C3830" t="str">
        <f>IFERROR(__xludf.DUMMYFUNCTION("GOOGLETRANSLATE(B3830, ""es"", ""en"")"),"My favorite my favorite for summer!")</f>
        <v>My favorite my favorite for summer!</v>
      </c>
    </row>
    <row r="3831">
      <c r="A3831" s="1">
        <v>4.0</v>
      </c>
      <c r="B3831" s="1" t="s">
        <v>3811</v>
      </c>
      <c r="C3831" t="str">
        <f>IFERROR(__xludf.DUMMYFUNCTION("GOOGLETRANSLATE(B3831, ""es"", ""en"")"),"No splashes, it is light and has everything you need to for clear I loved works of great moment, the mincer was the scariest he had qu3")</f>
        <v>No splashes, it is light and has everything you need to for clear I loved works of great moment, the mincer was the scariest he had qu3</v>
      </c>
    </row>
    <row r="3832">
      <c r="A3832" s="1">
        <v>4.0</v>
      </c>
      <c r="B3832" s="1" t="s">
        <v>3812</v>
      </c>
      <c r="C3832" t="str">
        <f>IFERROR(__xludf.DUMMYFUNCTION("GOOGLETRANSLATE(B3832, ""es"", ""en"")"),"Good temperature control quality and finish is usual in Daga brand and this pad is improved temperature control that allows more intermediate steps than older models that I have. As improving the aesthetics of incorporating cotton cover.")</f>
        <v>Good temperature control quality and finish is usual in Daga brand and this pad is improved temperature control that allows more intermediate steps than older models that I have. As improving the aesthetics of incorporating cotton cover.</v>
      </c>
    </row>
    <row r="3833">
      <c r="A3833" s="1">
        <v>4.0</v>
      </c>
      <c r="B3833" s="1" t="s">
        <v>3813</v>
      </c>
      <c r="C3833" t="str">
        <f>IFERROR(__xludf.DUMMYFUNCTION("GOOGLETRANSLATE(B3833, ""es"", ""en"")"),"It works well and is durable Easy to use, good results")</f>
        <v>It works well and is durable Easy to use, good results</v>
      </c>
    </row>
    <row r="3834">
      <c r="A3834" s="1">
        <v>4.0</v>
      </c>
      <c r="B3834" s="1" t="s">
        <v>3814</v>
      </c>
      <c r="C3834" t="str">
        <f>IFERROR(__xludf.DUMMYFUNCTION("GOOGLETRANSLATE(B3834, ""es"", ""en"")"),"The best value / price of the market the best value / price of the market")</f>
        <v>The best value / price of the market the best value / price of the market</v>
      </c>
    </row>
    <row r="3835">
      <c r="A3835" s="1">
        <v>5.0</v>
      </c>
      <c r="B3835" s="1" t="s">
        <v>3815</v>
      </c>
      <c r="C3835" t="str">
        <f>IFERROR(__xludf.DUMMYFUNCTION("GOOGLETRANSLATE(B3835, ""es"", ""en"")"),"Buy good buy recommended. Comes in handy packaging and design is very cool. Just what i was looking for. They can work perfectly and regulate the volume also carries a clip for hanging.")</f>
        <v>Buy good buy recommended. Comes in handy packaging and design is very cool. Just what i was looking for. They can work perfectly and regulate the volume also carries a clip for hanging.</v>
      </c>
    </row>
    <row r="3836">
      <c r="A3836" s="1">
        <v>5.0</v>
      </c>
      <c r="B3836" s="1" t="s">
        <v>3816</v>
      </c>
      <c r="C3836" t="str">
        <f>IFERROR(__xludf.DUMMYFUNCTION("GOOGLETRANSLATE(B3836, ""es"", ""en"")"),"Elegant watch Elegant watch, I wanted to have a black watch dial and strap and this I liked. The belt material is metallic and is very durable. Good value")</f>
        <v>Elegant watch Elegant watch, I wanted to have a black watch dial and strap and this I liked. The belt material is metallic and is very durable. Good value</v>
      </c>
    </row>
    <row r="3837">
      <c r="A3837" s="1">
        <v>5.0</v>
      </c>
      <c r="B3837" s="1" t="s">
        <v>3817</v>
      </c>
      <c r="C3837" t="str">
        <f>IFERROR(__xludf.DUMMYFUNCTION("GOOGLETRANSLATE(B3837, ""es"", ""en"")"),"Perfect Perfect. Better than I thought very comfortable")</f>
        <v>Perfect Perfect. Better than I thought very comfortable</v>
      </c>
    </row>
    <row r="3838">
      <c r="A3838" s="1">
        <v>5.0</v>
      </c>
      <c r="B3838" s="1" t="s">
        <v>3818</v>
      </c>
      <c r="C3838" t="str">
        <f>IFERROR(__xludf.DUMMYFUNCTION("GOOGLETRANSLATE(B3838, ""es"", ""en"")"),"The old reliable good price and always good price")</f>
        <v>The old reliable good price and always good price</v>
      </c>
    </row>
    <row r="3839">
      <c r="A3839" s="1">
        <v>5.0</v>
      </c>
      <c r="B3839" s="1" t="s">
        <v>3819</v>
      </c>
      <c r="C3839" t="str">
        <f>IFERROR(__xludf.DUMMYFUNCTION("GOOGLETRANSLATE(B3839, ""es"", ""en"")"),"I like I like, looks quality is pretty, smart, practical card, the black color is for me the most beautiful, I bought salmon and it was horrible, the black is perfect, pleased with purchase")</f>
        <v>I like I like, looks quality is pretty, smart, practical card, the black color is for me the most beautiful, I bought salmon and it was horrible, the black is perfect, pleased with purchase</v>
      </c>
    </row>
    <row r="3840">
      <c r="A3840" s="1">
        <v>5.0</v>
      </c>
      <c r="B3840" s="1" t="s">
        <v>3820</v>
      </c>
      <c r="C3840" t="str">
        <f>IFERROR(__xludf.DUMMYFUNCTION("GOOGLETRANSLATE(B3840, ""es"", ""en"")"),"Casio is original. It is the original version. It comes with warranty certificate, Casio label hanging strap and comes with a sleeve-like spectacle case. The A158WA of the same module (593) that the Casio F-91W, which is already a guarantee of good perfor"&amp;"mance and quality. This clock would be an F-91W but with metal strap and metallic box (not metal). For the money you can not ask for more, you are seen to quality, with good finishes and feels very comfortable on the wrist (it is very easy to adjust).")</f>
        <v>Casio is original. It is the original version. It comes with warranty certificate, Casio label hanging strap and comes with a sleeve-like spectacle case. The A158WA of the same module (593) that the Casio F-91W, which is already a guarantee of good performance and quality. This clock would be an F-91W but with metal strap and metallic box (not metal). For the money you can not ask for more, you are seen to quality, with good finishes and feels very comfortable on the wrist (it is very easy to adjust).</v>
      </c>
    </row>
    <row r="3841">
      <c r="A3841" s="1">
        <v>5.0</v>
      </c>
      <c r="B3841" s="1" t="s">
        <v>3821</v>
      </c>
      <c r="C3841" t="str">
        <f>IFERROR(__xludf.DUMMYFUNCTION("GOOGLETRANSLATE(B3841, ""es"", ""en"")"),"A Casio Casio we will not discover anything")</f>
        <v>A Casio Casio we will not discover anything</v>
      </c>
    </row>
    <row r="3842">
      <c r="A3842" s="1">
        <v>5.0</v>
      </c>
      <c r="B3842" s="1" t="s">
        <v>3822</v>
      </c>
      <c r="C3842" t="str">
        <f>IFERROR(__xludf.DUMMYFUNCTION("GOOGLETRANSLATE(B3842, ""es"", ""en"")"),"Great Perfect")</f>
        <v>Great Perfect</v>
      </c>
    </row>
    <row r="3843">
      <c r="A3843" s="1">
        <v>5.0</v>
      </c>
      <c r="B3843" s="1" t="s">
        <v>3823</v>
      </c>
      <c r="C3843" t="str">
        <f>IFERROR(__xludf.DUMMYFUNCTION("GOOGLETRANSLATE(B3843, ""es"", ""en"")"),"Perfect boots very comfortable, ta and as it comes in the picture, I recommend, if you spend X direnos in good shoes, why not use these boots at work if we spend many hours currando?")</f>
        <v>Perfect boots very comfortable, ta and as it comes in the picture, I recommend, if you spend X direnos in good shoes, why not use these boots at work if we spend many hours currando?</v>
      </c>
    </row>
    <row r="3844">
      <c r="A3844" s="1">
        <v>5.0</v>
      </c>
      <c r="B3844" s="1" t="s">
        <v>3824</v>
      </c>
      <c r="C3844" t="str">
        <f>IFERROR(__xludf.DUMMYFUNCTION("GOOGLETRANSLATE(B3844, ""es"", ""en"")"),"My baby are the ones who are the only ones who want my son has accepted")</f>
        <v>My baby are the ones who are the only ones who want my son has accepted</v>
      </c>
    </row>
    <row r="3845">
      <c r="A3845" s="1">
        <v>5.0</v>
      </c>
      <c r="B3845" s="1" t="s">
        <v>3825</v>
      </c>
      <c r="C3845" t="str">
        <f>IFERROR(__xludf.DUMMYFUNCTION("GOOGLETRANSLATE(B3845, ""es"", ""en"")"),"Modern backpack is very cool .... it is great .... enter many school books ..... My son loved .... zippers to look strong and go very well .... and red laces it has on easy tips elnabrir and close. I'm thinking of buying another to exchange another model.")</f>
        <v>Modern backpack is very cool .... it is great .... enter many school books ..... My son loved .... zippers to look strong and go very well .... and red laces it has on easy tips elnabrir and close. I'm thinking of buying another to exchange another model.</v>
      </c>
    </row>
    <row r="3846">
      <c r="A3846" s="1">
        <v>5.0</v>
      </c>
      <c r="B3846" s="1" t="s">
        <v>3826</v>
      </c>
      <c r="C3846" t="str">
        <f>IFERROR(__xludf.DUMMYFUNCTION("GOOGLETRANSLATE(B3846, ""es"", ""en"")"),"I liked it a lot. Great. Is beautiful. I bought it for a gift and you'll love it. It smells of leather and leather. I recommend it, it looks good quality.")</f>
        <v>I liked it a lot. Great. Is beautiful. I bought it for a gift and you'll love it. It smells of leather and leather. I recommend it, it looks good quality.</v>
      </c>
    </row>
    <row r="3847">
      <c r="A3847" s="1">
        <v>5.0</v>
      </c>
      <c r="B3847" s="1" t="s">
        <v>3827</v>
      </c>
      <c r="C3847" t="str">
        <f>IFERROR(__xludf.DUMMYFUNCTION("GOOGLETRANSLATE(B3847, ""es"", ""en"")"),"10 casio Casio .... too many words, good and classic. I love")</f>
        <v>10 casio Casio .... too many words, good and classic. I love</v>
      </c>
    </row>
    <row r="3848">
      <c r="A3848" s="1">
        <v>5.0</v>
      </c>
      <c r="B3848" s="1" t="s">
        <v>3828</v>
      </c>
      <c r="C3848" t="str">
        <f>IFERROR(__xludf.DUMMYFUNCTION("GOOGLETRANSLATE(B3848, ""es"", ""en"")"),"Very good shoes very comfortable")</f>
        <v>Very good shoes very comfortable</v>
      </c>
    </row>
    <row r="3849">
      <c r="A3849" s="1">
        <v>5.0</v>
      </c>
      <c r="B3849" s="1" t="s">
        <v>3829</v>
      </c>
      <c r="C3849" t="str">
        <f>IFERROR(__xludf.DUMMYFUNCTION("GOOGLETRANSLATE(B3849, ""es"", ""en"")"),"Great for all bottles and breast pump We use it every day a couple of times and is the first that does not break with use. It reaches every corner and it seems more hygienic than cleaning sponge. In principle it seems comfortable to clean teats but I bett"&amp;"er grip with a small brush. I recommend it for all dads!")</f>
        <v>Great for all bottles and breast pump We use it every day a couple of times and is the first that does not break with use. It reaches every corner and it seems more hygienic than cleaning sponge. In principle it seems comfortable to clean teats but I better grip with a small brush. I recommend it for all dads!</v>
      </c>
    </row>
    <row r="3850">
      <c r="A3850" s="1">
        <v>5.0</v>
      </c>
      <c r="B3850" s="1" t="s">
        <v>3830</v>
      </c>
      <c r="C3850" t="str">
        <f>IFERROR(__xludf.DUMMYFUNCTION("GOOGLETRANSLATE(B3850, ""es"", ""en"")"),"Good works perfectly, the costs start to learn to handle it but then you can get professional results. It works with Ableton Live")</f>
        <v>Good works perfectly, the costs start to learn to handle it but then you can get professional results. It works with Ableton Live</v>
      </c>
    </row>
    <row r="3851">
      <c r="A3851" s="1">
        <v>5.0</v>
      </c>
      <c r="B3851" s="1" t="s">
        <v>3831</v>
      </c>
      <c r="C3851" t="str">
        <f>IFERROR(__xludf.DUMMYFUNCTION("GOOGLETRANSLATE(B3851, ""es"", ""en"")"),"Perfect buy it again, I love")</f>
        <v>Perfect buy it again, I love</v>
      </c>
    </row>
    <row r="3852">
      <c r="A3852" s="1">
        <v>5.0</v>
      </c>
      <c r="B3852" s="1" t="s">
        <v>3832</v>
      </c>
      <c r="C3852" t="str">
        <f>IFERROR(__xludf.DUMMYFUNCTION("GOOGLETRANSLATE(B3852, ""es"", ""en"")"),"It is very suabe as suabe very nice touch describe in my case. does the job, back pain")</f>
        <v>It is very suabe as suabe very nice touch describe in my case. does the job, back pain</v>
      </c>
    </row>
    <row r="3853">
      <c r="A3853" s="1">
        <v>2.0</v>
      </c>
      <c r="B3853" s="1" t="s">
        <v>3833</v>
      </c>
      <c r="C3853" t="str">
        <f>IFERROR(__xludf.DUMMYFUNCTION("GOOGLETRANSLATE(B3853, ""es"", ""en"")"),"It has major contraindications to consider shipping well as ever. As for the product, I can not comment on their effectiveness, since I bought it for a relative who has rheumatoid arthritis and is specifically contraindicated for people with this disease."&amp;" Also warns use in elderly 55s who can not apply directly to the skin, but they have to put some tissue between the product and skin, for example. a T-shirt.")</f>
        <v>It has major contraindications to consider shipping well as ever. As for the product, I can not comment on their effectiveness, since I bought it for a relative who has rheumatoid arthritis and is specifically contraindicated for people with this disease. Also warns use in elderly 55s who can not apply directly to the skin, but they have to put some tissue between the product and skin, for example. a T-shirt.</v>
      </c>
    </row>
    <row r="3854">
      <c r="A3854" s="1">
        <v>3.0</v>
      </c>
      <c r="B3854" s="1" t="s">
        <v>3834</v>
      </c>
      <c r="C3854" t="str">
        <f>IFERROR(__xludf.DUMMYFUNCTION("GOOGLETRANSLATE(B3854, ""es"", ""en"")"),"Although little resistance is aesthetically beautiful and useful, it looks very edeble and brings folders few sorters (only 5, it notifies the seller) A having so many openings, comes a lot of dirt")</f>
        <v>Although little resistance is aesthetically beautiful and useful, it looks very edeble and brings folders few sorters (only 5, it notifies the seller) A having so many openings, comes a lot of dirt</v>
      </c>
    </row>
    <row r="3855">
      <c r="A3855" s="1">
        <v>3.0</v>
      </c>
      <c r="B3855" s="1" t="s">
        <v>3835</v>
      </c>
      <c r="C3855" t="str">
        <f>IFERROR(__xludf.DUMMYFUNCTION("GOOGLETRANSLATE(B3855, ""es"", ""en"")"),"Not worth Well, for me to understand the screen is small, the steps measures how he wants because it does not distinguish whether you're biking or walking. And heart rate could not say, to not being able to contrast with OTR software is normal.")</f>
        <v>Not worth Well, for me to understand the screen is small, the steps measures how he wants because it does not distinguish whether you're biking or walking. And heart rate could not say, to not being able to contrast with OTR software is normal.</v>
      </c>
    </row>
    <row r="3856">
      <c r="A3856" s="1">
        <v>1.0</v>
      </c>
      <c r="B3856" s="1" t="s">
        <v>3836</v>
      </c>
      <c r="C3856" t="str">
        <f>IFERROR(__xludf.DUMMYFUNCTION("GOOGLETRANSLATE(B3856, ""es"", ""en"")"),"it is not what they sell is skimpy, and not silver, it's junk.")</f>
        <v>it is not what they sell is skimpy, and not silver, it's junk.</v>
      </c>
    </row>
    <row r="3857">
      <c r="A3857" s="1">
        <v>1.0</v>
      </c>
      <c r="B3857" s="1" t="s">
        <v>3837</v>
      </c>
      <c r="C3857" t="str">
        <f>IFERROR(__xludf.DUMMYFUNCTION("GOOGLETRANSLATE(B3857, ""es"", ""en"")"),"Horrible Discomfort is stuck everywhere. I returned")</f>
        <v>Horrible Discomfort is stuck everywhere. I returned</v>
      </c>
    </row>
    <row r="3858">
      <c r="A3858" s="1">
        <v>4.0</v>
      </c>
      <c r="B3858" s="1" t="s">
        <v>3838</v>
      </c>
      <c r="C3858" t="str">
        <f>IFERROR(__xludf.DUMMYFUNCTION("GOOGLETRANSLATE(B3858, ""es"", ""en"")"),"Decent Good product for the price it has. I find it impractical when fixing the components. Get used to it.")</f>
        <v>Decent Good product for the price it has. I find it impractical when fixing the components. Get used to it.</v>
      </c>
    </row>
    <row r="3859">
      <c r="A3859" s="1">
        <v>4.0</v>
      </c>
      <c r="B3859" s="1" t="s">
        <v>3839</v>
      </c>
      <c r="C3859" t="str">
        <f>IFERROR(__xludf.DUMMYFUNCTION("GOOGLETRANSLATE(B3859, ""es"", ""en"")"),"It works properly and is pretty Until now works correctly. I like the lights you have and your appearance in general. Happy with purchase. I did not know whether to buy this or small and now I think I did well because the other should stay very fair.")</f>
        <v>It works properly and is pretty Until now works correctly. I like the lights you have and your appearance in general. Happy with purchase. I did not know whether to buy this or small and now I think I did well because the other should stay very fair.</v>
      </c>
    </row>
    <row r="3860">
      <c r="A3860" s="1">
        <v>4.0</v>
      </c>
      <c r="B3860" s="1" t="s">
        <v>3840</v>
      </c>
      <c r="C3860" t="str">
        <f>IFERROR(__xludf.DUMMYFUNCTION("GOOGLETRANSLATE(B3860, ""es"", ""en"")"),"Perfect for the job suits me very well for the job, it is comfortable and above all quality perfect price! :)")</f>
        <v>Perfect for the job suits me very well for the job, it is comfortable and above all quality perfect price! :)</v>
      </c>
    </row>
    <row r="3861">
      <c r="A3861" s="1">
        <v>4.0</v>
      </c>
      <c r="B3861" s="1" t="s">
        <v>3841</v>
      </c>
      <c r="C3861" t="str">
        <f>IFERROR(__xludf.DUMMYFUNCTION("GOOGLETRANSLATE(B3861, ""es"", ""en"")"),"Nice, although somewhat small for man. Very happy with the quality of the article, although the size is somewhat smaller than I expected, and is perhaps a little small on the wrist of a man, but that's a matter of taste.")</f>
        <v>Nice, although somewhat small for man. Very happy with the quality of the article, although the size is somewhat smaller than I expected, and is perhaps a little small on the wrist of a man, but that's a matter of taste.</v>
      </c>
    </row>
    <row r="3862">
      <c r="A3862" s="1">
        <v>4.0</v>
      </c>
      <c r="B3862" s="1" t="s">
        <v>3842</v>
      </c>
      <c r="C3862" t="str">
        <f>IFERROR(__xludf.DUMMYFUNCTION("GOOGLETRANSLATE(B3862, ""es"", ""en"")"),"Good size a bit fair, acceptable quality. Maybe they should be more explicit with sizes because although I normally use 44 is very fair.")</f>
        <v>Good size a bit fair, acceptable quality. Maybe they should be more explicit with sizes because although I normally use 44 is very fair.</v>
      </c>
    </row>
    <row r="3863">
      <c r="A3863" s="1">
        <v>5.0</v>
      </c>
      <c r="B3863" s="1" t="s">
        <v>3843</v>
      </c>
      <c r="C3863" t="str">
        <f>IFERROR(__xludf.DUMMYFUNCTION("GOOGLETRANSLATE(B3863, ""es"", ""en"")"),"Very nice shoes color and high quality, as expected from Merrell I always ask for a size of more and me is perfect.")</f>
        <v>Very nice shoes color and high quality, as expected from Merrell I always ask for a size of more and me is perfect.</v>
      </c>
    </row>
    <row r="3864">
      <c r="A3864" s="1">
        <v>5.0</v>
      </c>
      <c r="B3864" s="1" t="s">
        <v>3844</v>
      </c>
      <c r="C3864" t="str">
        <f>IFERROR(__xludf.DUMMYFUNCTION("GOOGLETRANSLATE(B3864, ""es"", ""en"")"),"Very Good No can be more beautiful and elegant. If you are looking for a watch to wear, this is ideal. It arrived perfectly and in good condition.")</f>
        <v>Very Good No can be more beautiful and elegant. If you are looking for a watch to wear, this is ideal. It arrived perfectly and in good condition.</v>
      </c>
    </row>
    <row r="3865">
      <c r="A3865" s="1">
        <v>5.0</v>
      </c>
      <c r="B3865" s="1" t="s">
        <v>3845</v>
      </c>
      <c r="C3865" t="str">
        <f>IFERROR(__xludf.DUMMYFUNCTION("GOOGLETRANSLATE(B3865, ""es"", ""en"")"),"Quality gift for my mother. She is very happy. purees does very well. We have not done a lot of things yet. But is quality material. And the suction cups hold the great")</f>
        <v>Quality gift for my mother. She is very happy. purees does very well. We have not done a lot of things yet. But is quality material. And the suction cups hold the great</v>
      </c>
    </row>
    <row r="3866">
      <c r="A3866" s="1">
        <v>5.0</v>
      </c>
      <c r="B3866" s="1" t="s">
        <v>3846</v>
      </c>
      <c r="C3866" t="str">
        <f>IFERROR(__xludf.DUMMYFUNCTION("GOOGLETRANSLATE(B3866, ""es"", ""en"")"),"Very nice Looks good")</f>
        <v>Very nice Looks good</v>
      </c>
    </row>
    <row r="3867">
      <c r="A3867" s="1">
        <v>5.0</v>
      </c>
      <c r="B3867" s="1" t="s">
        <v>3847</v>
      </c>
      <c r="C3867" t="str">
        <f>IFERROR(__xludf.DUMMYFUNCTION("GOOGLETRANSLATE(B3867, ""es"", ""en"")"),"Best Work clogs to work in the health sector and clogs are the best I've had, which is saying a lot because I've had many. It is already the third pair I buy and I'm completely satisfied. The only downside is that eventually the sole wears out and can sli"&amp;"p on some wet floors.")</f>
        <v>Best Work clogs to work in the health sector and clogs are the best I've had, which is saying a lot because I've had many. It is already the third pair I buy and I'm completely satisfied. The only downside is that eventually the sole wears out and can slip on some wet floors.</v>
      </c>
    </row>
    <row r="3868">
      <c r="A3868" s="1">
        <v>5.0</v>
      </c>
      <c r="B3868" s="1" t="s">
        <v>3848</v>
      </c>
      <c r="C3868" t="str">
        <f>IFERROR(__xludf.DUMMYFUNCTION("GOOGLETRANSLATE(B3868, ""es"", ""en"")"),"Torn pieces to liquefy when food perfect size for all the family, there are no lumps when making smoothies, ideal for baby food for little kids")</f>
        <v>Torn pieces to liquefy when food perfect size for all the family, there are no lumps when making smoothies, ideal for baby food for little kids</v>
      </c>
    </row>
    <row r="3869">
      <c r="A3869" s="1">
        <v>5.0</v>
      </c>
      <c r="B3869" s="1" t="s">
        <v>3849</v>
      </c>
      <c r="C3869" t="str">
        <f>IFERROR(__xludf.DUMMYFUNCTION("GOOGLETRANSLATE(B3869, ""es"", ""en"")"),"Expectations covered was a reglao")</f>
        <v>Expectations covered was a reglao</v>
      </c>
    </row>
    <row r="3870">
      <c r="A3870" s="1">
        <v>5.0</v>
      </c>
      <c r="B3870" s="1" t="s">
        <v>3850</v>
      </c>
      <c r="C3870" t="str">
        <f>IFERROR(__xludf.DUMMYFUNCTION("GOOGLETRANSLATE(B3870, ""es"", ""en"")"),"Ótimo Muito prático")</f>
        <v>Ótimo Muito prático</v>
      </c>
    </row>
    <row r="3871">
      <c r="A3871" s="1">
        <v>5.0</v>
      </c>
      <c r="B3871" s="1" t="s">
        <v>3851</v>
      </c>
      <c r="C3871" t="str">
        <f>IFERROR(__xludf.DUMMYFUNCTION("GOOGLETRANSLATE(B3871, ""es"", ""en"")"),"Great great invention for those who do not have an amplifier hand, I would like to have access to PC but the price is more than enough.")</f>
        <v>Great great invention for those who do not have an amplifier hand, I would like to have access to PC but the price is more than enough.</v>
      </c>
    </row>
    <row r="3872">
      <c r="A3872" s="1">
        <v>5.0</v>
      </c>
      <c r="B3872" s="1" t="s">
        <v>3852</v>
      </c>
      <c r="C3872" t="str">
        <f>IFERROR(__xludf.DUMMYFUNCTION("GOOGLETRANSLATE(B3872, ""es"", ""en"")"),"Pediatrician recommended me for colic. By far the best I've tasted, bálvula avoids that air.")</f>
        <v>Pediatrician recommended me for colic. By far the best I've tasted, bálvula avoids that air.</v>
      </c>
    </row>
    <row r="3873">
      <c r="A3873" s="1">
        <v>5.0</v>
      </c>
      <c r="B3873" s="1" t="s">
        <v>3853</v>
      </c>
      <c r="C3873" t="str">
        <f>IFERROR(__xludf.DUMMYFUNCTION("GOOGLETRANSLATE(B3873, ""es"", ""en"")"),"Good expansion for PS4 I've purchased to expand the disc PS4 and have not had any problems. It seems that the games load a little faster but there is not much difference")</f>
        <v>Good expansion for PS4 I've purchased to expand the disc PS4 and have not had any problems. It seems that the games load a little faster but there is not much difference</v>
      </c>
    </row>
    <row r="3874">
      <c r="A3874" s="1">
        <v>5.0</v>
      </c>
      <c r="B3874" s="1" t="s">
        <v>3854</v>
      </c>
      <c r="C3874" t="str">
        <f>IFERROR(__xludf.DUMMYFUNCTION("GOOGLETRANSLATE(B3874, ""es"", ""en"")"),"My favorite Who does not know the brand Crocs, clogs són excellent, very comfortable, years ago and I repeat that I use when I need them. Very good price on promotion. I recommend it.")</f>
        <v>My favorite Who does not know the brand Crocs, clogs són excellent, very comfortable, years ago and I repeat that I use when I need them. Very good price on promotion. I recommend it.</v>
      </c>
    </row>
    <row r="3875">
      <c r="A3875" s="1">
        <v>5.0</v>
      </c>
      <c r="B3875" s="1" t="s">
        <v>3855</v>
      </c>
      <c r="C3875" t="str">
        <f>IFERROR(__xludf.DUMMYFUNCTION("GOOGLETRANSLATE(B3875, ""es"", ""en"")"),"Perfect for a child Good watch with alarm, stopwatch, countdown, etc.")</f>
        <v>Perfect for a child Good watch with alarm, stopwatch, countdown, etc.</v>
      </c>
    </row>
    <row r="3876">
      <c r="A3876" s="1">
        <v>5.0</v>
      </c>
      <c r="B3876" s="1" t="s">
        <v>3856</v>
      </c>
      <c r="C3876" t="str">
        <f>IFERROR(__xludf.DUMMYFUNCTION("GOOGLETRANSLATE(B3876, ""es"", ""en"")"),"Silent is quiet enough not to disturb anyone in the house who is sleeping. I buy it because I get up very early and I like to make juice every morning, so it's perfect because it does not bother, those who sleep do not hear, nor being at the side of the k"&amp;"itchen. It is easy to clean, only three pieces and easy to put on.")</f>
        <v>Silent is quiet enough not to disturb anyone in the house who is sleeping. I buy it because I get up very early and I like to make juice every morning, so it's perfect because it does not bother, those who sleep do not hear, nor being at the side of the kitchen. It is easy to clean, only three pieces and easy to put on.</v>
      </c>
    </row>
    <row r="3877">
      <c r="A3877" s="1">
        <v>5.0</v>
      </c>
      <c r="B3877" s="1" t="s">
        <v>3857</v>
      </c>
      <c r="C3877" t="str">
        <f>IFERROR(__xludf.DUMMYFUNCTION("GOOGLETRANSLATE(B3877, ""es"", ""en"")"),"Cleats quality. If you're tired of pulling staples or remaining medium-stapled comprate these, ranging from luxury Stapler Esselte Leitz 55020095 is a cucumber and so far I have not thrown or over and all staples luxury van and few things will since they "&amp;"can withstand large thicknesses of paper clip.")</f>
        <v>Cleats quality. If you're tired of pulling staples or remaining medium-stapled comprate these, ranging from luxury Stapler Esselte Leitz 55020095 is a cucumber and so far I have not thrown or over and all staples luxury van and few things will since they can withstand large thicknesses of paper clip.</v>
      </c>
    </row>
    <row r="3878">
      <c r="A3878" s="1">
        <v>5.0</v>
      </c>
      <c r="B3878" s="1" t="s">
        <v>3858</v>
      </c>
      <c r="C3878" t="str">
        <f>IFERROR(__xludf.DUMMYFUNCTION("GOOGLETRANSLATE(B3878, ""es"", ""en"")"),"Buy Perfect Perfect in size. Vans are, so if you know you know its quality. They are very good.")</f>
        <v>Buy Perfect Perfect in size. Vans are, so if you know you know its quality. They are very good.</v>
      </c>
    </row>
    <row r="3879">
      <c r="A3879" s="1">
        <v>5.0</v>
      </c>
      <c r="B3879" s="1" t="s">
        <v>3859</v>
      </c>
      <c r="C3879" t="str">
        <f>IFERROR(__xludf.DUMMYFUNCTION("GOOGLETRANSLATE(B3879, ""es"", ""en"")"),"Braun blender good, as always brand blenders lifetime. Very complete with glass picador, the boat, the rods and foot blades.")</f>
        <v>Braun blender good, as always brand blenders lifetime. Very complete with glass picador, the boat, the rods and foot blades.</v>
      </c>
    </row>
    <row r="3880">
      <c r="A3880" s="1">
        <v>5.0</v>
      </c>
      <c r="B3880" s="1" t="s">
        <v>3860</v>
      </c>
      <c r="C3880" t="str">
        <f>IFERROR(__xludf.DUMMYFUNCTION("GOOGLETRANSLATE(B3880, ""es"", ""en"")"),"Fast shipping perfect, 3 pairs of ball earrings of different sizes. 925 silver.")</f>
        <v>Fast shipping perfect, 3 pairs of ball earrings of different sizes. 925 silver.</v>
      </c>
    </row>
    <row r="3881">
      <c r="A3881" s="1">
        <v>5.0</v>
      </c>
      <c r="B3881" s="1" t="s">
        <v>3861</v>
      </c>
      <c r="C3881" t="str">
        <f>IFERROR(__xludf.DUMMYFUNCTION("GOOGLETRANSLATE(B3881, ""es"", ""en"")"),"Perfect little comfortable, lightweight and very comfortable to wear engagement on the key fob.")</f>
        <v>Perfect little comfortable, lightweight and very comfortable to wear engagement on the key fob.</v>
      </c>
    </row>
    <row r="3882">
      <c r="A3882" s="1">
        <v>2.0</v>
      </c>
      <c r="B3882" s="1" t="s">
        <v>3862</v>
      </c>
      <c r="C3882" t="str">
        <f>IFERROR(__xludf.DUMMYFUNCTION("GOOGLETRANSLATE(B3882, ""es"", ""en"")"),"The hands are not Luminescent The watch arrived on time and in good condition and packaging, the watch has a size of 34mm circle clear plastic, about 40 mm in total diameter. In short, a simple clock, good size and lasting hope ... we'll see, ideal as clo"&amp;"ck battle. For me the big drawback is that the hands are not Luminescent, go at night you can not wait.")</f>
        <v>The hands are not Luminescent The watch arrived on time and in good condition and packaging, the watch has a size of 34mm circle clear plastic, about 40 mm in total diameter. In short, a simple clock, good size and lasting hope ... we'll see, ideal as clock battle. For me the big drawback is that the hands are not Luminescent, go at night you can not wait.</v>
      </c>
    </row>
    <row r="3883">
      <c r="A3883" s="1">
        <v>3.0</v>
      </c>
      <c r="B3883" s="1" t="s">
        <v>3863</v>
      </c>
      <c r="C3883" t="str">
        <f>IFERROR(__xludf.DUMMYFUNCTION("GOOGLETRANSLATE(B3883, ""es"", ""en"")"),"Delivers what it claims to be. Subject very well My Band 3 is not difficult to assemble and disassemble and watch strap type can wear it and take it off easily. But for some reason just let transmit vibration to the wrist preventing know when you have a n"&amp;"otification, which limits most useful I've searched with My Band. It could be manufactured by metal.")</f>
        <v>Delivers what it claims to be. Subject very well My Band 3 is not difficult to assemble and disassemble and watch strap type can wear it and take it off easily. But for some reason just let transmit vibration to the wrist preventing know when you have a notification, which limits most useful I've searched with My Band. It could be manufactured by metal.</v>
      </c>
    </row>
    <row r="3884">
      <c r="A3884" s="1">
        <v>1.0</v>
      </c>
      <c r="B3884" s="1" t="s">
        <v>3864</v>
      </c>
      <c r="C3884" t="str">
        <f>IFERROR(__xludf.DUMMYFUNCTION("GOOGLETRANSLATE(B3884, ""es"", ""en"")"),"I do not recommend anything disappointment. Most detached and photos can not be put right. So it's nice out, that failure is great.")</f>
        <v>I do not recommend anything disappointment. Most detached and photos can not be put right. So it's nice out, that failure is great.</v>
      </c>
    </row>
    <row r="3885">
      <c r="A3885" s="1">
        <v>1.0</v>
      </c>
      <c r="B3885" s="1" t="s">
        <v>3865</v>
      </c>
      <c r="C3885" t="str">
        <f>IFERROR(__xludf.DUMMYFUNCTION("GOOGLETRANSLATE(B3885, ""es"", ""en"")"),"Poor quality poor quality. I could not return")</f>
        <v>Poor quality poor quality. I could not return</v>
      </c>
    </row>
    <row r="3886">
      <c r="A3886" s="1">
        <v>1.0</v>
      </c>
      <c r="B3886" s="1" t="s">
        <v>3866</v>
      </c>
      <c r="C3886" t="str">
        <f>IFERROR(__xludf.DUMMYFUNCTION("GOOGLETRANSLATE(B3886, ""es"", ""en"")"),"Headphones come as original but nothing to do with the original micro the person who hears you hears you like you're on a street with a lot of noise and traffic")</f>
        <v>Headphones come as original but nothing to do with the original micro the person who hears you hears you like you're on a street with a lot of noise and traffic</v>
      </c>
    </row>
    <row r="3887">
      <c r="A3887" s="1">
        <v>4.0</v>
      </c>
      <c r="B3887" s="1" t="s">
        <v>3867</v>
      </c>
      <c r="C3887" t="str">
        <f>IFERROR(__xludf.DUMMYFUNCTION("GOOGLETRANSLATE(B3887, ""es"", ""en"")"),"Very good is a brush with hard bristles and is fine, but for what I wanted me not much, which is in the crack in the bath screen, the bristles fall short. But it is very good")</f>
        <v>Very good is a brush with hard bristles and is fine, but for what I wanted me not much, which is in the crack in the bath screen, the bristles fall short. But it is very good</v>
      </c>
    </row>
    <row r="3888">
      <c r="A3888" s="1">
        <v>4.0</v>
      </c>
      <c r="B3888" s="1" t="s">
        <v>3868</v>
      </c>
      <c r="C3888" t="str">
        <f>IFERROR(__xludf.DUMMYFUNCTION("GOOGLETRANSLATE(B3888, ""es"", ""en"")"),"Very good shoe I've just one day with these boots, but they are very good. The pedi a smaller number, use Pedi 42 and 41, following the comments and have successful, you still are a little big ... I am not if you had to have asked for 40, but I put some t"&amp;"emplates and are much better. The only ship in one day so perfect q !!! I hope withstand much .. :)")</f>
        <v>Very good shoe I've just one day with these boots, but they are very good. The pedi a smaller number, use Pedi 42 and 41, following the comments and have successful, you still are a little big ... I am not if you had to have asked for 40, but I put some templates and are much better. The only ship in one day so perfect q !!! I hope withstand much .. :)</v>
      </c>
    </row>
    <row r="3889">
      <c r="A3889" s="1">
        <v>4.0</v>
      </c>
      <c r="B3889" s="1" t="s">
        <v>3869</v>
      </c>
      <c r="C3889" t="str">
        <f>IFERROR(__xludf.DUMMYFUNCTION("GOOGLETRANSLATE(B3889, ""es"", ""en"")"),"Blender was delighted with this product but broke my battery and can not replace it, I'll have to buy the entire apparatus. If it is vetoed that I used a lot but less than a year buy it, do not know if it was bad luck or poor quality .... I still think I'"&amp;"ll give it another try and remove as it was very happy and I it seems extremely comfortable to use.")</f>
        <v>Blender was delighted with this product but broke my battery and can not replace it, I'll have to buy the entire apparatus. If it is vetoed that I used a lot but less than a year buy it, do not know if it was bad luck or poor quality .... I still think I'll give it another try and remove as it was very happy and I it seems extremely comfortable to use.</v>
      </c>
    </row>
    <row r="3890">
      <c r="A3890" s="1">
        <v>4.0</v>
      </c>
      <c r="B3890" s="1" t="s">
        <v>3870</v>
      </c>
      <c r="C3890" t="str">
        <f>IFERROR(__xludf.DUMMYFUNCTION("GOOGLETRANSLATE(B3890, ""es"", ""en"")"),"The magnificent clock watch I liked more than I expected when I made the order. I thought it was completely black but has a blue portion around the sphere that looks good. The size is perfect, neither too large nor pequeño.Lo I have not tried is still the"&amp;" tides, but the phenomenal works including loading rest with the sun. I recommend it")</f>
        <v>The magnificent clock watch I liked more than I expected when I made the order. I thought it was completely black but has a blue portion around the sphere that looks good. The size is perfect, neither too large nor pequeño.Lo I have not tried is still the tides, but the phenomenal works including loading rest with the sun. I recommend it</v>
      </c>
    </row>
    <row r="3891">
      <c r="A3891" s="1">
        <v>4.0</v>
      </c>
      <c r="B3891" s="1" t="s">
        <v>3871</v>
      </c>
      <c r="C3891" t="str">
        <f>IFERROR(__xludf.DUMMYFUNCTION("GOOGLETRANSLATE(B3891, ""es"", ""en"")"),"It is functional does not engage me well")</f>
        <v>It is functional does not engage me well</v>
      </c>
    </row>
    <row r="3892">
      <c r="A3892" s="1">
        <v>5.0</v>
      </c>
      <c r="B3892" s="1" t="s">
        <v>3872</v>
      </c>
      <c r="C3892" t="str">
        <f>IFERROR(__xludf.DUMMYFUNCTION("GOOGLETRANSLATE(B3892, ""es"", ""en"")"),"Fulfills its purpose After having tried several similar headphones, these have been those that have come closest to what I wanted, mainly ergonomics and clamping element to the ear that is critical from my point of view for sports. I recommend it. The onl"&amp;"y negative point is that the battery is fully discharged even if the display indicator that is half (takes about 6-7 hours) and distance mobile has to be close as 2 meters and lost the connection.")</f>
        <v>Fulfills its purpose After having tried several similar headphones, these have been those that have come closest to what I wanted, mainly ergonomics and clamping element to the ear that is critical from my point of view for sports. I recommend it. The only negative point is that the battery is fully discharged even if the display indicator that is half (takes about 6-7 hours) and distance mobile has to be close as 2 meters and lost the connection.</v>
      </c>
    </row>
    <row r="3893">
      <c r="A3893" s="1">
        <v>5.0</v>
      </c>
      <c r="B3893" s="1" t="s">
        <v>3873</v>
      </c>
      <c r="C3893" t="str">
        <f>IFERROR(__xludf.DUMMYFUNCTION("GOOGLETRANSLATE(B3893, ""es"", ""en"")"),"Very pretty original different forms are a perfect complement to my unique keychains.")</f>
        <v>Very pretty original different forms are a perfect complement to my unique keychains.</v>
      </c>
    </row>
    <row r="3894">
      <c r="A3894" s="1">
        <v>5.0</v>
      </c>
      <c r="B3894" s="1" t="s">
        <v>3874</v>
      </c>
      <c r="C3894" t="str">
        <f>IFERROR(__xludf.DUMMYFUNCTION("GOOGLETRANSLATE(B3894, ""es"", ""en"")"),"It's very nice very nice. Although it should be a little careful with the corners because they break")</f>
        <v>It's very nice very nice. Although it should be a little careful with the corners because they break</v>
      </c>
    </row>
    <row r="3895">
      <c r="A3895" s="1">
        <v>5.0</v>
      </c>
      <c r="B3895" s="1" t="s">
        <v>3875</v>
      </c>
      <c r="C3895" t="str">
        <f>IFERROR(__xludf.DUMMYFUNCTION("GOOGLETRANSLATE(B3895, ""es"", ""en"")"),"Nike I look good is just the size that calzo and slippers came in perfect condition, Teni sun hurts me right on top of the foot .....")</f>
        <v>Nike I look good is just the size that calzo and slippers came in perfect condition, Teni sun hurts me right on top of the foot .....</v>
      </c>
    </row>
    <row r="3896">
      <c r="A3896" s="1">
        <v>5.0</v>
      </c>
      <c r="B3896" s="1" t="s">
        <v>3876</v>
      </c>
      <c r="C3896" t="str">
        <f>IFERROR(__xludf.DUMMYFUNCTION("GOOGLETRANSLATE(B3896, ""es"", ""en"")"),"Beautiful is beautiful, I've given to my mother for her birthday and is delighted.")</f>
        <v>Beautiful is beautiful, I've given to my mother for her birthday and is delighted.</v>
      </c>
    </row>
    <row r="3897">
      <c r="A3897" s="1">
        <v>5.0</v>
      </c>
      <c r="B3897" s="1" t="s">
        <v>3877</v>
      </c>
      <c r="C3897" t="str">
        <f>IFERROR(__xludf.DUMMYFUNCTION("GOOGLETRANSLATE(B3897, ""es"", ""en"")"),"Worth every euro spent ... no buts. Worth every euro that I have spent on them, good no, this ... While running do not have much worth because trotting and breathe all the time with his mouth open I closed the pinna and just hear music, I'm botched what w"&amp;"e do ... on the other hand use out of this case it was a luxurious experience that sound great, can not say, the bass is deep and treble very clear, yes, I am using a software my Smartphone to listen to music freak. By the way, the pairing did the first, "&amp;"with no complications at all. Another point is that insulate well from outside noise, and on the subway or in the bustle of the street is not heard nothing at bottom, not transmission short, no click or rare ostias heard, just a clean sound. Another flipa"&amp;"da is autonomy, a ridiculous hours in both hulls and the box save where by the way we see the remaining charge approximate percentage terms, this in principle was what I did decantarme for helmets but then you realize you also get marks in the same smartp"&amp;"hone. Ah! You can use the box as a power bank is fine but it is not something to be used but if you ever roll you stay as well ... I do not know what else to say that you can not read, sweat and enduring all that's true and they are also comfortable becau"&amp;"se they do not weigh anything. Anyway ... Delighted with purchase, chin-pom !!!")</f>
        <v>Worth every euro spent ... no buts. Worth every euro that I have spent on them, good no, this ... While running do not have much worth because trotting and breathe all the time with his mouth open I closed the pinna and just hear music, I'm botched what we do ... on the other hand use out of this case it was a luxurious experience that sound great, can not say, the bass is deep and treble very clear, yes, I am using a software my Smartphone to listen to music freak. By the way, the pairing did the first, with no complications at all. Another point is that insulate well from outside noise, and on the subway or in the bustle of the street is not heard nothing at bottom, not transmission short, no click or rare ostias heard, just a clean sound. Another flipada is autonomy, a ridiculous hours in both hulls and the box save where by the way we see the remaining charge approximate percentage terms, this in principle was what I did decantarme for helmets but then you realize you also get marks in the same smartphone. Ah! You can use the box as a power bank is fine but it is not something to be used but if you ever roll you stay as well ... I do not know what else to say that you can not read, sweat and enduring all that's true and they are also comfortable because they do not weigh anything. Anyway ... Delighted with purchase, chin-pom !!!</v>
      </c>
    </row>
    <row r="3898">
      <c r="A3898" s="1">
        <v>5.0</v>
      </c>
      <c r="B3898" s="1" t="s">
        <v>3878</v>
      </c>
      <c r="C3898" t="str">
        <f>IFERROR(__xludf.DUMMYFUNCTION("GOOGLETRANSLATE(B3898, ""es"", ""en"")"),"Beautiful, strong and precise, I love it !! The clock is beautiful, wonderful ... and it works Fabula. I have a few days with wrist without take it off even to sleep, and it is going to the millimeter, great. In my wrist is 19cm of scandal, and very color"&amp;"ful ... recommended for people who have a large doll.")</f>
        <v>Beautiful, strong and precise, I love it !! The clock is beautiful, wonderful ... and it works Fabula. I have a few days with wrist without take it off even to sleep, and it is going to the millimeter, great. In my wrist is 19cm of scandal, and very colorful ... recommended for people who have a large doll.</v>
      </c>
    </row>
    <row r="3899">
      <c r="A3899" s="1">
        <v>5.0</v>
      </c>
      <c r="B3899" s="1" t="s">
        <v>3879</v>
      </c>
      <c r="C3899" t="str">
        <f>IFERROR(__xludf.DUMMYFUNCTION("GOOGLETRANSLATE(B3899, ""es"", ""en"")"),"Very comfortable Ideal")</f>
        <v>Very comfortable Ideal</v>
      </c>
    </row>
    <row r="3900">
      <c r="A3900" s="1">
        <v>5.0</v>
      </c>
      <c r="B3900" s="1" t="s">
        <v>3880</v>
      </c>
      <c r="C3900" t="str">
        <f>IFERROR(__xludf.DUMMYFUNCTION("GOOGLETRANSLATE(B3900, ""es"", ""en"")"),"Highly recommended!!! Excellent! I use an iPad 3 and Garatge band is fantastic! It is super recommended, unbeatable value for money! With the iPad beats no way, and on a pc with win10 has an almost negligible delay! X plus size lets you play pretty well b"&amp;"ecause 32 is better than 25 keys and is very compact to carry anywhere! Very happy and I recommend it with your eyes closed! Cheers")</f>
        <v>Highly recommended!!! Excellent! I use an iPad 3 and Garatge band is fantastic! It is super recommended, unbeatable value for money! With the iPad beats no way, and on a pc with win10 has an almost negligible delay! X plus size lets you play pretty well because 32 is better than 25 keys and is very compact to carry anywhere! Very happy and I recommend it with your eyes closed! Cheers</v>
      </c>
    </row>
    <row r="3901">
      <c r="A3901" s="1">
        <v>5.0</v>
      </c>
      <c r="B3901" s="1" t="s">
        <v>3881</v>
      </c>
      <c r="C3901" t="str">
        <f>IFERROR(__xludf.DUMMYFUNCTION("GOOGLETRANSLATE(B3901, ""es"", ""en"")"),"Ok Fantastic")</f>
        <v>Ok Fantastic</v>
      </c>
    </row>
    <row r="3902">
      <c r="A3902" s="1">
        <v>5.0</v>
      </c>
      <c r="B3902" s="1" t="s">
        <v>3882</v>
      </c>
      <c r="C3902" t="str">
        <f>IFERROR(__xludf.DUMMYFUNCTION("GOOGLETRANSLATE(B3902, ""es"", ""en"")"),"thumbs up! The heat relieves muscle pain and cervical contractures. It heats up very fast and automatically shuts down if you forget plugged. A flexible be, adapts well to various parts of the body. I not yet washed, and then do not really tell if you can"&amp;" put in the washer as they say.")</f>
        <v>thumbs up! The heat relieves muscle pain and cervical contractures. It heats up very fast and automatically shuts down if you forget plugged. A flexible be, adapts well to various parts of the body. I not yet washed, and then do not really tell if you can put in the washer as they say.</v>
      </c>
    </row>
    <row r="3903">
      <c r="A3903" s="1">
        <v>5.0</v>
      </c>
      <c r="B3903" s="1" t="s">
        <v>3883</v>
      </c>
      <c r="C3903" t="str">
        <f>IFERROR(__xludf.DUMMYFUNCTION("GOOGLETRANSLATE(B3903, ""es"", ""en"")"),"Great great, has a very nice design, not noisy and is divided into three parts the plant is so water does not spill also brings to put timer. I recommend it 100%")</f>
        <v>Great great, has a very nice design, not noisy and is divided into three parts the plant is so water does not spill also brings to put timer. I recommend it 100%</v>
      </c>
    </row>
    <row r="3904">
      <c r="A3904" s="1">
        <v>5.0</v>
      </c>
      <c r="B3904" s="1" t="s">
        <v>3884</v>
      </c>
      <c r="C3904" t="str">
        <f>IFERROR(__xludf.DUMMYFUNCTION("GOOGLETRANSLATE(B3904, ""es"", ""en"")"),"Excellent Very good quality and comfort")</f>
        <v>Excellent Very good quality and comfort</v>
      </c>
    </row>
    <row r="3905">
      <c r="A3905" s="1">
        <v>5.0</v>
      </c>
      <c r="B3905" s="1" t="s">
        <v>3885</v>
      </c>
      <c r="C3905" t="str">
        <f>IFERROR(__xludf.DUMMYFUNCTION("GOOGLETRANSLATE(B3905, ""es"", ""en"")"),"color design and not weight")</f>
        <v>color design and not weight</v>
      </c>
    </row>
    <row r="3906">
      <c r="A3906" s="1">
        <v>5.0</v>
      </c>
      <c r="B3906" s="1" t="s">
        <v>3886</v>
      </c>
      <c r="C3906" t="str">
        <f>IFERROR(__xludf.DUMMYFUNCTION("GOOGLETRANSLATE(B3906, ""es"", ""en"")"),"I enjoyed very cool and d quality. It was for a gift and the person you loved Asique very happy. And the order came to me very quickly and pertinent Pandora bag.")</f>
        <v>I enjoyed very cool and d quality. It was for a gift and the person you loved Asique very happy. And the order came to me very quickly and pertinent Pandora bag.</v>
      </c>
    </row>
    <row r="3907">
      <c r="A3907" s="1">
        <v>5.0</v>
      </c>
      <c r="B3907" s="1" t="s">
        <v>3887</v>
      </c>
      <c r="C3907" t="str">
        <f>IFERROR(__xludf.DUMMYFUNCTION("GOOGLETRANSLATE(B3907, ""es"", ""en"")"),"Recommended 100% everyday at work, I recommend it, weightless and comfortable")</f>
        <v>Recommended 100% everyday at work, I recommend it, weightless and comfortable</v>
      </c>
    </row>
    <row r="3908">
      <c r="A3908" s="1">
        <v>5.0</v>
      </c>
      <c r="B3908" s="1" t="s">
        <v>3888</v>
      </c>
      <c r="C3908" t="str">
        <f>IFERROR(__xludf.DUMMYFUNCTION("GOOGLETRANSLATE(B3908, ""es"", ""en"")"),"Very conductive and durable as always Noctua offers the best and this is no exception, highly conductive thermal paste, consistent and durable.")</f>
        <v>Very conductive and durable as always Noctua offers the best and this is no exception, highly conductive thermal paste, consistent and durable.</v>
      </c>
    </row>
    <row r="3909">
      <c r="A3909" s="1">
        <v>5.0</v>
      </c>
      <c r="B3909" s="1" t="s">
        <v>3889</v>
      </c>
      <c r="C3909" t="str">
        <f>IFERROR(__xludf.DUMMYFUNCTION("GOOGLETRANSLATE(B3909, ""es"", ""en"")"),"Small and compact I was surprised how small they are, both the handset and the transport box are really compact, very easy to carry anywhere. As for connectivity, it is compatible with Android and iPhone and very fast and easy to connect to the first. For"&amp;" sports can be less comfortable than expected for its size, at the least in my case.")</f>
        <v>Small and compact I was surprised how small they are, both the handset and the transport box are really compact, very easy to carry anywhere. As for connectivity, it is compatible with Android and iPhone and very fast and easy to connect to the first. For sports can be less comfortable than expected for its size, at the least in my case.</v>
      </c>
    </row>
    <row r="3910">
      <c r="A3910" s="1">
        <v>5.0</v>
      </c>
      <c r="B3910" s="1" t="s">
        <v>3890</v>
      </c>
      <c r="C3910" t="str">
        <f>IFERROR(__xludf.DUMMYFUNCTION("GOOGLETRANSLATE(B3910, ""es"", ""en"")"),"very good money writing this after buying the handset quite some time. The battery lasts as the first day, the sound quality is still very good, is loaded in a very short time. Connectivity both iOS and Android as well. My wife is the one who uses it says"&amp;" what is delighted and it is very simple to use. I would buy.")</f>
        <v>very good money writing this after buying the handset quite some time. The battery lasts as the first day, the sound quality is still very good, is loaded in a very short time. Connectivity both iOS and Android as well. My wife is the one who uses it says what is delighted and it is very simple to use. I would buy.</v>
      </c>
    </row>
    <row r="3911">
      <c r="A3911" s="1">
        <v>2.0</v>
      </c>
      <c r="B3911" s="1" t="s">
        <v>3891</v>
      </c>
      <c r="C3911" t="str">
        <f>IFERROR(__xludf.DUMMYFUNCTION("GOOGLETRANSLATE(B3911, ""es"", ""en"")"),"Does not adjust well to the micro Blue Yeti I use it with a microphone Blue Yeti and the setting is not stable even though the base is quite robust. It is released by looking at it and detuned too easily.")</f>
        <v>Does not adjust well to the micro Blue Yeti I use it with a microphone Blue Yeti and the setting is not stable even though the base is quite robust. It is released by looking at it and detuned too easily.</v>
      </c>
    </row>
    <row r="3912">
      <c r="A3912" s="1">
        <v>3.0</v>
      </c>
      <c r="B3912" s="1" t="s">
        <v>3892</v>
      </c>
      <c r="C3912" t="str">
        <f>IFERROR(__xludf.DUMMYFUNCTION("GOOGLETRANSLATE(B3912, ""es"", ""en"")"),"Marks have been used This article has spots and all the signs of having been used before when I had bought it new.")</f>
        <v>Marks have been used This article has spots and all the signs of having been used before when I had bought it new.</v>
      </c>
    </row>
    <row r="3913">
      <c r="A3913" s="1">
        <v>3.0</v>
      </c>
      <c r="B3913" s="1" t="s">
        <v>3893</v>
      </c>
      <c r="C3913" t="str">
        <f>IFERROR(__xludf.DUMMYFUNCTION("GOOGLETRANSLATE(B3913, ""es"", ""en"")"),"Disappointing Buy the product because it had already used this brand before but lumbar worst now I've noticed is that it takes too long to heat up and if this is added the fact that peels off both edges that is a total disappointment, shipping was very fa"&amp;"st insist feedback is for the product is not the seller.")</f>
        <v>Disappointing Buy the product because it had already used this brand before but lumbar worst now I've noticed is that it takes too long to heat up and if this is added the fact that peels off both edges that is a total disappointment, shipping was very fast insist feedback is for the product is not the seller.</v>
      </c>
    </row>
    <row r="3914">
      <c r="A3914" s="1">
        <v>3.0</v>
      </c>
      <c r="B3914" s="1" t="s">
        <v>3894</v>
      </c>
      <c r="C3914" t="str">
        <f>IFERROR(__xludf.DUMMYFUNCTION("GOOGLETRANSLATE(B3914, ""es"", ""en"")"),"Great is too large")</f>
        <v>Great is too large</v>
      </c>
    </row>
    <row r="3915">
      <c r="A3915" s="1">
        <v>1.0</v>
      </c>
      <c r="B3915" s="1" t="s">
        <v>3895</v>
      </c>
      <c r="C3915" t="str">
        <f>IFERROR(__xludf.DUMMYFUNCTION("GOOGLETRANSLATE(B3915, ""es"", ""en"")"),"It did not help me From the first moment, about every 10 to 15 minutes, the system stops responding for more than 10 seconds. In addition, the restart appear increasingly new disk errors that prevent booting the system until they are corrected with a disc"&amp;" external start. I relocated the old disk and works perfectly proceed to its return")</f>
        <v>It did not help me From the first moment, about every 10 to 15 minutes, the system stops responding for more than 10 seconds. In addition, the restart appear increasingly new disk errors that prevent booting the system until they are corrected with a disc external start. I relocated the old disk and works perfectly proceed to its return</v>
      </c>
    </row>
    <row r="3916">
      <c r="A3916" s="1">
        <v>1.0</v>
      </c>
      <c r="B3916" s="1" t="s">
        <v>3896</v>
      </c>
      <c r="C3916" t="str">
        <f>IFERROR(__xludf.DUMMYFUNCTION("GOOGLETRANSLATE(B3916, ""es"", ""en"")"),"Recording very bad warm, as mobile handsets. It is of very low quality. There are microphones that cost the same (although only comes you micro) worth much more worthwhile. I have not returned by the arm, filter and subject, but the micro is lousy. Just b"&amp;"ought another because the better you record with the same mobile.")</f>
        <v>Recording very bad warm, as mobile handsets. It is of very low quality. There are microphones that cost the same (although only comes you micro) worth much more worthwhile. I have not returned by the arm, filter and subject, but the micro is lousy. Just bought another because the better you record with the same mobile.</v>
      </c>
    </row>
    <row r="3917">
      <c r="A3917" s="1">
        <v>4.0</v>
      </c>
      <c r="B3917" s="1" t="s">
        <v>3897</v>
      </c>
      <c r="C3917" t="str">
        <f>IFERROR(__xludf.DUMMYFUNCTION("GOOGLETRANSLATE(B3917, ""es"", ""en"")"),"beautiful Perfect")</f>
        <v>beautiful Perfect</v>
      </c>
    </row>
    <row r="3918">
      <c r="A3918" s="1">
        <v>4.0</v>
      </c>
      <c r="B3918" s="1" t="s">
        <v>3898</v>
      </c>
      <c r="C3918" t="str">
        <f>IFERROR(__xludf.DUMMYFUNCTION("GOOGLETRANSLATE(B3918, ""es"", ""en"")"),"No problem I bought the pack of 10 bottles of 8GB. Han arrived quickly and well packaged. I did not trust me as much, I tried ten on the computer: it costs to introduce them, recognize them all, and all I could get some image and open it without problem. "&amp;"Capacity at all is correct: 8GB and a little more even. They are for use later and deliver jobs to customers, so if one fails check my comment! I recommend itself the moment.")</f>
        <v>No problem I bought the pack of 10 bottles of 8GB. Han arrived quickly and well packaged. I did not trust me as much, I tried ten on the computer: it costs to introduce them, recognize them all, and all I could get some image and open it without problem. Capacity at all is correct: 8GB and a little more even. They are for use later and deliver jobs to customers, so if one fails check my comment! I recommend itself the moment.</v>
      </c>
    </row>
    <row r="3919">
      <c r="A3919" s="1">
        <v>4.0</v>
      </c>
      <c r="B3919" s="1" t="s">
        <v>3899</v>
      </c>
      <c r="C3919" t="str">
        <f>IFERROR(__xludf.DUMMYFUNCTION("GOOGLETRANSLATE(B3919, ""es"", ""en"")"),"Buenos pants and good price Use these pants to play paddle tennis, I like and are good quality. The only but is having excessively large pockets, anything you throw at them, the second step you and completely stands under pants.")</f>
        <v>Buenos pants and good price Use these pants to play paddle tennis, I like and are good quality. The only but is having excessively large pockets, anything you throw at them, the second step you and completely stands under pants.</v>
      </c>
    </row>
    <row r="3920">
      <c r="A3920" s="1">
        <v>4.0</v>
      </c>
      <c r="B3920" s="1" t="s">
        <v>3900</v>
      </c>
      <c r="C3920" t="str">
        <f>IFERROR(__xludf.DUMMYFUNCTION("GOOGLETRANSLATE(B3920, ""es"", ""en"")"),"Very good smell The aroma is very good")</f>
        <v>Very good smell The aroma is very good</v>
      </c>
    </row>
    <row r="3921">
      <c r="A3921" s="1">
        <v>5.0</v>
      </c>
      <c r="B3921" s="1" t="s">
        <v>3901</v>
      </c>
      <c r="C3921" t="str">
        <f>IFERROR(__xludf.DUMMYFUNCTION("GOOGLETRANSLATE(B3921, ""es"", ""en"")"),"I hold the handle and pleasant feel when pressed well.")</f>
        <v>I hold the handle and pleasant feel when pressed well.</v>
      </c>
    </row>
    <row r="3922">
      <c r="A3922" s="1">
        <v>5.0</v>
      </c>
      <c r="B3922" s="1" t="s">
        <v>3902</v>
      </c>
      <c r="C3922" t="str">
        <f>IFERROR(__xludf.DUMMYFUNCTION("GOOGLETRANSLATE(B3922, ""es"", ""en"")"),"Very happy with this purchase # - # Our interest in buying the product # - # wanted to buy a shoulder bag to keep all documents and my iPad that I always have to work, and after searching for Amazon I decided on this shoulder thanks to its design (as I li"&amp;"ke a lot) and its price. # - # good points product # - # - 90% of the material of the shoulder is fabric (very strong). - It has enough space, but can not be seen in the photos safe (iPad Air). - Several zippered compartments and some pockets. - adjustabl"&amp;"e strap. # - # bad or not so good for the product Points # - # - Zippers could be of higher quality. # - # Conclusion # - # - A shoulder nice, cheap and good quality. Very satisfied with this purchase.")</f>
        <v>Very happy with this purchase # - # Our interest in buying the product # - # wanted to buy a shoulder bag to keep all documents and my iPad that I always have to work, and after searching for Amazon I decided on this shoulder thanks to its design (as I like a lot) and its price. # - # good points product # - # - 90% of the material of the shoulder is fabric (very strong). - It has enough space, but can not be seen in the photos safe (iPad Air). - Several zippered compartments and some pockets. - adjustable strap. # - # bad or not so good for the product Points # - # - Zippers could be of higher quality. # - # Conclusion # - # - A shoulder nice, cheap and good quality. Very satisfied with this purchase.</v>
      </c>
    </row>
    <row r="3923">
      <c r="A3923" s="1">
        <v>5.0</v>
      </c>
      <c r="B3923" s="1" t="s">
        <v>3903</v>
      </c>
      <c r="C3923" t="str">
        <f>IFERROR(__xludf.DUMMYFUNCTION("GOOGLETRANSLATE(B3923, ""es"", ""en"")"),"W e all right well")</f>
        <v>W e all right well</v>
      </c>
    </row>
    <row r="3924">
      <c r="A3924" s="1">
        <v>5.0</v>
      </c>
      <c r="B3924" s="1" t="s">
        <v>3904</v>
      </c>
      <c r="C3924" t="str">
        <f>IFERROR(__xludf.DUMMYFUNCTION("GOOGLETRANSLATE(B3924, ""es"", ""en"")"),"Everything is perfect the product received as is described and shown in the image. A very good buy and would definitely recommend.")</f>
        <v>Everything is perfect the product received as is described and shown in the image. A very good buy and would definitely recommend.</v>
      </c>
    </row>
    <row r="3925">
      <c r="A3925" s="1">
        <v>5.0</v>
      </c>
      <c r="B3925" s="1" t="s">
        <v>3905</v>
      </c>
      <c r="C3925" t="str">
        <f>IFERROR(__xludf.DUMMYFUNCTION("GOOGLETRANSLATE(B3925, ""es"", ""en"")"),"Softness correct cutting and expected result.")</f>
        <v>Softness correct cutting and expected result.</v>
      </c>
    </row>
    <row r="3926">
      <c r="A3926" s="1">
        <v>5.0</v>
      </c>
      <c r="B3926" s="1" t="s">
        <v>3906</v>
      </c>
      <c r="C3926" t="str">
        <f>IFERROR(__xludf.DUMMYFUNCTION("GOOGLETRANSLATE(B3926, ""es"", ""en"")"),"Buy recommended We left because when we left home because turns itself off if the door is left without water and open and smell good home .... it's relaxing, pleasant and priceless! It is a good investment. Also the role of aromatherapy and hope to try wi"&amp;"nter and works with eucalyptus oil or the like to prevent colds. The relationship between the possibilities and the price is excellent. It is nice but the material is not wood. It arrived perfectly packed.")</f>
        <v>Buy recommended We left because when we left home because turns itself off if the door is left without water and open and smell good home .... it's relaxing, pleasant and priceless! It is a good investment. Also the role of aromatherapy and hope to try winter and works with eucalyptus oil or the like to prevent colds. The relationship between the possibilities and the price is excellent. It is nice but the material is not wood. It arrived perfectly packed.</v>
      </c>
    </row>
    <row r="3927">
      <c r="A3927" s="1">
        <v>5.0</v>
      </c>
      <c r="B3927" s="1" t="s">
        <v>3907</v>
      </c>
      <c r="C3927" t="str">
        <f>IFERROR(__xludf.DUMMYFUNCTION("GOOGLETRANSLATE(B3927, ""es"", ""en"")"),"Good card is a fast memory card with an appropriate price to the services offered. We are happy with it. So far it has not failed.")</f>
        <v>Good card is a fast memory card with an appropriate price to the services offered. We are happy with it. So far it has not failed.</v>
      </c>
    </row>
    <row r="3928">
      <c r="A3928" s="1">
        <v>5.0</v>
      </c>
      <c r="B3928" s="1" t="s">
        <v>3908</v>
      </c>
      <c r="C3928" t="str">
        <f>IFERROR(__xludf.DUMMYFUNCTION("GOOGLETRANSLATE(B3928, ""es"", ""en"")"),"Narrow and thin with good materials. This battery good will regale my sister because he said he did not want anything big to carry in their pockets if necessary. Shipping and good packaging. Pros: --The battery seems good for the quality of the material i"&amp;"s metallic and gives it a premium appearance can choose from several colors. --Tiene a very good size being narrow and thin ideal for charging once full any mobile phone and make another half load. - The you can carry in a pocket or a bag occupying very l"&amp;"ittle space because it is super thin. Constras: Cable to load is very short battery having to have attached the mobile phone can not handle this with comidiad. https://www.amazon.es/dp/B00ZWVSO7S/ref=cm_cr_ryp_prd_ttl_sol_10")</f>
        <v>Narrow and thin with good materials. This battery good will regale my sister because he said he did not want anything big to carry in their pockets if necessary. Shipping and good packaging. Pros: --The battery seems good for the quality of the material is metallic and gives it a premium appearance can choose from several colors. --Tiene a very good size being narrow and thin ideal for charging once full any mobile phone and make another half load. - The you can carry in a pocket or a bag occupying very little space because it is super thin. Constras: Cable to load is very short battery having to have attached the mobile phone can not handle this with comidiad. https://www.amazon.es/dp/B00ZWVSO7S/ref=cm_cr_ryp_prd_ttl_sol_10</v>
      </c>
    </row>
    <row r="3929">
      <c r="A3929" s="1">
        <v>5.0</v>
      </c>
      <c r="B3929" s="1" t="s">
        <v>3909</v>
      </c>
      <c r="C3929" t="str">
        <f>IFERROR(__xludf.DUMMYFUNCTION("GOOGLETRANSLATE(B3929, ""es"", ""en"")"),"Good sound quality and reception. I bought a few days ago this microphone, and very happy with the purchase, has good quality workmanship, is very comfortable with a very good sound and free reception longish interference, still can not comment on the bat"&amp;"tery life, both of the micro, such as the battery life of the receiver, but having a good autonomy, is a recommended microphone, even for small performances of duets or trios, has a good presence and body in the voice, without any distortion, will try to "&amp;"make a new review when I have time to check referred autonomy. Today I could finally use the microphone, in a trial, and I can say that has worked perfectly, with good sound quality without any interference, has been used with two other wireless systems a"&amp;"nd a system of in-ear monitors have been three hours of trial and still charged battery, both the micro and the receiver, expect to see everything that endures in a longer and longer I will discuss next use for those interested, greetings. I want to make "&amp;"a comment to the Amazon team, that has surprised me greatly, is that surfing the internet, I find a page called EUSCOMSHOP.com in which advertised for sale the same microphone, and curiously in opinions that make him, I find my act on their day about it, "&amp;"copied exactly as photographed do not know how you can get customer data from other stores and let them pass as if they were his, the fact is that not think it is very legal such advertising that violates the privacy of some customers of other businesses,"&amp;" there simply leave this observation for team Amazon, if it is of interest. Cheers")</f>
        <v>Good sound quality and reception. I bought a few days ago this microphone, and very happy with the purchase, has good quality workmanship, is very comfortable with a very good sound and free reception longish interference, still can not comment on the battery life, both of the micro, such as the battery life of the receiver, but having a good autonomy, is a recommended microphone, even for small performances of duets or trios, has a good presence and body in the voice, without any distortion, will try to make a new review when I have time to check referred autonomy. Today I could finally use the microphone, in a trial, and I can say that has worked perfectly, with good sound quality without any interference, has been used with two other wireless systems and a system of in-ear monitors have been three hours of trial and still charged battery, both the micro and the receiver, expect to see everything that endures in a longer and longer I will discuss next use for those interested, greetings. I want to make a comment to the Amazon team, that has surprised me greatly, is that surfing the internet, I find a page called EUSCOMSHOP.com in which advertised for sale the same microphone, and curiously in opinions that make him, I find my act on their day about it, copied exactly as photographed do not know how you can get customer data from other stores and let them pass as if they were his, the fact is that not think it is very legal such advertising that violates the privacy of some customers of other businesses, there simply leave this observation for team Amazon, if it is of interest. Cheers</v>
      </c>
    </row>
    <row r="3930">
      <c r="A3930" s="1">
        <v>5.0</v>
      </c>
      <c r="B3930" s="1" t="s">
        <v>3910</v>
      </c>
      <c r="C3930" t="str">
        <f>IFERROR(__xludf.DUMMYFUNCTION("GOOGLETRANSLATE(B3930, ""es"", ""en"")"),"Good quality according to description")</f>
        <v>Good quality according to description</v>
      </c>
    </row>
    <row r="3931">
      <c r="A3931" s="1">
        <v>5.0</v>
      </c>
      <c r="B3931" s="1" t="s">
        <v>3911</v>
      </c>
      <c r="C3931" t="str">
        <f>IFERROR(__xludf.DUMMYFUNCTION("GOOGLETRANSLATE(B3931, ""es"", ""en"")"),"Very comfortable and lightweight very comfortable, perfectly they fit and are lightweight. They come with box for storage and different sizes for the handset. Hear perfectly even in distance")</f>
        <v>Very comfortable and lightweight very comfortable, perfectly they fit and are lightweight. They come with box for storage and different sizes for the handset. Hear perfectly even in distance</v>
      </c>
    </row>
    <row r="3932">
      <c r="A3932" s="1">
        <v>5.0</v>
      </c>
      <c r="B3932" s="1" t="s">
        <v>3912</v>
      </c>
      <c r="C3932" t="str">
        <f>IFERROR(__xludf.DUMMYFUNCTION("GOOGLETRANSLATE(B3932, ""es"", ""en"")"),"Super Great product, after much thought I decided to buy it and I'm delighted with her performance. Its value / price is great and I recommend it to everyone.")</f>
        <v>Super Great product, after much thought I decided to buy it and I'm delighted with her performance. Its value / price is great and I recommend it to everyone.</v>
      </c>
    </row>
    <row r="3933">
      <c r="A3933" s="1">
        <v>5.0</v>
      </c>
      <c r="B3933" s="1" t="s">
        <v>3913</v>
      </c>
      <c r="C3933" t="str">
        <f>IFERROR(__xludf.DUMMYFUNCTION("GOOGLETRANSLATE(B3933, ""es"", ""en"")"),"Excellent fanny pack has 2 pockets, fits perfectly on the big wallet and mobile. In the small keys and little more. It is very comfortable and you can take the bottle. You can make your waist measurement. The fabric is of good quality. Ideal for walking o"&amp;"r running.")</f>
        <v>Excellent fanny pack has 2 pockets, fits perfectly on the big wallet and mobile. In the small keys and little more. It is very comfortable and you can take the bottle. You can make your waist measurement. The fabric is of good quality. Ideal for walking or running.</v>
      </c>
    </row>
    <row r="3934">
      <c r="A3934" s="1">
        <v>5.0</v>
      </c>
      <c r="B3934" s="1" t="s">
        <v>3914</v>
      </c>
      <c r="C3934" t="str">
        <f>IFERROR(__xludf.DUMMYFUNCTION("GOOGLETRANSLATE(B3934, ""es"", ""en"")"),"Ok Perfect")</f>
        <v>Ok Perfect</v>
      </c>
    </row>
    <row r="3935">
      <c r="A3935" s="1">
        <v>5.0</v>
      </c>
      <c r="B3935" s="1" t="s">
        <v>3915</v>
      </c>
      <c r="C3935" t="str">
        <f>IFERROR(__xludf.DUMMYFUNCTION("GOOGLETRANSLATE(B3935, ""es"", ""en"")"),"Good and beautiful My wife loves her new shoes. It uses them to go out for a walk and are very comfortable, cleaned well and are very nice.")</f>
        <v>Good and beautiful My wife loves her new shoes. It uses them to go out for a walk and are very comfortable, cleaned well and are very nice.</v>
      </c>
    </row>
    <row r="3936">
      <c r="A3936" s="1">
        <v>5.0</v>
      </c>
      <c r="B3936" s="1" t="s">
        <v>3916</v>
      </c>
      <c r="C3936" t="str">
        <f>IFERROR(__xludf.DUMMYFUNCTION("GOOGLETRANSLATE(B3936, ""es"", ""en"")"),"Good price performance demure This disc offers a good transfer rate, with a large internal cache. And the price is pretty tight. Very happy with your purchase.")</f>
        <v>Good price performance demure This disc offers a good transfer rate, with a large internal cache. And the price is pretty tight. Very happy with your purchase.</v>
      </c>
    </row>
    <row r="3937">
      <c r="A3937" s="1">
        <v>5.0</v>
      </c>
      <c r="B3937" s="1" t="s">
        <v>3917</v>
      </c>
      <c r="C3937" t="str">
        <f>IFERROR(__xludf.DUMMYFUNCTION("GOOGLETRANSLATE(B3937, ""es"", ""en"")"),"Well priced good quality")</f>
        <v>Well priced good quality</v>
      </c>
    </row>
    <row r="3938">
      <c r="A3938" s="1">
        <v>5.0</v>
      </c>
      <c r="B3938" s="1" t="s">
        <v>3918</v>
      </c>
      <c r="C3938" t="str">
        <f>IFERROR(__xludf.DUMMYFUNCTION("GOOGLETRANSLATE(B3938, ""es"", ""en"")"),"Ear headphones for all I bought for a gift and has been delighted size, sound and autonomy. Sound very crisp and powerful, impressive bass which can be isolated from the noise also liked the possibility of changing tires that enter the ear as a small hole"&amp;" having always complained that hurt him. And with small tires would go perfect. Leads to the gym every day and will not loosen sweat. Battery lasts about 4-5 hours box where you store is charging the headphones. Another point that convinced me is giving m"&amp;"e 60 days money back, and this gives a guarantee that they are good devices. Amazon sending very fast.")</f>
        <v>Ear headphones for all I bought for a gift and has been delighted size, sound and autonomy. Sound very crisp and powerful, impressive bass which can be isolated from the noise also liked the possibility of changing tires that enter the ear as a small hole having always complained that hurt him. And with small tires would go perfect. Leads to the gym every day and will not loosen sweat. Battery lasts about 4-5 hours box where you store is charging the headphones. Another point that convinced me is giving me 60 days money back, and this gives a guarantee that they are good devices. Amazon sending very fast.</v>
      </c>
    </row>
    <row r="3939">
      <c r="A3939" s="1">
        <v>2.0</v>
      </c>
      <c r="B3939" s="1" t="s">
        <v>3919</v>
      </c>
      <c r="C3939" t="str">
        <f>IFERROR(__xludf.DUMMYFUNCTION("GOOGLETRANSLATE(B3939, ""es"", ""en"")"),"Bad bad! To get out of the, I dropped one and lost")</f>
        <v>Bad bad! To get out of the, I dropped one and lost</v>
      </c>
    </row>
    <row r="3940">
      <c r="A3940" s="1">
        <v>3.0</v>
      </c>
      <c r="B3940" s="1" t="s">
        <v>3920</v>
      </c>
      <c r="C3940" t="str">
        <f>IFERROR(__xludf.DUMMYFUNCTION("GOOGLETRANSLATE(B3940, ""es"", ""en"")"),"The show through use as sweaters and camisoles leggings and boots above. Exercise at the gym show through much")</f>
        <v>The show through use as sweaters and camisoles leggings and boots above. Exercise at the gym show through much</v>
      </c>
    </row>
    <row r="3941">
      <c r="A3941" s="1">
        <v>3.0</v>
      </c>
      <c r="B3941" s="1" t="s">
        <v>3921</v>
      </c>
      <c r="C3941" t="str">
        <f>IFERROR(__xludf.DUMMYFUNCTION("GOOGLETRANSLATE(B3941, ""es"", ""en"")"),"Are not the same as in the picture I've received and I surprise is that there are the same as those in the photos ... some do, some do not ... I've taken a bit of disappointment because just the ones I liked they do not come.")</f>
        <v>Are not the same as in the picture I've received and I surprise is that there are the same as those in the photos ... some do, some do not ... I've taken a bit of disappointment because just the ones I liked they do not come.</v>
      </c>
    </row>
    <row r="3942">
      <c r="A3942" s="1">
        <v>1.0</v>
      </c>
      <c r="B3942" s="1" t="s">
        <v>3922</v>
      </c>
      <c r="C3942" t="str">
        <f>IFERROR(__xludf.DUMMYFUNCTION("GOOGLETRANSLATE(B3942, ""es"", ""en"")"),"cheap Not bad if you know what you buy")</f>
        <v>cheap Not bad if you know what you buy</v>
      </c>
    </row>
    <row r="3943">
      <c r="A3943" s="1">
        <v>1.0</v>
      </c>
      <c r="B3943" s="1" t="s">
        <v>3923</v>
      </c>
      <c r="C3943" t="str">
        <f>IFERROR(__xludf.DUMMYFUNCTION("GOOGLETRANSLATE(B3943, ""es"", ""en"")"),"PRONTO BREAKS ... Bluetooth Handsfree with good sound, but poor quality for extended use. At 4 months he stopped working the button to increase the volume and now has departed from the rotating part which adapts it to the ear.")</f>
        <v>PRONTO BREAKS ... Bluetooth Handsfree with good sound, but poor quality for extended use. At 4 months he stopped working the button to increase the volume and now has departed from the rotating part which adapts it to the ear.</v>
      </c>
    </row>
    <row r="3944">
      <c r="A3944" s="1">
        <v>4.0</v>
      </c>
      <c r="B3944" s="1" t="s">
        <v>3924</v>
      </c>
      <c r="C3944" t="str">
        <f>IFERROR(__xludf.DUMMYFUNCTION("GOOGLETRANSLATE(B3944, ""es"", ""en"")"),"Good value for the price it does the job. Grinds quite well, even frozen fruit and seeds. In addition it does not sound like much at first be thought. The only thing worse see is that the plastic cover that has the base is very resistant. Otherwise a good"&amp;" buy.")</f>
        <v>Good value for the price it does the job. Grinds quite well, even frozen fruit and seeds. In addition it does not sound like much at first be thought. The only thing worse see is that the plastic cover that has the base is very resistant. Otherwise a good buy.</v>
      </c>
    </row>
    <row r="3945">
      <c r="A3945" s="1">
        <v>4.0</v>
      </c>
      <c r="B3945" s="1" t="s">
        <v>3925</v>
      </c>
      <c r="C3945" t="str">
        <f>IFERROR(__xludf.DUMMYFUNCTION("GOOGLETRANSLATE(B3945, ""es"", ""en"")"),"I would buy for money Value OK but a bit tricky to hit with the correct settings. A lot of information but ambiguous")</f>
        <v>I would buy for money Value OK but a bit tricky to hit with the correct settings. A lot of information but ambiguous</v>
      </c>
    </row>
    <row r="3946">
      <c r="A3946" s="1">
        <v>4.0</v>
      </c>
      <c r="B3946" s="1" t="s">
        <v>3926</v>
      </c>
      <c r="C3946" t="str">
        <f>IFERROR(__xludf.DUMMYFUNCTION("GOOGLETRANSLATE(B3946, ""es"", ""en"")"),"Mari They are very beautiful earrings are same as the photos but are actually smaller than I expected.")</f>
        <v>Mari They are very beautiful earrings are same as the photos but are actually smaller than I expected.</v>
      </c>
    </row>
    <row r="3947">
      <c r="A3947" s="1">
        <v>4.0</v>
      </c>
      <c r="B3947" s="1" t="s">
        <v>3927</v>
      </c>
      <c r="C3947" t="str">
        <f>IFERROR(__xludf.DUMMYFUNCTION("GOOGLETRANSLATE(B3947, ""es"", ""en"")"),"Meets expectations are well- meet the objective for which they are created")</f>
        <v>Meets expectations are well- meet the objective for which they are created</v>
      </c>
    </row>
    <row r="3948">
      <c r="A3948" s="1">
        <v>4.0</v>
      </c>
      <c r="B3948" s="1" t="s">
        <v>3928</v>
      </c>
      <c r="C3948" t="str">
        <f>IFERROR(__xludf.DUMMYFUNCTION("GOOGLETRANSLATE(B3948, ""es"", ""en"")"),"JIC good shoe. Something big size and color differs a bit with the photos. Express shipping is paid and it takes the same as the normal shipping, otherwise all good.")</f>
        <v>JIC good shoe. Something big size and color differs a bit with the photos. Express shipping is paid and it takes the same as the normal shipping, otherwise all good.</v>
      </c>
    </row>
    <row r="3949">
      <c r="A3949" s="1">
        <v>5.0</v>
      </c>
      <c r="B3949" s="1" t="s">
        <v>3929</v>
      </c>
      <c r="C3949" t="str">
        <f>IFERROR(__xludf.DUMMYFUNCTION("GOOGLETRANSLATE(B3949, ""es"", ""en"")"),"Blender Portable Rechargeable Me encata this portable mixer that can make smoothies wherever, I use it every day without fail for work at lunchtime am used to accompany my meal with a juice or smoothie, just add fruit with cold or cold and press the power"&amp;" button milk water, then wait for it to stop automatically and ready (about 1 minute). Shreds fine pieces of fruit. At the moment it goes well with me this and the truth is that I love.")</f>
        <v>Blender Portable Rechargeable Me encata this portable mixer that can make smoothies wherever, I use it every day without fail for work at lunchtime am used to accompany my meal with a juice or smoothie, just add fruit with cold or cold and press the power button milk water, then wait for it to stop automatically and ready (about 1 minute). Shreds fine pieces of fruit. At the moment it goes well with me this and the truth is that I love.</v>
      </c>
    </row>
    <row r="3950">
      <c r="A3950" s="1">
        <v>5.0</v>
      </c>
      <c r="B3950" s="1" t="s">
        <v>3930</v>
      </c>
      <c r="C3950" t="str">
        <f>IFERROR(__xludf.DUMMYFUNCTION("GOOGLETRANSLATE(B3950, ""es"", ""en"")"),"Thrilled with the kettle Sometimes this flash offer. I asked and I canceled it because minutes later started offering flash and you save € 05.04 (worth the wait). My mother has one (not of this brand) and I caught the bug to get one for us. We are going t"&amp;"o night infusions and if you want to heat two cups (as in our case we are 2) put the microwave to each cup is a mess (if you put two cups in the microwave while not heated any) the kettle is aesthetically beautiful but also makes the coating having that a"&amp;"lthough the water is boiling inside out does not burn so here is safe for children or dawdle. I noticed the 2200W power because I wanted it to be fast and is very fast and turns itself off when it reaches a boil. 2 is a little big (it is for 1.7L and 0.5L"&amp;" minimum must do) is more for 4-5 people. Similarly, and although we are two as we always have visitors it is perfect! (I leave a photo to the side of an American coffee so you can see some measures the kettle that is bigger than it seems) by the way I sa"&amp;"w it in other kettles ... This has no resistance to the air or anything. And it works well without spilling.")</f>
        <v>Thrilled with the kettle Sometimes this flash offer. I asked and I canceled it because minutes later started offering flash and you save € 05.04 (worth the wait). My mother has one (not of this brand) and I caught the bug to get one for us. We are going to night infusions and if you want to heat two cups (as in our case we are 2) put the microwave to each cup is a mess (if you put two cups in the microwave while not heated any) the kettle is aesthetically beautiful but also makes the coating having that although the water is boiling inside out does not burn so here is safe for children or dawdle. I noticed the 2200W power because I wanted it to be fast and is very fast and turns itself off when it reaches a boil. 2 is a little big (it is for 1.7L and 0.5L minimum must do) is more for 4-5 people. Similarly, and although we are two as we always have visitors it is perfect! (I leave a photo to the side of an American coffee so you can see some measures the kettle that is bigger than it seems) by the way I saw it in other kettles ... This has no resistance to the air or anything. And it works well without spilling.</v>
      </c>
    </row>
    <row r="3951">
      <c r="A3951" s="1">
        <v>5.0</v>
      </c>
      <c r="B3951" s="1" t="s">
        <v>3931</v>
      </c>
      <c r="C3951" t="str">
        <f>IFERROR(__xludf.DUMMYFUNCTION("GOOGLETRANSLATE(B3951, ""es"", ""en"")"),"Good product fulfills its function and has a very adequate money. I recommend it to 100 percent. 2x1 comprehensive product.")</f>
        <v>Good product fulfills its function and has a very adequate money. I recommend it to 100 percent. 2x1 comprehensive product.</v>
      </c>
    </row>
    <row r="3952">
      <c r="A3952" s="1">
        <v>5.0</v>
      </c>
      <c r="B3952" s="1" t="s">
        <v>3932</v>
      </c>
      <c r="C3952" t="str">
        <f>IFERROR(__xludf.DUMMYFUNCTION("GOOGLETRANSLATE(B3952, ""es"", ""en"")"),"MARVELOUS God of bottles! We wanted to shove a bottle and wean slowly and tried thousand kinds, there was no way, until I tried this, from one day to another left chest. Washable, removable, durable. Perfect.")</f>
        <v>MARVELOUS God of bottles! We wanted to shove a bottle and wean slowly and tried thousand kinds, there was no way, until I tried this, from one day to another left chest. Washable, removable, durable. Perfect.</v>
      </c>
    </row>
    <row r="3953">
      <c r="A3953" s="1">
        <v>5.0</v>
      </c>
      <c r="B3953" s="1" t="s">
        <v>3933</v>
      </c>
      <c r="C3953" t="str">
        <f>IFERROR(__xludf.DUMMYFUNCTION("GOOGLETRANSLATE(B3953, ""es"", ""en"")"),"more than satisfactory experience. After 4 years of use, I have to say that this watch Casio Solar, has plenty met all my expectations. Weighs very little, it should not need batteries to the Solar being. I am very satisfied with the purchase.")</f>
        <v>more than satisfactory experience. After 4 years of use, I have to say that this watch Casio Solar, has plenty met all my expectations. Weighs very little, it should not need batteries to the Solar being. I am very satisfied with the purchase.</v>
      </c>
    </row>
    <row r="3954">
      <c r="A3954" s="1">
        <v>5.0</v>
      </c>
      <c r="B3954" s="1" t="s">
        <v>3934</v>
      </c>
      <c r="C3954" t="str">
        <f>IFERROR(__xludf.DUMMYFUNCTION("GOOGLETRANSLATE(B3954, ""es"", ""en"")"),"excellent can not say much about a brand more than known, sending good material and perfect tennis. They are original 100%")</f>
        <v>excellent can not say much about a brand more than known, sending good material and perfect tennis. They are original 100%</v>
      </c>
    </row>
    <row r="3955">
      <c r="A3955" s="1">
        <v>5.0</v>
      </c>
      <c r="B3955" s="1" t="s">
        <v>3935</v>
      </c>
      <c r="C3955" t="str">
        <f>IFERROR(__xludf.DUMMYFUNCTION("GOOGLETRANSLATE(B3955, ""es"", ""en"")"),"I recommend it. Buy the product and I was too big. Then they contacted me to decambiarlos me and I sent them to the address I gave (as it was on vacation and I was not in my usual residence). Shoes are perfect and I'm very comfortable with them.")</f>
        <v>I recommend it. Buy the product and I was too big. Then they contacted me to decambiarlos me and I sent them to the address I gave (as it was on vacation and I was not in my usual residence). Shoes are perfect and I'm very comfortable with them.</v>
      </c>
    </row>
    <row r="3956">
      <c r="A3956" s="1">
        <v>5.0</v>
      </c>
      <c r="B3956" s="1" t="s">
        <v>3936</v>
      </c>
      <c r="C3956" t="str">
        <f>IFERROR(__xludf.DUMMYFUNCTION("GOOGLETRANSLATE(B3956, ""es"", ""en"")"),"Great gift Fast and perfect.")</f>
        <v>Great gift Fast and perfect.</v>
      </c>
    </row>
    <row r="3957">
      <c r="A3957" s="1">
        <v>5.0</v>
      </c>
      <c r="B3957" s="1" t="s">
        <v>3937</v>
      </c>
      <c r="C3957" t="str">
        <f>IFERROR(__xludf.DUMMYFUNCTION("GOOGLETRANSLATE(B3957, ""es"", ""en"")"),"I would say that comfort is buying most successful of the electodomésticos. It is very comfortable in use. Wash well. He had never taken so many milkshakes. And it was because I have a blender cup. The glass weighs a lot and it is not convenient to wash.")</f>
        <v>I would say that comfort is buying most successful of the electodomésticos. It is very comfortable in use. Wash well. He had never taken so many milkshakes. And it was because I have a blender cup. The glass weighs a lot and it is not convenient to wash.</v>
      </c>
    </row>
    <row r="3958">
      <c r="A3958" s="1">
        <v>5.0</v>
      </c>
      <c r="B3958" s="1" t="s">
        <v>3938</v>
      </c>
      <c r="C3958" t="str">
        <f>IFERROR(__xludf.DUMMYFUNCTION("GOOGLETRANSLATE(B3958, ""es"", ""en"")"),"Comfortable and lightweight lightweight, comfortable, perfect fit. I have a narrow foot and I left a little wide, but little else. I hack with sock")</f>
        <v>Comfortable and lightweight lightweight, comfortable, perfect fit. I have a narrow foot and I left a little wide, but little else. I hack with sock</v>
      </c>
    </row>
    <row r="3959">
      <c r="A3959" s="1">
        <v>5.0</v>
      </c>
      <c r="B3959" s="1" t="s">
        <v>3939</v>
      </c>
      <c r="C3959" t="str">
        <f>IFERROR(__xludf.DUMMYFUNCTION("GOOGLETRANSLATE(B3959, ""es"", ""en"")"),"SUPER A wonderful, comfortable suoer, the would buy without hesitation. I listened to the comments of the sizes and I was lucky utilzo 39 took 38 and perfectly. 😉")</f>
        <v>SUPER A wonderful, comfortable suoer, the would buy without hesitation. I listened to the comments of the sizes and I was lucky utilzo 39 took 38 and perfectly. 😉</v>
      </c>
    </row>
    <row r="3960">
      <c r="A3960" s="1">
        <v>5.0</v>
      </c>
      <c r="B3960" s="1" t="s">
        <v>3940</v>
      </c>
      <c r="C3960" t="str">
        <f>IFERROR(__xludf.DUMMYFUNCTION("GOOGLETRANSLATE(B3960, ""es"", ""en"")"),"Perfect everyday item, I was going very well, and I'm tall 190cm is perfect as well and I have some time with her and resists very well everyday use. Good quality product, highly recommended")</f>
        <v>Perfect everyday item, I was going very well, and I'm tall 190cm is perfect as well and I have some time with her and resists very well everyday use. Good quality product, highly recommended</v>
      </c>
    </row>
    <row r="3961">
      <c r="A3961" s="1">
        <v>5.0</v>
      </c>
      <c r="B3961" s="1" t="s">
        <v>3941</v>
      </c>
      <c r="C3961" t="str">
        <f>IFERROR(__xludf.DUMMYFUNCTION("GOOGLETRANSLATE(B3961, ""es"", ""en"")"),"Vatalkeras and casual super comfortable")</f>
        <v>Vatalkeras and casual super comfortable</v>
      </c>
    </row>
    <row r="3962">
      <c r="A3962" s="1">
        <v>5.0</v>
      </c>
      <c r="B3962" s="1" t="s">
        <v>3942</v>
      </c>
      <c r="C3962" t="str">
        <f>IFERROR(__xludf.DUMMYFUNCTION("GOOGLETRANSLATE(B3962, ""es"", ""en"")"),"Excellent value for money For 30 eurillos who have their operating system on a conventional disk? Just we mount a PC with this disk and has the minimum size to accommodate the start of the system (in my case Linux-Windows dual boot) and allow for a few se"&amp;"conds start. At the current price you do not even have to doubt .. I appreciated not operating any difference with other discs also have and are more expensive.")</f>
        <v>Excellent value for money For 30 eurillos who have their operating system on a conventional disk? Just we mount a PC with this disk and has the minimum size to accommodate the start of the system (in my case Linux-Windows dual boot) and allow for a few seconds start. At the current price you do not even have to doubt .. I appreciated not operating any difference with other discs also have and are more expensive.</v>
      </c>
    </row>
    <row r="3963">
      <c r="A3963" s="1">
        <v>5.0</v>
      </c>
      <c r="B3963" s="1" t="s">
        <v>3943</v>
      </c>
      <c r="C3963" t="str">
        <f>IFERROR(__xludf.DUMMYFUNCTION("GOOGLETRANSLATE(B3963, ""es"", ""en"")"),"Good!!! Really connected to the NAS that I have not hardly hear (at dawn) during the day or ""Mu"". Of course if you are looking for the trespiés to the cat .... a writing on it. As with anyone.")</f>
        <v>Good!!! Really connected to the NAS that I have not hardly hear (at dawn) during the day or "Mu". Of course if you are looking for the trespiés to the cat .... a writing on it. As with anyone.</v>
      </c>
    </row>
    <row r="3964">
      <c r="A3964" s="1">
        <v>5.0</v>
      </c>
      <c r="B3964" s="1" t="s">
        <v>3944</v>
      </c>
      <c r="C3964" t="str">
        <f>IFERROR(__xludf.DUMMYFUNCTION("GOOGLETRANSLATE(B3964, ""es"", ""en"")"),"Very good it is well suited to man dolls")</f>
        <v>Very good it is well suited to man dolls</v>
      </c>
    </row>
    <row r="3965">
      <c r="A3965" s="1">
        <v>5.0</v>
      </c>
      <c r="B3965" s="1" t="s">
        <v>3945</v>
      </c>
      <c r="C3965" t="str">
        <f>IFERROR(__xludf.DUMMYFUNCTION("GOOGLETRANSLATE(B3965, ""es"", ""en"")"),"Very cuquis are nice, somewhat small but perform their function. Buy them to give them to my students 6 years old at the end of the course and motivate them to read")</f>
        <v>Very cuquis are nice, somewhat small but perform their function. Buy them to give them to my students 6 years old at the end of the course and motivate them to read</v>
      </c>
    </row>
    <row r="3966">
      <c r="A3966" s="1">
        <v>5.0</v>
      </c>
      <c r="B3966" s="1" t="s">
        <v>3946</v>
      </c>
      <c r="C3966" t="str">
        <f>IFERROR(__xludf.DUMMYFUNCTION("GOOGLETRANSLATE(B3966, ""es"", ""en"")"),"Functional perfect watch as a watch or clock battle work. Good features for its price and nice design. I personally do come in handy global hours since I travel a lot for work and I have to go about doing calculations. It's great to work with solar energy"&amp;", you unmindful of the stack. What I disliked is the belt, it seems low quality. In short, great value / price")</f>
        <v>Functional perfect watch as a watch or clock battle work. Good features for its price and nice design. I personally do come in handy global hours since I travel a lot for work and I have to go about doing calculations. It's great to work with solar energy, you unmindful of the stack. What I disliked is the belt, it seems low quality. In short, great value / price</v>
      </c>
    </row>
    <row r="3967">
      <c r="A3967" s="1">
        <v>5.0</v>
      </c>
      <c r="B3967" s="1" t="s">
        <v>3947</v>
      </c>
      <c r="C3967" t="str">
        <f>IFERROR(__xludf.DUMMYFUNCTION("GOOGLETRANSLATE(B3967, ""es"", ""en"")"),"What you ask a sports pants All")</f>
        <v>What you ask a sports pants All</v>
      </c>
    </row>
    <row r="3968">
      <c r="A3968" s="1">
        <v>2.0</v>
      </c>
      <c r="B3968" s="1" t="s">
        <v>3948</v>
      </c>
      <c r="C3968" t="str">
        <f>IFERROR(__xludf.DUMMYFUNCTION("GOOGLETRANSLATE(B3968, ""es"", ""en"")"),"150 MB / s mistake I had to return it because I bought thinking they had 150 MB / s writing is value which is usually the one that we care more and the test him with Blackmagic Disk Speed ​​Test did not reach even half. Read the specifications you can see"&amp;" the famous 150 MB / s transfer refer to reading.")</f>
        <v>150 MB / s mistake I had to return it because I bought thinking they had 150 MB / s writing is value which is usually the one that we care more and the test him with Blackmagic Disk Speed ​​Test did not reach even half. Read the specifications you can see the famous 150 MB / s transfer refer to reading.</v>
      </c>
    </row>
    <row r="3969">
      <c r="A3969" s="1">
        <v>3.0</v>
      </c>
      <c r="B3969" s="1" t="s">
        <v>3949</v>
      </c>
      <c r="C3969" t="str">
        <f>IFERROR(__xludf.DUMMYFUNCTION("GOOGLETRANSLATE(B3969, ""es"", ""en"")"),"Aesthetically cleaner is very beautiful can leave hanging in the shower. Despite this gum did not seem to adhere too well priced quality is correct")</f>
        <v>Aesthetically cleaner is very beautiful can leave hanging in the shower. Despite this gum did not seem to adhere too well priced quality is correct</v>
      </c>
    </row>
    <row r="3970">
      <c r="A3970" s="1">
        <v>1.0</v>
      </c>
      <c r="B3970" s="1" t="s">
        <v>3950</v>
      </c>
      <c r="C3970" t="str">
        <f>IFERROR(__xludf.DUMMYFUNCTION("GOOGLETRANSLATE(B3970, ""es"", ""en"")"),"It not so good is deleted letters at 2 days")</f>
        <v>It not so good is deleted letters at 2 days</v>
      </c>
    </row>
    <row r="3971">
      <c r="A3971" s="1">
        <v>1.0</v>
      </c>
      <c r="B3971" s="1" t="s">
        <v>3951</v>
      </c>
      <c r="C3971" t="str">
        <f>IFERROR(__xludf.DUMMYFUNCTION("GOOGLETRANSLATE(B3971, ""es"", ""en"")"),"a scam do not like, and I do not return the amount")</f>
        <v>a scam do not like, and I do not return the amount</v>
      </c>
    </row>
    <row r="3972">
      <c r="A3972" s="1">
        <v>4.0</v>
      </c>
      <c r="B3972" s="1" t="s">
        <v>3952</v>
      </c>
      <c r="C3972" t="str">
        <f>IFERROR(__xludf.DUMMYFUNCTION("GOOGLETRANSLATE(B3972, ""es"", ""en"")"),"Leather backpack purse. I was pleasantly surprised by the quality of the skin, smells like leather, is comfortable and stylish. The price is fine for me is more comfortable backpack type bag, its size is ideal.")</f>
        <v>Leather backpack purse. I was pleasantly surprised by the quality of the skin, smells like leather, is comfortable and stylish. The price is fine for me is more comfortable backpack type bag, its size is ideal.</v>
      </c>
    </row>
    <row r="3973">
      <c r="A3973" s="1">
        <v>4.0</v>
      </c>
      <c r="B3973" s="1" t="s">
        <v>3953</v>
      </c>
      <c r="C3973" t="str">
        <f>IFERROR(__xludf.DUMMYFUNCTION("GOOGLETRANSLATE(B3973, ""es"", ""en"")"),"Men's Casual Short Sleeve T Gapes Single Button Cotton Llano v collarless shirts Looks good start and is very comfortable. size fits perfectly.")</f>
        <v>Men's Casual Short Sleeve T Gapes Single Button Cotton Llano v collarless shirts Looks good start and is very comfortable. size fits perfectly.</v>
      </c>
    </row>
    <row r="3974">
      <c r="A3974" s="1">
        <v>4.0</v>
      </c>
      <c r="B3974" s="1" t="s">
        <v>3954</v>
      </c>
      <c r="C3974" t="str">
        <f>IFERROR(__xludf.DUMMYFUNCTION("GOOGLETRANSLATE(B3974, ""es"", ""en"")"),"Perfect. Convenient and practical.")</f>
        <v>Perfect. Convenient and practical.</v>
      </c>
    </row>
    <row r="3975">
      <c r="A3975" s="1">
        <v>4.0</v>
      </c>
      <c r="B3975" s="1" t="s">
        <v>3955</v>
      </c>
      <c r="C3975" t="str">
        <f>IFERROR(__xludf.DUMMYFUNCTION("GOOGLETRANSLATE(B3975, ""es"", ""en"")"),"Comodo The shoe is comfortable and height corresponds. After a few days of using the tissue seems as if desfilacha a little.")</f>
        <v>Comodo The shoe is comfortable and height corresponds. After a few days of using the tissue seems as if desfilacha a little.</v>
      </c>
    </row>
    <row r="3976">
      <c r="A3976" s="1">
        <v>4.0</v>
      </c>
      <c r="B3976" s="1" t="s">
        <v>3956</v>
      </c>
      <c r="C3976" t="str">
        <f>IFERROR(__xludf.DUMMYFUNCTION("GOOGLETRANSLATE(B3976, ""es"", ""en"")"),"Okay but for older this great but for children from 5 years q Do not fool yourself advertising is more complicated and if you make a decision to start what makes q q porq children lose patience there really complicated pieces")</f>
        <v>Okay but for older this great but for children from 5 years q Do not fool yourself advertising is more complicated and if you make a decision to start what makes q q porq children lose patience there really complicated pieces</v>
      </c>
    </row>
    <row r="3977">
      <c r="A3977" s="1">
        <v>5.0</v>
      </c>
      <c r="B3977" s="1" t="s">
        <v>3957</v>
      </c>
      <c r="C3977" t="str">
        <f>IFERROR(__xludf.DUMMYFUNCTION("GOOGLETRANSLATE(B3977, ""es"", ""en"")"),"Comfort Very comfortable, fit perfectly into the ear and also brings the package pads for you to choose the one that suits you and serve for any model of mobile")</f>
        <v>Comfort Very comfortable, fit perfectly into the ear and also brings the package pads for you to choose the one that suits you and serve for any model of mobile</v>
      </c>
    </row>
    <row r="3978">
      <c r="A3978" s="1">
        <v>5.0</v>
      </c>
      <c r="B3978" s="1" t="s">
        <v>3958</v>
      </c>
      <c r="C3978" t="str">
        <f>IFERROR(__xludf.DUMMYFUNCTION("GOOGLETRANSLATE(B3978, ""es"", ""en"")"),"Me and myself arrived well packed and timely, quality materials, are not imitations, the problem I had is the next &amp; gt; are incompatible with some mobile and mp3, then began to run such perfectly with the laptop and sound good.")</f>
        <v>Me and myself arrived well packed and timely, quality materials, are not imitations, the problem I had is the next &amp; gt; are incompatible with some mobile and mp3, then began to run such perfectly with the laptop and sound good.</v>
      </c>
    </row>
    <row r="3979">
      <c r="A3979" s="1">
        <v>5.0</v>
      </c>
      <c r="B3979" s="1" t="s">
        <v>3959</v>
      </c>
      <c r="C3979" t="str">
        <f>IFERROR(__xludf.DUMMYFUNCTION("GOOGLETRANSLATE(B3979, ""es"", ""en"")"),"Good utility'm absolutely happy with the purchase of this water heater! I use it every day. Boil water is easy and fast even when filled to capacity, and never have to worry about that, dry when I'm boiling some water. Very easy to use and clean, and the "&amp;"perfect size.")</f>
        <v>Good utility'm absolutely happy with the purchase of this water heater! I use it every day. Boil water is easy and fast even when filled to capacity, and never have to worry about that, dry when I'm boiling some water. Very easy to use and clean, and the perfect size.</v>
      </c>
    </row>
    <row r="3980">
      <c r="A3980" s="1">
        <v>5.0</v>
      </c>
      <c r="B3980" s="1" t="s">
        <v>3960</v>
      </c>
      <c r="C3980" t="str">
        <f>IFERROR(__xludf.DUMMYFUNCTION("GOOGLETRANSLATE(B3980, ""es"", ""en"")"),"They adapt perfectly to small and large size Good finish")</f>
        <v>They adapt perfectly to small and large size Good finish</v>
      </c>
    </row>
    <row r="3981">
      <c r="A3981" s="1">
        <v>5.0</v>
      </c>
      <c r="B3981" s="1" t="s">
        <v>3961</v>
      </c>
      <c r="C3981" t="str">
        <f>IFERROR(__xludf.DUMMYFUNCTION("GOOGLETRANSLATE(B3981, ""es"", ""en"")"),"Vitor are what I expected, not the next, very good quality, are of p.t.madre.compralos sure you will not regret Colors are very nice just missing underpants matching socks to be Skip")</f>
        <v>Vitor are what I expected, not the next, very good quality, are of p.t.madre.compralos sure you will not regret Colors are very nice just missing underpants matching socks to be Skip</v>
      </c>
    </row>
    <row r="3982">
      <c r="A3982" s="1">
        <v>5.0</v>
      </c>
      <c r="B3982" s="1" t="s">
        <v>3962</v>
      </c>
      <c r="C3982" t="str">
        <f>IFERROR(__xludf.DUMMYFUNCTION("GOOGLETRANSLATE(B3982, ""es"", ""en"")"),"Type submarine precious watch Invicta is a great watch, it is the third buy, specifically this is the most accurate, I recommend it, I came quickly")</f>
        <v>Type submarine precious watch Invicta is a great watch, it is the third buy, specifically this is the most accurate, I recommend it, I came quickly</v>
      </c>
    </row>
    <row r="3983">
      <c r="A3983" s="1">
        <v>5.0</v>
      </c>
      <c r="B3983" s="1" t="s">
        <v>3963</v>
      </c>
      <c r="C3983" t="str">
        <f>IFERROR(__xludf.DUMMYFUNCTION("GOOGLETRANSLATE(B3983, ""es"", ""en"")"),"Sound very good I changed to this model and is superb. Voice messages in Spanish of the state (incoming call, off, on, etc.). The battery lasts a long and adapts very well to the ear.")</f>
        <v>Sound very good I changed to this model and is superb. Voice messages in Spanish of the state (incoming call, off, on, etc.). The battery lasts a long and adapts very well to the ear.</v>
      </c>
    </row>
    <row r="3984">
      <c r="A3984" s="1">
        <v>5.0</v>
      </c>
      <c r="B3984" s="1" t="s">
        <v>3964</v>
      </c>
      <c r="C3984" t="str">
        <f>IFERROR(__xludf.DUMMYFUNCTION("GOOGLETRANSLATE(B3984, ""es"", ""en"")"),"Do not change your PC, change disc In my case, I had a Dell PC 5-6 years ago that once you buy a processor I7 but I was going very slow (took forever to start and quite slow in general). I replaced the two hard drives of 2 equal sized SSD that had (a cruc"&amp;"ial 2TB main and this 530 MB as a secondary backup, ...) and performance has absolutely nothing to do: be start in a few seconds, the browser works immediately after starting the PC, ... Moreover, it is now much quieter (which is also appreciated).")</f>
        <v>Do not change your PC, change disc In my case, I had a Dell PC 5-6 years ago that once you buy a processor I7 but I was going very slow (took forever to start and quite slow in general). I replaced the two hard drives of 2 equal sized SSD that had (a crucial 2TB main and this 530 MB as a secondary backup, ...) and performance has absolutely nothing to do: be start in a few seconds, the browser works immediately after starting the PC, ... Moreover, it is now much quieter (which is also appreciated).</v>
      </c>
    </row>
    <row r="3985">
      <c r="A3985" s="1">
        <v>5.0</v>
      </c>
      <c r="B3985" s="1" t="s">
        <v>3965</v>
      </c>
      <c r="C3985" t="str">
        <f>IFERROR(__xludf.DUMMYFUNCTION("GOOGLETRANSLATE(B3985, ""es"", ""en"")"),"Very nice piece A beautiful piece that earns more in person")</f>
        <v>Very nice piece A beautiful piece that earns more in person</v>
      </c>
    </row>
    <row r="3986">
      <c r="A3986" s="1">
        <v>5.0</v>
      </c>
      <c r="B3986" s="1" t="s">
        <v>3966</v>
      </c>
      <c r="C3986" t="str">
        <f>IFERROR(__xludf.DUMMYFUNCTION("GOOGLETRANSLATE(B3986, ""es"", ""en"")"),"Relationship work properly according to specifications Value good")</f>
        <v>Relationship work properly according to specifications Value good</v>
      </c>
    </row>
    <row r="3987">
      <c r="A3987" s="1">
        <v>5.0</v>
      </c>
      <c r="B3987" s="1" t="s">
        <v>3967</v>
      </c>
      <c r="C3987" t="str">
        <f>IFERROR(__xludf.DUMMYFUNCTION("GOOGLETRANSLATE(B3987, ""es"", ""en"")"),"impeccable performance and great quality juices The product I use every day at the least 3 times so I can say that cleanliness is very easy as assembling and dismantling. I really like the quality of the juice and the ease of use and cleaning. I wish it w"&amp;"as quieter but not for being loud noises but because I do not like in general. Overall I love the product")</f>
        <v>impeccable performance and great quality juices The product I use every day at the least 3 times so I can say that cleanliness is very easy as assembling and dismantling. I really like the quality of the juice and the ease of use and cleaning. I wish it was quieter but not for being loud noises but because I do not like in general. Overall I love the product</v>
      </c>
    </row>
    <row r="3988">
      <c r="A3988" s="1">
        <v>5.0</v>
      </c>
      <c r="B3988" s="1" t="s">
        <v>3968</v>
      </c>
      <c r="C3988" t="str">
        <f>IFERROR(__xludf.DUMMYFUNCTION("GOOGLETRANSLATE(B3988, ""es"", ""en"")"),"Excellent I've been using headphones for many months and are perfectly! Much better than the original Samsung lasted me almost nothing. the bass and treble sounds very good. I'm super happy I chose this model. 100% recommendable.")</f>
        <v>Excellent I've been using headphones for many months and are perfectly! Much better than the original Samsung lasted me almost nothing. the bass and treble sounds very good. I'm super happy I chose this model. 100% recommendable.</v>
      </c>
    </row>
    <row r="3989">
      <c r="A3989" s="1">
        <v>5.0</v>
      </c>
      <c r="B3989" s="1" t="s">
        <v>3969</v>
      </c>
      <c r="C3989" t="str">
        <f>IFERROR(__xludf.DUMMYFUNCTION("GOOGLETRANSLATE(B3989, ""es"", ""en"")"),"Mailing Labels are just labels needed. Not much else to comment. They stick well and have software for design on your website.")</f>
        <v>Mailing Labels are just labels needed. Not much else to comment. They stick well and have software for design on your website.</v>
      </c>
    </row>
    <row r="3990">
      <c r="A3990" s="1">
        <v>5.0</v>
      </c>
      <c r="B3990" s="1" t="s">
        <v>3970</v>
      </c>
      <c r="C3990" t="str">
        <f>IFERROR(__xludf.DUMMYFUNCTION("GOOGLETRANSLATE(B3990, ""es"", ""en"")"),"work runs smoothly, has a large storage capacity without problems when using it. good quality without doubt")</f>
        <v>work runs smoothly, has a large storage capacity without problems when using it. good quality without doubt</v>
      </c>
    </row>
    <row r="3991">
      <c r="A3991" s="1">
        <v>5.0</v>
      </c>
      <c r="B3991" s="1" t="s">
        <v>3971</v>
      </c>
      <c r="C3991" t="str">
        <f>IFERROR(__xludf.DUMMYFUNCTION("GOOGLETRANSLATE(B3991, ""es"", ""en"")"),"Progress! I would never have imagined that an article that was used many years ago worked so well. For the price you will assured of a supercomfort to get into the bed. Ojala would have bought before!")</f>
        <v>Progress! I would never have imagined that an article that was used many years ago worked so well. For the price you will assured of a supercomfort to get into the bed. Ojala would have bought before!</v>
      </c>
    </row>
    <row r="3992">
      <c r="A3992" s="1">
        <v>5.0</v>
      </c>
      <c r="B3992" s="1" t="s">
        <v>3972</v>
      </c>
      <c r="C3992" t="str">
        <f>IFERROR(__xludf.DUMMYFUNCTION("GOOGLETRANSLATE(B3992, ""es"", ""en"")"),"Perfect just what I wanted and what marks in the description. Good quality and good material. I would definitely buy")</f>
        <v>Perfect just what I wanted and what marks in the description. Good quality and good material. I would definitely buy</v>
      </c>
    </row>
    <row r="3993">
      <c r="A3993" s="1">
        <v>5.0</v>
      </c>
      <c r="B3993" s="1" t="s">
        <v>3973</v>
      </c>
      <c r="C3993" t="str">
        <f>IFERROR(__xludf.DUMMYFUNCTION("GOOGLETRANSLATE(B3993, ""es"", ""en"")"),"Beautiful and comfortable super nice and comfy, I love")</f>
        <v>Beautiful and comfortable super nice and comfy, I love</v>
      </c>
    </row>
    <row r="3994">
      <c r="A3994" s="1">
        <v>5.0</v>
      </c>
      <c r="B3994" s="1" t="s">
        <v>3974</v>
      </c>
      <c r="C3994" t="str">
        <f>IFERROR(__xludf.DUMMYFUNCTION("GOOGLETRANSLATE(B3994, ""es"", ""en"")"),"Very cool Shoulder bag good quality and design. I could not find anything like that in my city. It has a value for money unbeatable")</f>
        <v>Very cool Shoulder bag good quality and design. I could not find anything like that in my city. It has a value for money unbeatable</v>
      </c>
    </row>
    <row r="3995">
      <c r="A3995" s="1">
        <v>5.0</v>
      </c>
      <c r="B3995" s="1" t="s">
        <v>3975</v>
      </c>
      <c r="C3995" t="str">
        <f>IFERROR(__xludf.DUMMYFUNCTION("GOOGLETRANSLATE(B3995, ""es"", ""en"")"),"Excellent product I have over 1 year with her, outside this as new, still it works like the first day and that we use almost daily. Sobrado will power to make purees, sauces, etc. Very happy with the purchase.")</f>
        <v>Excellent product I have over 1 year with her, outside this as new, still it works like the first day and that we use almost daily. Sobrado will power to make purees, sauces, etc. Very happy with the purchase.</v>
      </c>
    </row>
    <row r="3996">
      <c r="A3996" s="1">
        <v>2.0</v>
      </c>
      <c r="B3996" s="1" t="s">
        <v>3976</v>
      </c>
      <c r="C3996" t="str">
        <f>IFERROR(__xludf.DUMMYFUNCTION("GOOGLETRANSLATE(B3996, ""es"", ""en"")"),"small are smaller than they look, stick pretty but not worth me for what I bought, I think they should one euro by side photo of the catalog to give you an idea of ​​the size.")</f>
        <v>small are smaller than they look, stick pretty but not worth me for what I bought, I think they should one euro by side photo of the catalog to give you an idea of ​​the size.</v>
      </c>
    </row>
    <row r="3997">
      <c r="A3997" s="1">
        <v>3.0</v>
      </c>
      <c r="B3997" s="1" t="s">
        <v>3977</v>
      </c>
      <c r="C3997" t="str">
        <f>IFERROR(__xludf.DUMMYFUNCTION("GOOGLETRANSLATE(B3997, ""es"", ""en"")"),"It gives some taste acceptable but nothing out of this world ....")</f>
        <v>It gives some taste acceptable but nothing out of this world ....</v>
      </c>
    </row>
    <row r="3998">
      <c r="A3998" s="1">
        <v>3.0</v>
      </c>
      <c r="B3998" s="1" t="s">
        <v>3978</v>
      </c>
      <c r="C3998" t="str">
        <f>IFERROR(__xludf.DUMMYFUNCTION("GOOGLETRANSLATE(B3998, ""es"", ""en"")"),"Q too big for what I thought was expecting more type bag and a backpack for odenador and other documents. Very thin for my taste")</f>
        <v>Q too big for what I thought was expecting more type bag and a backpack for odenador and other documents. Very thin for my taste</v>
      </c>
    </row>
    <row r="3999">
      <c r="A3999" s="1">
        <v>1.0</v>
      </c>
      <c r="B3999" s="1" t="s">
        <v>3979</v>
      </c>
      <c r="C3999" t="str">
        <f>IFERROR(__xludf.DUMMYFUNCTION("GOOGLETRANSLATE(B3999, ""es"", ""en"")"),"Nanny bad experience color that appeared in which I chose.")</f>
        <v>Nanny bad experience color that appeared in which I chose.</v>
      </c>
    </row>
    <row r="4000">
      <c r="A4000" s="1">
        <v>1.0</v>
      </c>
      <c r="B4000" s="1" t="s">
        <v>3980</v>
      </c>
      <c r="C4000" t="str">
        <f>IFERROR(__xludf.DUMMYFUNCTION("GOOGLETRANSLATE(B4000, ""es"", ""en"")"),"no quality backup storage data and non-durable unstable, less than three months, poor quality")</f>
        <v>no quality backup storage data and non-durable unstable, less than three months, poor quality</v>
      </c>
    </row>
    <row r="4001">
      <c r="A4001" s="1">
        <v>1.0</v>
      </c>
      <c r="B4001" s="1" t="s">
        <v>3981</v>
      </c>
      <c r="C4001" t="str">
        <f>IFERROR(__xludf.DUMMYFUNCTION("GOOGLETRANSLATE(B4001, ""es"", ""en"")"),"Perfect for a day nice ring for a couple of days, quickly loses shine, let the finger and fall black stones")</f>
        <v>Perfect for a day nice ring for a couple of days, quickly loses shine, let the finger and fall black stones</v>
      </c>
    </row>
    <row r="4002">
      <c r="A4002" s="1">
        <v>4.0</v>
      </c>
      <c r="B4002" s="1" t="s">
        <v>3982</v>
      </c>
      <c r="C4002" t="str">
        <f>IFERROR(__xludf.DUMMYFUNCTION("GOOGLETRANSLATE(B4002, ""es"", ""en"")"),"Humidifier The product has good size, works well, has the remote control for me is a very good plus, a wide range of colors, unique but you can put it lacks some power of smoke, perfect for ofina and relaxation, now when you are ill falls somewhat short, "&amp;"depends on usage you give it.")</f>
        <v>Humidifier The product has good size, works well, has the remote control for me is a very good plus, a wide range of colors, unique but you can put it lacks some power of smoke, perfect for ofina and relaxation, now when you are ill falls somewhat short, depends on usage you give it.</v>
      </c>
    </row>
    <row r="4003">
      <c r="A4003" s="1">
        <v>4.0</v>
      </c>
      <c r="B4003" s="1" t="s">
        <v>3983</v>
      </c>
      <c r="C4003" t="str">
        <f>IFERROR(__xludf.DUMMYFUNCTION("GOOGLETRANSLATE(B4003, ""es"", ""en"")"),"🥀Archivador smart to file the most important !!! 🥀 🔥 *** Description *** 🔥 -Carpetas Accordion 12 Compartments with flaps and black cord. -Great not to worry in my files or documents and are not messy. To not find them home anywhere and whenever I nee"&amp;"d to find locate it at first! -Perfect for use and administration With 12 pockets, we can be labeled without problem and summarize the necessary documents and make our work with the filer is efficient and effective -The folder is broad and practical for l"&amp;"etter size, and suitable for a maximum of -Multifuncional A4 size, made of plastic, regular, elegant and is waterproof quality. practical and modern, solid -Design to keep us safe and the file safely !! -Perfect for children and adults. For studies, offic"&amp;"e, or home .... ♥ ️ ♥ ️ *** *** Opinion Ideal to save my documents, files from my studies for each evaluation, not to lose and not go crazy looking for it when you need it. !!! 😍 With flaps 12 so that they can be classified according to their use. Lightw"&amp;"eight, easy to carry thanks to his lapel original, modern and stylish design. 💢 *** Pros / Cons *** 💢 The plastic of the filer is not very good, both outside and inside, if you care you can last for long! And if you do not care, do not arrive or the yea"&amp;"r !!! Notice;!!!! Before buying fixed that there are two types of file cabinets that the seller sells - Archiver flap 12 (which is mine) -Archivador flap 24 without different prices !!! You choose the one that best suits your needs !!! For money, as its p"&amp;"rice the quality could be better, or more affordable !!! And the bad description of the seller to bid on the same page two completely different files and non-identical prices, produces mislead the purchaser at the time of purchase and can be produced comp"&amp;"laints are logical !!! So I vote with 4 stars ⭐⭐⭐⭐ ✍️ History Archiver *** *** ✍️ This form of saving documents arose around 1860. It consists of a folder accordion, with several divisions, which are usually classified in alphabetical order. The actual us"&amp;"e of this system is for the personal file. Professionals who use the most are the cobradoress or officials who must carry receipts, invoices or documents for billing purposes or distribution since history began to be written, there is the archiving proces"&amp;"s. Many stones, scrolls and manuscripts of great historical value have been preserved through the years and are currently adequately protected in museums. Many scrolls for example, found by chance in mud pots and these buried underground. Today continues "&amp;"the usual sealing letters, photographs, magazines, newspapers, and other documents together at an angular or foundation stone that is placed in a new building to be constructed. These primitive methods of archiving followed by others, which consisted mere"&amp;"ly in keeping the papers. Had disadvantages, as offered no protection nor any order. ✍️ *** The Archiver from the Middle Ages to 1900 *** ✍️ hook or Espigón: began to be used around the fifteenth century. It consists of a nail or spike metal base, to rest"&amp;" on the table or desk; or a plate with hook that hangs on the wall. The papers are placed on the hook as received. Some problems of this system: No papers are safeguarded against dust. -The documents can be released and / or lost. 'It's not possible to ma"&amp;"intain some order. He makes it difficult to refer to documents on file as well. To get a document be drawn from the hook all the above. 'Since the papers are punched the place on the hook, this may be on a name, number, etc. -Although all these drawbacks,"&amp;" the method of the hook or groyne is still used today. Papers retire to the end of the day to be permanently archived. In difinitiva .... You must decide Archiver more suited to your needs !!! I chose this model for this school year !!!")</f>
        <v>🥀Archivador smart to file the most important !!! 🥀 🔥 *** Description *** 🔥 -Carpetas Accordion 12 Compartments with flaps and black cord. -Great not to worry in my files or documents and are not messy. To not find them home anywhere and whenever I need to find locate it at first! -Perfect for use and administration With 12 pockets, we can be labeled without problem and summarize the necessary documents and make our work with the filer is efficient and effective -The folder is broad and practical for letter size, and suitable for a maximum of -Multifuncional A4 size, made of plastic, regular, elegant and is waterproof quality. practical and modern, solid -Design to keep us safe and the file safely !! -Perfect for children and adults. For studies, office, or home .... ♥ ️ ♥ ️ *** *** Opinion Ideal to save my documents, files from my studies for each evaluation, not to lose and not go crazy looking for it when you need it. !!! 😍 With flaps 12 so that they can be classified according to their use. Lightweight, easy to carry thanks to his lapel original, modern and stylish design. 💢 *** Pros / Cons *** 💢 The plastic of the filer is not very good, both outside and inside, if you care you can last for long! And if you do not care, do not arrive or the year !!! Notice;!!!! Before buying fixed that there are two types of file cabinets that the seller sells - Archiver flap 12 (which is mine) -Archivador flap 24 without different prices !!! You choose the one that best suits your needs !!! For money, as its price the quality could be better, or more affordable !!! And the bad description of the seller to bid on the same page two completely different files and non-identical prices, produces mislead the purchaser at the time of purchase and can be produced complaints are logical !!! So I vote with 4 stars ⭐⭐⭐⭐ ✍️ History Archiver *** *** ✍️ This form of saving documents arose around 1860. It consists of a folder accordion, with several divisions, which are usually classified in alphabetical order. The actual use of this system is for the personal file. Professionals who use the most are the cobradoress or officials who must carry receipts, invoices or documents for billing purposes or distribution since history began to be written, there is the archiving process. Many stones, scrolls and manuscripts of great historical value have been preserved through the years and are currently adequately protected in museums. Many scrolls for example, found by chance in mud pots and these buried underground. Today continues the usual sealing letters, photographs, magazines, newspapers, and other documents together at an angular or foundation stone that is placed in a new building to be constructed. These primitive methods of archiving followed by others, which consisted merely in keeping the papers. Had disadvantages, as offered no protection nor any order. ✍️ *** The Archiver from the Middle Ages to 1900 *** ✍️ hook or Espigón: began to be used around the fifteenth century. It consists of a nail or spike metal base, to rest on the table or desk; or a plate with hook that hangs on the wall. The papers are placed on the hook as received. Some problems of this system: No papers are safeguarded against dust. -The documents can be released and / or lost. 'It's not possible to maintain some order. He makes it difficult to refer to documents on file as well. To get a document be drawn from the hook all the above. 'Since the papers are punched the place on the hook, this may be on a name, number, etc. -Although all these drawbacks, the method of the hook or groyne is still used today. Papers retire to the end of the day to be permanently archived. In difinitiva .... You must decide Archiver more suited to your needs !!! I chose this model for this school year !!!</v>
      </c>
    </row>
    <row r="4004">
      <c r="A4004" s="1">
        <v>4.0</v>
      </c>
      <c r="B4004" s="1" t="s">
        <v>3984</v>
      </c>
      <c r="C4004" t="str">
        <f>IFERROR(__xludf.DUMMYFUNCTION("GOOGLETRANSLATE(B4004, ""es"", ""en"")"),"They do not seem fake. We all know these adidas boots in America, and the like Levis, carry using them years, I've had previously in the other colors and the contriode what they say other opinions, say they are authentic.")</f>
        <v>They do not seem fake. We all know these adidas boots in America, and the like Levis, carry using them years, I've had previously in the other colors and the contriode what they say other opinions, say they are authentic.</v>
      </c>
    </row>
    <row r="4005">
      <c r="A4005" s="1">
        <v>4.0</v>
      </c>
      <c r="B4005" s="1" t="s">
        <v>3985</v>
      </c>
      <c r="C4005" t="str">
        <f>IFERROR(__xludf.DUMMYFUNCTION("GOOGLETRANSLATE(B4005, ""es"", ""en"")"),"Okay okay, it does not take too much air and has not had colic with him. The only drawback is that it is a little tedious to clean the mechanism having.")</f>
        <v>Okay okay, it does not take too much air and has not had colic with him. The only drawback is that it is a little tedious to clean the mechanism having.</v>
      </c>
    </row>
    <row r="4006">
      <c r="A4006" s="1">
        <v>5.0</v>
      </c>
      <c r="B4006" s="1" t="s">
        <v>3986</v>
      </c>
      <c r="C4006" t="str">
        <f>IFERROR(__xludf.DUMMYFUNCTION("GOOGLETRANSLATE(B4006, ""es"", ""en"")"),"Better, impossible I loved! Bag ideal, even better than the pictures and the great service! I will buy 100% Colombian Style!")</f>
        <v>Better, impossible I loved! Bag ideal, even better than the pictures and the great service! I will buy 100% Colombian Style!</v>
      </c>
    </row>
    <row r="4007">
      <c r="A4007" s="1">
        <v>5.0</v>
      </c>
      <c r="B4007" s="1" t="s">
        <v>3987</v>
      </c>
      <c r="C4007" t="str">
        <f>IFERROR(__xludf.DUMMYFUNCTION("GOOGLETRANSLATE(B4007, ""es"", ""en"")"),"Bonitos is my mother bought them because we needed a change that stopped working in stereo. Despite not being insulated (they are rather typical for use with MP3 and mobile-not have micro-) are quite comfortable and the color is the same as the picture, e"&amp;"ven more cake when you see it in your hands.")</f>
        <v>Bonitos is my mother bought them because we needed a change that stopped working in stereo. Despite not being insulated (they are rather typical for use with MP3 and mobile-not have micro-) are quite comfortable and the color is the same as the picture, even more cake when you see it in your hands.</v>
      </c>
    </row>
    <row r="4008">
      <c r="A4008" s="1">
        <v>5.0</v>
      </c>
      <c r="B4008" s="1" t="s">
        <v>3988</v>
      </c>
      <c r="C4008" t="str">
        <f>IFERROR(__xludf.DUMMYFUNCTION("GOOGLETRANSLATE(B4008, ""es"", ""en"")"),"Senzill and easy good with plenty of durability both batteries as the object itself, does not fail. The light that makes important because it is soft and does not harm your eyes in the dark.")</f>
        <v>Senzill and easy good with plenty of durability both batteries as the object itself, does not fail. The light that makes important because it is soft and does not harm your eyes in the dark.</v>
      </c>
    </row>
    <row r="4009">
      <c r="A4009" s="1">
        <v>5.0</v>
      </c>
      <c r="B4009" s="1" t="s">
        <v>3989</v>
      </c>
      <c r="C4009" t="str">
        <f>IFERROR(__xludf.DUMMYFUNCTION("GOOGLETRANSLATE(B4009, ""es"", ""en"")"),"Very nice sterling silver Pretty silver bracelet with two hearts intertwined. Very comfortable to wear and fits perfectly into my wrist. I'm happy")</f>
        <v>Very nice sterling silver Pretty silver bracelet with two hearts intertwined. Very comfortable to wear and fits perfectly into my wrist. I'm happy</v>
      </c>
    </row>
    <row r="4010">
      <c r="A4010" s="1">
        <v>5.0</v>
      </c>
      <c r="B4010" s="1" t="s">
        <v>3990</v>
      </c>
      <c r="C4010" t="str">
        <f>IFERROR(__xludf.DUMMYFUNCTION("GOOGLETRANSLATE(B4010, ""es"", ""en"")"),"Very good quality very good quality of everything. And the ""lock"" strap is great and easy to open if you want to remove the clock.")</f>
        <v>Very good quality very good quality of everything. And the "lock" strap is great and easy to open if you want to remove the clock.</v>
      </c>
    </row>
    <row r="4011">
      <c r="A4011" s="1">
        <v>5.0</v>
      </c>
      <c r="B4011" s="1" t="s">
        <v>3991</v>
      </c>
      <c r="C4011" t="str">
        <f>IFERROR(__xludf.DUMMYFUNCTION("GOOGLETRANSLATE(B4011, ""es"", ""en"")"),"Perfect for carrying Tidy Bag is perfect, I am delighted, everything will finally in place and not esparramada per bag. and it is best that you change your bag in a second")</f>
        <v>Perfect for carrying Tidy Bag is perfect, I am delighted, everything will finally in place and not esparramada per bag. and it is best that you change your bag in a second</v>
      </c>
    </row>
    <row r="4012">
      <c r="A4012" s="1">
        <v>5.0</v>
      </c>
      <c r="B4012" s="1" t="s">
        <v>3992</v>
      </c>
      <c r="C4012" t="str">
        <f>IFERROR(__xludf.DUMMYFUNCTION("GOOGLETRANSLATE(B4012, ""es"", ""en"")"),"Great article is a model for the price that has, by design, battery and sound quality worth. Good quality of materials and last hope")</f>
        <v>Great article is a model for the price that has, by design, battery and sound quality worth. Good quality of materials and last hope</v>
      </c>
    </row>
    <row r="4013">
      <c r="A4013" s="1">
        <v>5.0</v>
      </c>
      <c r="B4013" s="1" t="s">
        <v>3993</v>
      </c>
      <c r="C4013" t="str">
        <f>IFERROR(__xludf.DUMMYFUNCTION("GOOGLETRANSLATE(B4013, ""es"", ""en"")"),"Excellent satisfied brand")</f>
        <v>Excellent satisfied brand</v>
      </c>
    </row>
    <row r="4014">
      <c r="A4014" s="1">
        <v>5.0</v>
      </c>
      <c r="B4014" s="1" t="s">
        <v>3994</v>
      </c>
      <c r="C4014" t="str">
        <f>IFERROR(__xludf.DUMMYFUNCTION("GOOGLETRANSLATE(B4014, ""es"", ""en"")"),"The design All right, well at the moment")</f>
        <v>The design All right, well at the moment</v>
      </c>
    </row>
    <row r="4015">
      <c r="A4015" s="1">
        <v>5.0</v>
      </c>
      <c r="B4015" s="1" t="s">
        <v>3995</v>
      </c>
      <c r="C4015" t="str">
        <f>IFERROR(__xludf.DUMMYFUNCTION("GOOGLETRANSLATE(B4015, ""es"", ""en"")"),"Good product quality perfect price")</f>
        <v>Good product quality perfect price</v>
      </c>
    </row>
    <row r="4016">
      <c r="A4016" s="1">
        <v>5.0</v>
      </c>
      <c r="B4016" s="1" t="s">
        <v>3996</v>
      </c>
      <c r="C4016" t="str">
        <f>IFERROR(__xludf.DUMMYFUNCTION("GOOGLETRANSLATE(B4016, ""es"", ""en"")"),"Genial I use it to connect a microphone and an acoustic guitar without problem.")</f>
        <v>Genial I use it to connect a microphone and an acoustic guitar without problem.</v>
      </c>
    </row>
    <row r="4017">
      <c r="A4017" s="1">
        <v>5.0</v>
      </c>
      <c r="B4017" s="1" t="s">
        <v>3997</v>
      </c>
      <c r="C4017" t="str">
        <f>IFERROR(__xludf.DUMMYFUNCTION("GOOGLETRANSLATE(B4017, ""es"", ""en"")"),"Quality'm very happy with the quality of the product. I use it daily. It works perfectly.")</f>
        <v>Quality'm very happy with the quality of the product. I use it daily. It works perfectly.</v>
      </c>
    </row>
    <row r="4018">
      <c r="A4018" s="1">
        <v>5.0</v>
      </c>
      <c r="B4018" s="1" t="s">
        <v>3998</v>
      </c>
      <c r="C4018" t="str">
        <f>IFERROR(__xludf.DUMMYFUNCTION("GOOGLETRANSLATE(B4018, ""es"", ""en"")"),"Very comfortable very comfortable when carrying and organize sd cards")</f>
        <v>Very comfortable very comfortable when carrying and organize sd cards</v>
      </c>
    </row>
    <row r="4019">
      <c r="A4019" s="1">
        <v>5.0</v>
      </c>
      <c r="B4019" s="1" t="s">
        <v>3999</v>
      </c>
      <c r="C4019" t="str">
        <f>IFERROR(__xludf.DUMMYFUNCTION("GOOGLETRANSLATE(B4019, ""es"", ""en"")"),"Vyena purchase is good")</f>
        <v>Vyena purchase is good</v>
      </c>
    </row>
    <row r="4020">
      <c r="A4020" s="1">
        <v>5.0</v>
      </c>
      <c r="B4020" s="1" t="s">
        <v>4000</v>
      </c>
      <c r="C4020" t="str">
        <f>IFERROR(__xludf.DUMMYFUNCTION("GOOGLETRANSLATE(B4020, ""es"", ""en"")"),"Operation proper functioning properly, it is worth.")</f>
        <v>Operation proper functioning properly, it is worth.</v>
      </c>
    </row>
    <row r="4021">
      <c r="A4021" s="1">
        <v>5.0</v>
      </c>
      <c r="B4021" s="1" t="s">
        <v>4001</v>
      </c>
      <c r="C4021" t="str">
        <f>IFERROR(__xludf.DUMMYFUNCTION("GOOGLETRANSLATE(B4021, ""es"", ""en"")"),"Perfect is the 2nd time I buy them and I love them very good finish and super comfortable")</f>
        <v>Perfect is the 2nd time I buy them and I love them very good finish and super comfortable</v>
      </c>
    </row>
    <row r="4022">
      <c r="A4022" s="1">
        <v>5.0</v>
      </c>
      <c r="B4022" s="1" t="s">
        <v>4002</v>
      </c>
      <c r="C4022" t="str">
        <f>IFERROR(__xludf.DUMMYFUNCTION("GOOGLETRANSLATE(B4022, ""es"", ""en"")"),"It's very nice elegant")</f>
        <v>It's very nice elegant</v>
      </c>
    </row>
    <row r="4023">
      <c r="A4023" s="1">
        <v>5.0</v>
      </c>
      <c r="B4023" s="1" t="s">
        <v>4003</v>
      </c>
      <c r="C4023" t="str">
        <f>IFERROR(__xludf.DUMMYFUNCTION("GOOGLETRANSLATE(B4023, ""es"", ""en"")"),"Original Superstar I came today superstar and d moment very well, they are very well d original price, last hope q, the number q have q ask useis normamente")</f>
        <v>Original Superstar I came today superstar and d moment very well, they are very well d original price, last hope q, the number q have q ask useis normamente</v>
      </c>
    </row>
    <row r="4024">
      <c r="A4024" s="1">
        <v>2.0</v>
      </c>
      <c r="B4024" s="1" t="s">
        <v>4004</v>
      </c>
      <c r="C4024" t="str">
        <f>IFERROR(__xludf.DUMMYFUNCTION("GOOGLETRANSLATE(B4024, ""es"", ""en"")"),"Slippery sole and ""leather"" low quality. Somewhat uncomfortable, quite heavy. The sole grips very little on wet or oil residues. Ventilation is very bad. When cleaned out with water, dark spots appear in the ""leather"" more than leather seems very stur"&amp;"dy cardboard ...")</f>
        <v>Slippery sole and "leather" low quality. Somewhat uncomfortable, quite heavy. The sole grips very little on wet or oil residues. Ventilation is very bad. When cleaned out with water, dark spots appear in the "leather" more than leather seems very sturdy cardboard ...</v>
      </c>
    </row>
    <row r="4025">
      <c r="A4025" s="1">
        <v>3.0</v>
      </c>
      <c r="B4025" s="1" t="s">
        <v>4005</v>
      </c>
      <c r="C4025" t="str">
        <f>IFERROR(__xludf.DUMMYFUNCTION("GOOGLETRANSLATE(B4025, ""es"", ""en"")"),"Plastic. Honestly, volcanic stones do seem to be. The others seem more plastic than anything else. In any case, it is beautiful, or the least I think so.")</f>
        <v>Plastic. Honestly, volcanic stones do seem to be. The others seem more plastic than anything else. In any case, it is beautiful, or the least I think so.</v>
      </c>
    </row>
    <row r="4026">
      <c r="A4026" s="1">
        <v>3.0</v>
      </c>
      <c r="B4026" s="1" t="s">
        <v>4006</v>
      </c>
      <c r="C4026" t="str">
        <f>IFERROR(__xludf.DUMMYFUNCTION("GOOGLETRANSLATE(B4026, ""es"", ""en"")"),"Otherwise good nice watch but quite a bit annoying Tochon ... wrist ...")</f>
        <v>Otherwise good nice watch but quite a bit annoying Tochon ... wrist ...</v>
      </c>
    </row>
    <row r="4027">
      <c r="A4027" s="1">
        <v>1.0</v>
      </c>
      <c r="B4027" s="1" t="s">
        <v>4007</v>
      </c>
      <c r="C4027" t="str">
        <f>IFERROR(__xludf.DUMMYFUNCTION("GOOGLETRANSLATE(B4027, ""es"", ""en"")"),"Korea is wrong watches Korea This is very bad so I have my new Korea breaks but I just want this watches Korea")</f>
        <v>Korea is wrong watches Korea This is very bad so I have my new Korea breaks but I just want this watches Korea</v>
      </c>
    </row>
    <row r="4028">
      <c r="A4028" s="1">
        <v>1.0</v>
      </c>
      <c r="B4028" s="1" t="s">
        <v>4008</v>
      </c>
      <c r="C4028" t="str">
        <f>IFERROR(__xludf.DUMMYFUNCTION("GOOGLETRANSLATE(B4028, ""es"", ""en"")"),"Seek another handset as they have faults. I caught since November 2017 Christmas present and until March 2018 stopped working in one of his headphones and caught 2 and both have the same problem, there is some guarantee as trust Sony, but I did not expect"&amp;" to be so will damage the good fast hard than others but it's a bad experience to see that the quality of a brand fails.")</f>
        <v>Seek another handset as they have faults. I caught since November 2017 Christmas present and until March 2018 stopped working in one of his headphones and caught 2 and both have the same problem, there is some guarantee as trust Sony, but I did not expect to be so will damage the good fast hard than others but it's a bad experience to see that the quality of a brand fails.</v>
      </c>
    </row>
    <row r="4029">
      <c r="A4029" s="1">
        <v>4.0</v>
      </c>
      <c r="B4029" s="1" t="s">
        <v>4009</v>
      </c>
      <c r="C4029" t="str">
        <f>IFERROR(__xludf.DUMMYFUNCTION("GOOGLETRANSLATE(B4029, ""es"", ""en"")"),"good purchase as it is described although the chain is slightly fragile")</f>
        <v>good purchase as it is described although the chain is slightly fragile</v>
      </c>
    </row>
    <row r="4030">
      <c r="A4030" s="1">
        <v>4.0</v>
      </c>
      <c r="B4030" s="1" t="s">
        <v>4010</v>
      </c>
      <c r="C4030" t="str">
        <f>IFERROR(__xludf.DUMMYFUNCTION("GOOGLETRANSLATE(B4030, ""es"", ""en"")"),"Good substitute for arm I have a microphone Neewer NW-700, and so far had with his arm, but I was uncomfortable when speaking, since it is not stretched enough and had to turn his head to see my screen. With this support, changing the piece up by the micr"&amp;"ophone spider I already had, I have a lot more comfortable and less cumbersome than the whole arm.")</f>
        <v>Good substitute for arm I have a microphone Neewer NW-700, and so far had with his arm, but I was uncomfortable when speaking, since it is not stretched enough and had to turn his head to see my screen. With this support, changing the piece up by the microphone spider I already had, I have a lot more comfortable and less cumbersome than the whole arm.</v>
      </c>
    </row>
    <row r="4031">
      <c r="A4031" s="1">
        <v>4.0</v>
      </c>
      <c r="B4031" s="1" t="s">
        <v>4011</v>
      </c>
      <c r="C4031" t="str">
        <f>IFERROR(__xludf.DUMMYFUNCTION("GOOGLETRANSLATE(B4031, ""es"", ""en"")"),"Po RLO good option that costs you can not ask for more, also has the quick insertion pin, which makes life easier when putting it and remove it")</f>
        <v>Po RLO good option that costs you can not ask for more, also has the quick insertion pin, which makes life easier when putting it and remove it</v>
      </c>
    </row>
    <row r="4032">
      <c r="A4032" s="1">
        <v>4.0</v>
      </c>
      <c r="B4032" s="1" t="s">
        <v>4012</v>
      </c>
      <c r="C4032" t="str">
        <f>IFERROR(__xludf.DUMMYFUNCTION("GOOGLETRANSLATE(B4032, ""es"", ""en"")"),"Cocky is smaller than I thought, but it is really nice and is very fine job. Value for me very good.")</f>
        <v>Cocky is smaller than I thought, but it is really nice and is very fine job. Value for me very good.</v>
      </c>
    </row>
    <row r="4033">
      <c r="A4033" s="1">
        <v>4.0</v>
      </c>
      <c r="B4033" s="1" t="s">
        <v>4013</v>
      </c>
      <c r="C4033" t="str">
        <f>IFERROR(__xludf.DUMMYFUNCTION("GOOGLETRANSLATE(B4033, ""es"", ""en"")"),"While it is as I expected, the quality is not bad but the truth in different color as seen in the photo. It is a very simple sweatshirt to wear it daily with jeans or leggings")</f>
        <v>While it is as I expected, the quality is not bad but the truth in different color as seen in the photo. It is a very simple sweatshirt to wear it daily with jeans or leggings</v>
      </c>
    </row>
    <row r="4034">
      <c r="A4034" s="1">
        <v>5.0</v>
      </c>
      <c r="B4034" s="1" t="s">
        <v>4014</v>
      </c>
      <c r="C4034" t="str">
        <f>IFERROR(__xludf.DUMMYFUNCTION("GOOGLETRANSLATE(B4034, ""es"", ""en"")"),"Supreme turns everything into liquid is amazing, zero lumps and does it all")</f>
        <v>Supreme turns everything into liquid is amazing, zero lumps and does it all</v>
      </c>
    </row>
    <row r="4035">
      <c r="A4035" s="1">
        <v>5.0</v>
      </c>
      <c r="B4035" s="1" t="s">
        <v>4015</v>
      </c>
      <c r="C4035" t="str">
        <f>IFERROR(__xludf.DUMMYFUNCTION("GOOGLETRANSLATE(B4035, ""es"", ""en"")"),"Great! A great gift for my mom, good quality and good price, apparently are very comfortable and the truth is that they are wonderful. Weigh nothing and transpasa air with ease, adecauados for these summer days. They arrived earlier than expected.")</f>
        <v>Great! A great gift for my mom, good quality and good price, apparently are very comfortable and the truth is that they are wonderful. Weigh nothing and transpasa air with ease, adecauados for these summer days. They arrived earlier than expected.</v>
      </c>
    </row>
    <row r="4036">
      <c r="A4036" s="1">
        <v>5.0</v>
      </c>
      <c r="B4036" s="1" t="s">
        <v>4016</v>
      </c>
      <c r="C4036" t="str">
        <f>IFERROR(__xludf.DUMMYFUNCTION("GOOGLETRANSLATE(B4036, ""es"", ""en"")"),"I like these NB Simply perfect. I love his style and comfort")</f>
        <v>I like these NB Simply perfect. I love his style and comfort</v>
      </c>
    </row>
    <row r="4037">
      <c r="A4037" s="1">
        <v>5.0</v>
      </c>
      <c r="B4037" s="1" t="s">
        <v>4017</v>
      </c>
      <c r="C4037" t="str">
        <f>IFERROR(__xludf.DUMMYFUNCTION("GOOGLETRANSLATE(B4037, ""es"", ""en"")"),"I bought these beautiful sports sneakers and the truth is they have a very successful design. They are also comfortable and came clean.")</f>
        <v>I bought these beautiful sports sneakers and the truth is they have a very successful design. They are also comfortable and came clean.</v>
      </c>
    </row>
    <row r="4038">
      <c r="A4038" s="1">
        <v>5.0</v>
      </c>
      <c r="B4038" s="1" t="s">
        <v>4018</v>
      </c>
      <c r="C4038" t="str">
        <f>IFERROR(__xludf.DUMMYFUNCTION("GOOGLETRANSLATE(B4038, ""es"", ""en"")"),"Ideal for small spaces. Good size and very thin. Easy to hang as it takes a few moving parts to hang with a hook or spike. Draft magnetized with gripping point for the 2 markers bearing.")</f>
        <v>Ideal for small spaces. Good size and very thin. Easy to hang as it takes a few moving parts to hang with a hook or spike. Draft magnetized with gripping point for the 2 markers bearing.</v>
      </c>
    </row>
    <row r="4039">
      <c r="A4039" s="1">
        <v>5.0</v>
      </c>
      <c r="B4039" s="1" t="s">
        <v>4019</v>
      </c>
      <c r="C4039" t="str">
        <f>IFERROR(__xludf.DUMMYFUNCTION("GOOGLETRANSLATE(B4039, ""es"", ""en"")"),"You are perfect! Bought on sale for 41 €. Comes with its original box VANS and well packed. I usually have a 37'5 but recently pulled over to 38, many people put in comments that give a lot size shoes of this brand me go me perfect. WARD eye are not the O"&amp;"LD SKOOL model, which to the untrained eye like mine are similar muuuuuuuy and do the same workaround. Be careful when buying because sometimes draw offers but with other suppliers, this time I took it with the same brand but some commentators have seen p"&amp;"eople complaining that were false, mine have come perfect and original 100% .")</f>
        <v>You are perfect! Bought on sale for 41 €. Comes with its original box VANS and well packed. I usually have a 37'5 but recently pulled over to 38, many people put in comments that give a lot size shoes of this brand me go me perfect. WARD eye are not the OLD SKOOL model, which to the untrained eye like mine are similar muuuuuuuy and do the same workaround. Be careful when buying because sometimes draw offers but with other suppliers, this time I took it with the same brand but some commentators have seen people complaining that were false, mine have come perfect and original 100% .</v>
      </c>
    </row>
    <row r="4040">
      <c r="A4040" s="1">
        <v>5.0</v>
      </c>
      <c r="B4040" s="1" t="s">
        <v>4020</v>
      </c>
      <c r="C4040" t="str">
        <f>IFERROR(__xludf.DUMMYFUNCTION("GOOGLETRANSLATE(B4040, ""es"", ""en"")"),"Perfect I like the fact that you can leave it completely dark, as many alarm clocks with light making to the turn you while you sleep you get across the face.")</f>
        <v>Perfect I like the fact that you can leave it completely dark, as many alarm clocks with light making to the turn you while you sleep you get across the face.</v>
      </c>
    </row>
    <row r="4041">
      <c r="A4041" s="1">
        <v>5.0</v>
      </c>
      <c r="B4041" s="1" t="s">
        <v>4021</v>
      </c>
      <c r="C4041" t="str">
        <f>IFERROR(__xludf.DUMMYFUNCTION("GOOGLETRANSLATE(B4041, ""es"", ""en"")"),"Good product The product well, just heavy.")</f>
        <v>Good product The product well, just heavy.</v>
      </c>
    </row>
    <row r="4042">
      <c r="A4042" s="1">
        <v>5.0</v>
      </c>
      <c r="B4042" s="1" t="s">
        <v>4022</v>
      </c>
      <c r="C4042" t="str">
        <f>IFERROR(__xludf.DUMMYFUNCTION("GOOGLETRANSLATE(B4042, ""es"", ""en"")"),"GOOD BUY Perfect is ideal to amplify the voice laden environments.")</f>
        <v>GOOD BUY Perfect is ideal to amplify the voice laden environments.</v>
      </c>
    </row>
    <row r="4043">
      <c r="A4043" s="1">
        <v>5.0</v>
      </c>
      <c r="B4043" s="1" t="s">
        <v>4023</v>
      </c>
      <c r="C4043" t="str">
        <f>IFERROR(__xludf.DUMMYFUNCTION("GOOGLETRANSLATE(B4043, ""es"", ""en"")"),"blance easy I've been using a lot of time and saves you having to change the water as often.")</f>
        <v>blance easy I've been using a lot of time and saves you having to change the water as often.</v>
      </c>
    </row>
    <row r="4044">
      <c r="A4044" s="1">
        <v>5.0</v>
      </c>
      <c r="B4044" s="1" t="s">
        <v>4024</v>
      </c>
      <c r="C4044" t="str">
        <f>IFERROR(__xludf.DUMMYFUNCTION("GOOGLETRANSLATE(B4044, ""es"", ""en"")"),"Camila I loved it and my baby too, is very well designed and I love that you can prepare the bottle without the cap from inside, and mixtures lids all without the leche👏👏👏👏 is out")</f>
        <v>Camila I loved it and my baby too, is very well designed and I love that you can prepare the bottle without the cap from inside, and mixtures lids all without the leche👏👏👏👏 is out</v>
      </c>
    </row>
    <row r="4045">
      <c r="A4045" s="1">
        <v>5.0</v>
      </c>
      <c r="B4045" s="1" t="s">
        <v>4025</v>
      </c>
      <c r="C4045" t="str">
        <f>IFERROR(__xludf.DUMMYFUNCTION("GOOGLETRANSLATE(B4045, ""es"", ""en"")"),"Meets expectations that more expensive other products very competitive price and same quality. It fits perfectly to your phone. Fully recommended. I will definitely buy.")</f>
        <v>Meets expectations that more expensive other products very competitive price and same quality. It fits perfectly to your phone. Fully recommended. I will definitely buy.</v>
      </c>
    </row>
    <row r="4046">
      <c r="A4046" s="1">
        <v>5.0</v>
      </c>
      <c r="B4046" s="1" t="s">
        <v>4026</v>
      </c>
      <c r="C4046" t="str">
        <f>IFERROR(__xludf.DUMMYFUNCTION("GOOGLETRANSLATE(B4046, ""es"", ""en"")"),"Very good mic for the price you The truth is that I was surprised by the quality of the device. With a mobile phone, or a PC, it works correctly. very good quality and good profit. There is a micro for use in a study, but gives the trick. The worst is the"&amp;" engagement flap of the battery compartment, which is anchored to the belt. Moreover, sufficient cable and good sound quality.")</f>
        <v>Very good mic for the price you The truth is that I was surprised by the quality of the device. With a mobile phone, or a PC, it works correctly. very good quality and good profit. There is a micro for use in a study, but gives the trick. The worst is the engagement flap of the battery compartment, which is anchored to the belt. Moreover, sufficient cable and good sound quality.</v>
      </c>
    </row>
    <row r="4047">
      <c r="A4047" s="1">
        <v>5.0</v>
      </c>
      <c r="B4047" s="1" t="s">
        <v>4027</v>
      </c>
      <c r="C4047" t="str">
        <f>IFERROR(__xludf.DUMMYFUNCTION("GOOGLETRANSLATE(B4047, ""es"", ""en"")"),"Good if you good buy swimmingly")</f>
        <v>Good if you good buy swimmingly</v>
      </c>
    </row>
    <row r="4048">
      <c r="A4048" s="1">
        <v>5.0</v>
      </c>
      <c r="B4048" s="1" t="s">
        <v>4028</v>
      </c>
      <c r="C4048" t="str">
        <f>IFERROR(__xludf.DUMMYFUNCTION("GOOGLETRANSLATE(B4048, ""es"", ""en"")"),"Genial October 10 perfect")</f>
        <v>Genial October 10 perfect</v>
      </c>
    </row>
    <row r="4049">
      <c r="A4049" s="1">
        <v>5.0</v>
      </c>
      <c r="B4049" s="1" t="s">
        <v>4029</v>
      </c>
      <c r="C4049" t="str">
        <f>IFERROR(__xludf.DUMMYFUNCTION("GOOGLETRANSLATE(B4049, ""es"", ""en"")"),"Comes early and well are perfect. They came in their time.")</f>
        <v>Comes early and well are perfect. They came in their time.</v>
      </c>
    </row>
    <row r="4050">
      <c r="A4050" s="1">
        <v>5.0</v>
      </c>
      <c r="B4050" s="1" t="s">
        <v>4030</v>
      </c>
      <c r="C4050" t="str">
        <f>IFERROR(__xludf.DUMMYFUNCTION("GOOGLETRANSLATE(B4050, ""es"", ""en"")"),"I really liked is as described.")</f>
        <v>I really liked is as described.</v>
      </c>
    </row>
    <row r="4051">
      <c r="A4051" s="1">
        <v>5.0</v>
      </c>
      <c r="B4051" s="1" t="s">
        <v>4031</v>
      </c>
      <c r="C4051" t="str">
        <f>IFERROR(__xludf.DUMMYFUNCTION("GOOGLETRANSLATE(B4051, ""es"", ""en"")"),"Perfect as expected.")</f>
        <v>Perfect as expected.</v>
      </c>
    </row>
    <row r="4052">
      <c r="A4052" s="1">
        <v>5.0</v>
      </c>
      <c r="B4052" s="1" t="s">
        <v>4032</v>
      </c>
      <c r="C4052" t="str">
        <f>IFERROR(__xludf.DUMMYFUNCTION("GOOGLETRANSLATE(B4052, ""es"", ""en"")"),"Pleased pleased with the smell, it's everything I expected I bought another to have spare very pleased with purchase")</f>
        <v>Pleased pleased with the smell, it's everything I expected I bought another to have spare very pleased with purchase</v>
      </c>
    </row>
    <row r="4053">
      <c r="A4053" s="1">
        <v>2.0</v>
      </c>
      <c r="B4053" s="1" t="s">
        <v>4033</v>
      </c>
      <c r="C4053" t="str">
        <f>IFERROR(__xludf.DUMMYFUNCTION("GOOGLETRANSLATE(B4053, ""es"", ""en"")"),"Look for another. The cover is of poor quality and does not open well ... hard to carry water and clean ... it takes a while to warm up.")</f>
        <v>Look for another. The cover is of poor quality and does not open well ... hard to carry water and clean ... it takes a while to warm up.</v>
      </c>
    </row>
    <row r="4054">
      <c r="A4054" s="1">
        <v>3.0</v>
      </c>
      <c r="B4054" s="1" t="s">
        <v>4034</v>
      </c>
      <c r="C4054" t="str">
        <f>IFERROR(__xludf.DUMMYFUNCTION("GOOGLETRANSLATE(B4054, ""es"", ""en"")"),"It is an alarm clock reference, not a gentleman quartz watch with brown leather strap. The description may create doubts.")</f>
        <v>It is an alarm clock reference, not a gentleman quartz watch with brown leather strap. The description may create doubts.</v>
      </c>
    </row>
    <row r="4055">
      <c r="A4055" s="1">
        <v>3.0</v>
      </c>
      <c r="B4055" s="1" t="s">
        <v>4035</v>
      </c>
      <c r="C4055" t="str">
        <f>IFERROR(__xludf.DUMMYFUNCTION("GOOGLETRANSLATE(B4055, ""es"", ""en"")"),"SUFFICIENT The pendant is cool and it works, but it lacked a brillantito up in the heart, is otherwise good value. I give it 3 stars, one bright missing and two for shipping, which took longer than expected ..")</f>
        <v>SUFFICIENT The pendant is cool and it works, but it lacked a brillantito up in the heart, is otherwise good value. I give it 3 stars, one bright missing and two for shipping, which took longer than expected ..</v>
      </c>
    </row>
    <row r="4056">
      <c r="A4056" s="1">
        <v>1.0</v>
      </c>
      <c r="B4056" s="1" t="s">
        <v>4036</v>
      </c>
      <c r="C4056" t="str">
        <f>IFERROR(__xludf.DUMMYFUNCTION("GOOGLETRANSLATE(B4056, ""es"", ""en"")"),"It was a gift that did not like, because the alloy having quickly becomes black and smelly. It was a gift that did not like, because the alloy having quickly becomes black and smelly.")</f>
        <v>It was a gift that did not like, because the alloy having quickly becomes black and smelly. It was a gift that did not like, because the alloy having quickly becomes black and smelly.</v>
      </c>
    </row>
    <row r="4057">
      <c r="A4057" s="1">
        <v>1.0</v>
      </c>
      <c r="B4057" s="1" t="s">
        <v>4037</v>
      </c>
      <c r="C4057" t="str">
        <f>IFERROR(__xludf.DUMMYFUNCTION("GOOGLETRANSLATE(B4057, ""es"", ""en"")"),"Glass is not block the vessel is completely loose. I think you are missing parts or you're riding wrong. But no. It is. The glass is not blocked so it gives the feeling that is going to fall at any time. Feeling of insecurity. I do not recommend it for th"&amp;"is reason.")</f>
        <v>Glass is not block the vessel is completely loose. I think you are missing parts or you're riding wrong. But no. It is. The glass is not blocked so it gives the feeling that is going to fall at any time. Feeling of insecurity. I do not recommend it for this reason.</v>
      </c>
    </row>
    <row r="4058">
      <c r="A4058" s="1">
        <v>4.0</v>
      </c>
      <c r="B4058" s="1" t="s">
        <v>4038</v>
      </c>
      <c r="C4058" t="str">
        <f>IFERROR(__xludf.DUMMYFUNCTION("GOOGLETRANSLATE(B4058, ""es"", ""en"")"),"Quality / Perfect price Very practical and easy to use. More difficult is cleaning although that is the Achilles heel of most kettles if you have sausages for fingers. Not the fastest of the market but we are talking about seconds apart so it's something "&amp;"a bit trivial. The design is nice to look at.")</f>
        <v>Quality / Perfect price Very practical and easy to use. More difficult is cleaning although that is the Achilles heel of most kettles if you have sausages for fingers. Not the fastest of the market but we are talking about seconds apart so it's something a bit trivial. The design is nice to look at.</v>
      </c>
    </row>
    <row r="4059">
      <c r="A4059" s="1">
        <v>4.0</v>
      </c>
      <c r="B4059" s="1" t="s">
        <v>4039</v>
      </c>
      <c r="C4059" t="str">
        <f>IFERROR(__xludf.DUMMYFUNCTION("GOOGLETRANSLATE(B4059, ""es"", ""en"")"),"Good product excellent quality. A good product that meets your previous profile. Simple and very effective. It delivers what it promises and gives what is expected")</f>
        <v>Good product excellent quality. A good product that meets your previous profile. Simple and very effective. It delivers what it promises and gives what is expected</v>
      </c>
    </row>
    <row r="4060">
      <c r="A4060" s="1">
        <v>4.0</v>
      </c>
      <c r="B4060" s="1" t="s">
        <v>4040</v>
      </c>
      <c r="C4060" t="str">
        <f>IFERROR(__xludf.DUMMYFUNCTION("GOOGLETRANSLATE(B4060, ""es"", ""en"")"),"Makes the workaround I like to have 4 wheels that two is not that great Toggles")</f>
        <v>Makes the workaround I like to have 4 wheels that two is not that great Toggles</v>
      </c>
    </row>
    <row r="4061">
      <c r="A4061" s="1">
        <v>4.0</v>
      </c>
      <c r="B4061" s="1" t="s">
        <v>4041</v>
      </c>
      <c r="C4061" t="str">
        <f>IFERROR(__xludf.DUMMYFUNCTION("GOOGLETRANSLATE(B4061, ""es"", ""en"")"),"Pretty amazing I can not say it's the best condenser microphone with which I recorded but to do the basics at home fulfills its function so surprising and at a more than reasonable price. The support does not seem very strong or tough but does the job. Hi"&amp;"ghly recommend buying the phantom with the micro to avoid disappointment, greatly improves sound")</f>
        <v>Pretty amazing I can not say it's the best condenser microphone with which I recorded but to do the basics at home fulfills its function so surprising and at a more than reasonable price. The support does not seem very strong or tough but does the job. Highly recommend buying the phantom with the micro to avoid disappointment, greatly improves sound</v>
      </c>
    </row>
    <row r="4062">
      <c r="A4062" s="1">
        <v>4.0</v>
      </c>
      <c r="B4062" s="1" t="s">
        <v>4042</v>
      </c>
      <c r="C4062" t="str">
        <f>IFERROR(__xludf.DUMMYFUNCTION("GOOGLETRANSLATE(B4062, ""es"", ""en"")"),"The sole comfort armor absorbs impacts against the floor, wear comfortable shoes for many hours since, not resent feet")</f>
        <v>The sole comfort armor absorbs impacts against the floor, wear comfortable shoes for many hours since, not resent feet</v>
      </c>
    </row>
    <row r="4063">
      <c r="A4063" s="1">
        <v>5.0</v>
      </c>
      <c r="B4063" s="1" t="s">
        <v>4043</v>
      </c>
      <c r="C4063" t="str">
        <f>IFERROR(__xludf.DUMMYFUNCTION("GOOGLETRANSLATE(B4063, ""es"", ""en"")"),"great Perfect")</f>
        <v>great Perfect</v>
      </c>
    </row>
    <row r="4064">
      <c r="A4064" s="1">
        <v>5.0</v>
      </c>
      <c r="B4064" s="1" t="s">
        <v>4044</v>
      </c>
      <c r="C4064" t="str">
        <f>IFERROR(__xludf.DUMMYFUNCTION("GOOGLETRANSLATE(B4064, ""es"", ""en"")"),"Perfect is very resistant")</f>
        <v>Perfect is very resistant</v>
      </c>
    </row>
    <row r="4065">
      <c r="A4065" s="1">
        <v>5.0</v>
      </c>
      <c r="B4065" s="1" t="s">
        <v>4045</v>
      </c>
      <c r="C4065" t="str">
        <f>IFERROR(__xludf.DUMMYFUNCTION("GOOGLETRANSLATE(B4065, ""es"", ""en"")"),"Good product wanted a Converse Rojas but did not want to buy in the store because they are much more expensive, I decided to buy them here in the Amazon seller are original, the same size as I tried on in the store are what I ordered and I fit perfectly.")</f>
        <v>Good product wanted a Converse Rojas but did not want to buy in the store because they are much more expensive, I decided to buy them here in the Amazon seller are original, the same size as I tried on in the store are what I ordered and I fit perfectly.</v>
      </c>
    </row>
    <row r="4066">
      <c r="A4066" s="1">
        <v>5.0</v>
      </c>
      <c r="B4066" s="1" t="s">
        <v>4046</v>
      </c>
      <c r="C4066" t="str">
        <f>IFERROR(__xludf.DUMMYFUNCTION("GOOGLETRANSLATE(B4066, ""es"", ""en"")"),"It goes very well going very well calm me pretty sore hands")</f>
        <v>It goes very well going very well calm me pretty sore hands</v>
      </c>
    </row>
    <row r="4067">
      <c r="A4067" s="1">
        <v>5.0</v>
      </c>
      <c r="B4067" s="1" t="s">
        <v>4047</v>
      </c>
      <c r="C4067" t="str">
        <f>IFERROR(__xludf.DUMMYFUNCTION("GOOGLETRANSLATE(B4067, ""es"", ""en"")"),"Very nice The size I chose is the same as what use are correct sizes are the same as in the photo and comes with two pairs of laces the cloth and wine satin me all in perfect condition")</f>
        <v>Very nice The size I chose is the same as what use are correct sizes are the same as in the photo and comes with two pairs of laces the cloth and wine satin me all in perfect condition</v>
      </c>
    </row>
    <row r="4068">
      <c r="A4068" s="1">
        <v>5.0</v>
      </c>
      <c r="B4068" s="1" t="s">
        <v>4048</v>
      </c>
      <c r="C4068" t="str">
        <f>IFERROR(__xludf.DUMMYFUNCTION("GOOGLETRANSLATE(B4068, ""es"", ""en"")"),"Beautiful!!! It's prettier than the picture beautiful, soon arrived but it was also because of the postman. It is very nice for summer and looks much, I love the great love necklace basically supplements. Good buy for nice and good price. Highly recommend"&amp;"ed.")</f>
        <v>Beautiful!!! It's prettier than the picture beautiful, soon arrived but it was also because of the postman. It is very nice for summer and looks much, I love the great love necklace basically supplements. Good buy for nice and good price. Highly recommended.</v>
      </c>
    </row>
    <row r="4069">
      <c r="A4069" s="1">
        <v>5.0</v>
      </c>
      <c r="B4069" s="1" t="s">
        <v>4049</v>
      </c>
      <c r="C4069" t="str">
        <f>IFERROR(__xludf.DUMMYFUNCTION("GOOGLETRANSLATE(B4069, ""es"", ""en"")"),"Super comfortable I use them to work, they recommended this brand and really use them to work, they are super comfortable, light and soft sole, which is appreciated. I will buy another model of this brand.")</f>
        <v>Super comfortable I use them to work, they recommended this brand and really use them to work, they are super comfortable, light and soft sole, which is appreciated. I will buy another model of this brand.</v>
      </c>
    </row>
    <row r="4070">
      <c r="A4070" s="1">
        <v>5.0</v>
      </c>
      <c r="B4070" s="1" t="s">
        <v>4050</v>
      </c>
      <c r="C4070" t="str">
        <f>IFERROR(__xludf.DUMMYFUNCTION("GOOGLETRANSLATE(B4070, ""es"", ""en"")"),"Buy one full metal plastic knowing that last bit and if so slow falling hard to the floor this is metallic see what hard")</f>
        <v>Buy one full metal plastic knowing that last bit and if so slow falling hard to the floor this is metallic see what hard</v>
      </c>
    </row>
    <row r="4071">
      <c r="A4071" s="1">
        <v>5.0</v>
      </c>
      <c r="B4071" s="1" t="s">
        <v>4051</v>
      </c>
      <c r="C4071" t="str">
        <f>IFERROR(__xludf.DUMMYFUNCTION("GOOGLETRANSLATE(B4071, ""es"", ""en"")"),"Good brand good quality")</f>
        <v>Good brand good quality</v>
      </c>
    </row>
    <row r="4072">
      <c r="A4072" s="1">
        <v>5.0</v>
      </c>
      <c r="B4072" s="1" t="s">
        <v>4052</v>
      </c>
      <c r="C4072" t="str">
        <f>IFERROR(__xludf.DUMMYFUNCTION("GOOGLETRANSLATE(B4072, ""es"", ""en"")"),"I love Amazon customer, pleasantly surprised, very comfortable, helps me to neck pain and back pain, I recommend it meets the three B")</f>
        <v>I love Amazon customer, pleasantly surprised, very comfortable, helps me to neck pain and back pain, I recommend it meets the three B</v>
      </c>
    </row>
    <row r="4073">
      <c r="A4073" s="1">
        <v>5.0</v>
      </c>
      <c r="B4073" s="1" t="s">
        <v>4053</v>
      </c>
      <c r="C4073" t="str">
        <f>IFERROR(__xludf.DUMMYFUNCTION("GOOGLETRANSLATE(B4073, ""es"", ""en"")"),"They are very comfortable. They are very comfortable, do not hurt or bother, heard a blast and the battery lasts a lot. I've used during sports and stay securely fastened, put up sweat smoothly. The audio quality is very good and the material is resistant"&amp;". Case / charger is fine with the indicator of the percentage of remaining battery.")</f>
        <v>They are very comfortable. They are very comfortable, do not hurt or bother, heard a blast and the battery lasts a lot. I've used during sports and stay securely fastened, put up sweat smoothly. The audio quality is very good and the material is resistant. Case / charger is fine with the indicator of the percentage of remaining battery.</v>
      </c>
    </row>
    <row r="4074">
      <c r="A4074" s="1">
        <v>5.0</v>
      </c>
      <c r="B4074" s="1" t="s">
        <v>4054</v>
      </c>
      <c r="C4074" t="str">
        <f>IFERROR(__xludf.DUMMYFUNCTION("GOOGLETRANSLATE(B4074, ""es"", ""en"")"),"Fabulous location as expected carving and weaving enough quality pants. Touch very nice and very pleasant to wear pants. Volvere to buy another time and I am very happy with the purchase")</f>
        <v>Fabulous location as expected carving and weaving enough quality pants. Touch very nice and very pleasant to wear pants. Volvere to buy another time and I am very happy with the purchase</v>
      </c>
    </row>
    <row r="4075">
      <c r="A4075" s="1">
        <v>5.0</v>
      </c>
      <c r="B4075" s="1" t="s">
        <v>4055</v>
      </c>
      <c r="C4075" t="str">
        <f>IFERROR(__xludf.DUMMYFUNCTION("GOOGLETRANSLATE(B4075, ""es"", ""en"")"),"Fulfills its function. It is very good pen and meets all. To put a snag, though not a catch actually is the size. As I have little fear of losing, but I still say I actually like smaller the better, it's just a personal paste. Moreover, it is quite nice ."&amp;"..")</f>
        <v>Fulfills its function. It is very good pen and meets all. To put a snag, though not a catch actually is the size. As I have little fear of losing, but I still say I actually like smaller the better, it's just a personal paste. Moreover, it is quite nice ...</v>
      </c>
    </row>
    <row r="4076">
      <c r="A4076" s="1">
        <v>5.0</v>
      </c>
      <c r="B4076" s="1" t="s">
        <v>4056</v>
      </c>
      <c r="C4076" t="str">
        <f>IFERROR(__xludf.DUMMYFUNCTION("GOOGLETRANSLATE(B4076, ""es"", ""en"")"),"Very Sueve This set of gray is very nice. Very sueve to me size L a little loose, but fine.")</f>
        <v>Very Sueve This set of gray is very nice. Very sueve to me size L a little loose, but fine.</v>
      </c>
    </row>
    <row r="4077">
      <c r="A4077" s="1">
        <v>5.0</v>
      </c>
      <c r="B4077" s="1" t="s">
        <v>4057</v>
      </c>
      <c r="C4077" t="str">
        <f>IFERROR(__xludf.DUMMYFUNCTION("GOOGLETRANSLATE(B4077, ""es"", ""en"")"),"Very good!! Perfect")</f>
        <v>Very good!! Perfect</v>
      </c>
    </row>
    <row r="4078">
      <c r="A4078" s="1">
        <v>5.0</v>
      </c>
      <c r="B4078" s="1" t="s">
        <v>4058</v>
      </c>
      <c r="C4078" t="str">
        <f>IFERROR(__xludf.DUMMYFUNCTION("GOOGLETRANSLATE(B4078, ""es"", ""en"")"),"Pick up the tummy, NO they collect all show through tipín doing tummy and lift the rear, and who does not like to look better? Delta seam in the crotch makes them very comfortable. They are very elastic and are transparent at all! Yet I have not used much"&amp;" because where I live still hot almost summer ... but promise to be the pledge of the gym this year")</f>
        <v>Pick up the tummy, NO they collect all show through tipín doing tummy and lift the rear, and who does not like to look better? Delta seam in the crotch makes them very comfortable. They are very elastic and are transparent at all! Yet I have not used much because where I live still hot almost summer ... but promise to be the pledge of the gym this year</v>
      </c>
    </row>
    <row r="4079">
      <c r="A4079" s="1">
        <v>5.0</v>
      </c>
      <c r="B4079" s="1" t="s">
        <v>4059</v>
      </c>
      <c r="C4079" t="str">
        <f>IFERROR(__xludf.DUMMYFUNCTION("GOOGLETRANSLATE(B4079, ""es"", ""en"")"),"Easy to use and activate. Microphone sounds great. Easy to use i connect the Bluetooth of the mobile (iphone). basic instructions in English but do use it missing. Good quality ultilizar use the YouTube for music and do karaoke. great 👌🏻")</f>
        <v>Easy to use and activate. Microphone sounds great. Easy to use i connect the Bluetooth of the mobile (iphone). basic instructions in English but do use it missing. Good quality ultilizar use the YouTube for music and do karaoke. great 👌🏻</v>
      </c>
    </row>
    <row r="4080">
      <c r="A4080" s="1">
        <v>5.0</v>
      </c>
      <c r="B4080" s="1" t="s">
        <v>4060</v>
      </c>
      <c r="C4080" t="str">
        <f>IFERROR(__xludf.DUMMYFUNCTION("GOOGLETRANSLATE(B4080, ""es"", ""en"")"),"Okay works very well, and for those who still use the PS2 this great")</f>
        <v>Okay works very well, and for those who still use the PS2 this great</v>
      </c>
    </row>
    <row r="4081">
      <c r="A4081" s="1">
        <v>5.0</v>
      </c>
      <c r="B4081" s="1" t="s">
        <v>4061</v>
      </c>
      <c r="C4081" t="str">
        <f>IFERROR(__xludf.DUMMYFUNCTION("GOOGLETRANSLATE(B4081, ""es"", ""en"")"),"Comfortable bottle is the only bottle that my son likes")</f>
        <v>Comfortable bottle is the only bottle that my son likes</v>
      </c>
    </row>
    <row r="4082">
      <c r="A4082" s="1">
        <v>2.0</v>
      </c>
      <c r="B4082" s="1" t="s">
        <v>4062</v>
      </c>
      <c r="C4082" t="str">
        <f>IFERROR(__xludf.DUMMYFUNCTION("GOOGLETRANSLATE(B4082, ""es"", ""en"")"),"The narrow shoes are fine without true to the image and are original. Warm and comfortable. The reason is porq put two stars are too narrow both width and is catching if you have foot wide purchase one or two sizes bigger.")</f>
        <v>The narrow shoes are fine without true to the image and are original. Warm and comfortable. The reason is porq put two stars are too narrow both width and is catching if you have foot wide purchase one or two sizes bigger.</v>
      </c>
    </row>
    <row r="4083">
      <c r="A4083" s="1">
        <v>3.0</v>
      </c>
      <c r="B4083" s="1" t="s">
        <v>4063</v>
      </c>
      <c r="C4083" t="str">
        <f>IFERROR(__xludf.DUMMYFUNCTION("GOOGLETRANSLATE(B4083, ""es"", ""en"")"),"fair model carving sports are comfortable, but if you use 38 Pillate 39, also are quite hard, that if they are nike 100%")</f>
        <v>fair model carving sports are comfortable, but if you use 38 Pillate 39, also are quite hard, that if they are nike 100%</v>
      </c>
    </row>
    <row r="4084">
      <c r="A4084" s="1">
        <v>1.0</v>
      </c>
      <c r="B4084" s="1" t="s">
        <v>4064</v>
      </c>
      <c r="C4084" t="str">
        <f>IFERROR(__xludf.DUMMYFUNCTION("GOOGLETRANSLATE(B4084, ""es"", ""en"")"),"Bad card defective card and I've had to buy another brand new because I had problems since the purchase but lately was unbearable. there is no return option to repair amazon. I'll have to look for life with warranty.")</f>
        <v>Bad card defective card and I've had to buy another brand new because I had problems since the purchase but lately was unbearable. there is no return option to repair amazon. I'll have to look for life with warranty.</v>
      </c>
    </row>
    <row r="4085">
      <c r="A4085" s="1">
        <v>1.0</v>
      </c>
      <c r="B4085" s="1" t="s">
        <v>4065</v>
      </c>
      <c r="C4085" t="str">
        <f>IFERROR(__xludf.DUMMYFUNCTION("GOOGLETRANSLATE(B4085, ""es"", ""en"")"),"No zipper as the photos show the description has no zipper so I had to return it because it would be an ordeal remove it after use")</f>
        <v>No zipper as the photos show the description has no zipper so I had to return it because it would be an ordeal remove it after use</v>
      </c>
    </row>
    <row r="4086">
      <c r="A4086" s="1">
        <v>4.0</v>
      </c>
      <c r="B4086" s="1" t="s">
        <v>4066</v>
      </c>
      <c r="C4086" t="str">
        <f>IFERROR(__xludf.DUMMYFUNCTION("GOOGLETRANSLATE(B4086, ""es"", ""en"")"),"Great! It sounds great without having to approach too as with others. The appearance of the micro is good quality and looks. The only downside is the sponge, which is a bit malilla, but I put a black flange and looks professional hehehe")</f>
        <v>Great! It sounds great without having to approach too as with others. The appearance of the micro is good quality and looks. The only downside is the sponge, which is a bit malilla, but I put a black flange and looks professional hehehe</v>
      </c>
    </row>
    <row r="4087">
      <c r="A4087" s="1">
        <v>4.0</v>
      </c>
      <c r="B4087" s="1" t="s">
        <v>4067</v>
      </c>
      <c r="C4087" t="str">
        <f>IFERROR(__xludf.DUMMYFUNCTION("GOOGLETRANSLATE(B4087, ""es"", ""en"")"),"Good vacuum cleaner with just one peguilla Hoover I quite like it, is very handy, and sucks well, that you hardly ever use the turbo. Not make excessive noise. The battery lasts me the whole house to suck 2 times, not bad. Yno long it takes to load. By pu"&amp;"tting a snag is the container that is small, and I read it before you buy it, but if it is a bit of a bummer having to empty your after almost every use, and sometimes goes wrong, the dirt is left between the walls and the filter and but out there that de"&amp;"smontarle to leave everything. But overall I am happy with the product.")</f>
        <v>Good vacuum cleaner with just one peguilla Hoover I quite like it, is very handy, and sucks well, that you hardly ever use the turbo. Not make excessive noise. The battery lasts me the whole house to suck 2 times, not bad. Yno long it takes to load. By putting a snag is the container that is small, and I read it before you buy it, but if it is a bit of a bummer having to empty your after almost every use, and sometimes goes wrong, the dirt is left between the walls and the filter and but out there that desmontarle to leave everything. But overall I am happy with the product.</v>
      </c>
    </row>
    <row r="4088">
      <c r="A4088" s="1">
        <v>4.0</v>
      </c>
      <c r="B4088" s="1" t="s">
        <v>4068</v>
      </c>
      <c r="C4088" t="str">
        <f>IFERROR(__xludf.DUMMYFUNCTION("GOOGLETRANSLATE(B4088, ""es"", ""en"")"),"all right all right")</f>
        <v>all right all right</v>
      </c>
    </row>
    <row r="4089">
      <c r="A4089" s="1">
        <v>4.0</v>
      </c>
      <c r="B4089" s="1" t="s">
        <v>4069</v>
      </c>
      <c r="C4089" t="str">
        <f>IFERROR(__xludf.DUMMYFUNCTION("GOOGLETRANSLATE(B4089, ""es"", ""en"")"),"Good memory card 32gb card that works perfectly, the fluidity of data exchange is appreciable, all at a price pretty tight. Good value for money.")</f>
        <v>Good memory card 32gb card that works perfectly, the fluidity of data exchange is appreciable, all at a price pretty tight. Good value for money.</v>
      </c>
    </row>
    <row r="4090">
      <c r="A4090" s="1">
        <v>4.0</v>
      </c>
      <c r="B4090" s="1" t="s">
        <v>4070</v>
      </c>
      <c r="C4090" t="str">
        <f>IFERROR(__xludf.DUMMYFUNCTION("GOOGLETRANSLATE(B4090, ""es"", ""en"")"),"They are good is good product")</f>
        <v>They are good is good product</v>
      </c>
    </row>
    <row r="4091">
      <c r="A4091" s="1">
        <v>5.0</v>
      </c>
      <c r="B4091" s="1" t="s">
        <v>4071</v>
      </c>
      <c r="C4091" t="str">
        <f>IFERROR(__xludf.DUMMYFUNCTION("GOOGLETRANSLATE(B4091, ""es"", ""en"")"),"Excellent Card To get maps RNEG Peugeot 2018/2 perfect !!!")</f>
        <v>Excellent Card To get maps RNEG Peugeot 2018/2 perfect !!!</v>
      </c>
    </row>
    <row r="4092">
      <c r="A4092" s="1">
        <v>5.0</v>
      </c>
      <c r="B4092" s="1" t="s">
        <v>4072</v>
      </c>
      <c r="C4092" t="str">
        <f>IFERROR(__xludf.DUMMYFUNCTION("GOOGLETRANSLATE(B4092, ""es"", ""en"")"),"As they described. Did not take long to arrive and the quality is very good, does the job")</f>
        <v>As they described. Did not take long to arrive and the quality is very good, does the job</v>
      </c>
    </row>
    <row r="4093">
      <c r="A4093" s="1">
        <v>5.0</v>
      </c>
      <c r="B4093" s="1" t="s">
        <v>4073</v>
      </c>
      <c r="C4093" t="str">
        <f>IFERROR(__xludf.DUMMYFUNCTION("GOOGLETRANSLATE(B4093, ""es"", ""en"")"),"friendly atmosphere I enjoyed this humidifier, noise is negligible, design I liked it, I can put anywhere elegantly time programming functions and command is extremely comfortable to use and easy to understand.")</f>
        <v>friendly atmosphere I enjoyed this humidifier, noise is negligible, design I liked it, I can put anywhere elegantly time programming functions and command is extremely comfortable to use and easy to understand.</v>
      </c>
    </row>
    <row r="4094">
      <c r="A4094" s="1">
        <v>5.0</v>
      </c>
      <c r="B4094" s="1" t="s">
        <v>4074</v>
      </c>
      <c r="C4094" t="str">
        <f>IFERROR(__xludf.DUMMYFUNCTION("GOOGLETRANSLATE(B4094, ""es"", ""en"")"),"Good quality Excellent quality for the price, you can not ask for more.")</f>
        <v>Good quality Excellent quality for the price, you can not ask for more.</v>
      </c>
    </row>
    <row r="4095">
      <c r="A4095" s="1">
        <v>5.0</v>
      </c>
      <c r="B4095" s="1" t="s">
        <v>4075</v>
      </c>
      <c r="C4095" t="str">
        <f>IFERROR(__xludf.DUMMYFUNCTION("GOOGLETRANSLATE(B4095, ""es"", ""en"")"),"Meshes very cool and super comfortable as pictured")</f>
        <v>Meshes very cool and super comfortable as pictured</v>
      </c>
    </row>
    <row r="4096">
      <c r="A4096" s="1">
        <v>5.0</v>
      </c>
      <c r="B4096" s="1" t="s">
        <v>4076</v>
      </c>
      <c r="C4096" t="str">
        <f>IFERROR(__xludf.DUMMYFUNCTION("GOOGLETRANSLATE(B4096, ""es"", ""en"")"),"They are a good buy comfortable flip flops, and hope durable.")</f>
        <v>They are a good buy comfortable flip flops, and hope durable.</v>
      </c>
    </row>
    <row r="4097">
      <c r="A4097" s="1">
        <v>5.0</v>
      </c>
      <c r="B4097" s="1" t="s">
        <v>4077</v>
      </c>
      <c r="C4097" t="str">
        <f>IFERROR(__xludf.DUMMYFUNCTION("GOOGLETRANSLATE(B4097, ""es"", ""en"")"),"Very good despite the price difference with maracas as Braun, Bosch ... this hand mixer not only matches these ... the beats. Fast, comfortable for the length of his arm, functional. Is the demonstration that ""all is not gold that glitters"" and although"&amp;" other maracas ""reluzcan"" more .... this beats no doubt. I recommend it to anyone who needs a hand mixer that meets your view")</f>
        <v>Very good despite the price difference with maracas as Braun, Bosch ... this hand mixer not only matches these ... the beats. Fast, comfortable for the length of his arm, functional. Is the demonstration that "all is not gold that glitters" and although other maracas "reluzcan" more .... this beats no doubt. I recommend it to anyone who needs a hand mixer that meets your view</v>
      </c>
    </row>
    <row r="4098">
      <c r="A4098" s="1">
        <v>5.0</v>
      </c>
      <c r="B4098" s="1" t="s">
        <v>4078</v>
      </c>
      <c r="C4098" t="str">
        <f>IFERROR(__xludf.DUMMYFUNCTION("GOOGLETRANSLATE(B4098, ""es"", ""en"")"),"Super Va very Birn, comfortable and quality materials")</f>
        <v>Super Va very Birn, comfortable and quality materials</v>
      </c>
    </row>
    <row r="4099">
      <c r="A4099" s="1">
        <v>5.0</v>
      </c>
      <c r="B4099" s="1" t="s">
        <v>4079</v>
      </c>
      <c r="C4099" t="str">
        <f>IFERROR(__xludf.DUMMYFUNCTION("GOOGLETRANSLATE(B4099, ""es"", ""en"")"),"100% recommended Great product. Recommended 100%. I helped tubelizar on a tire that was not previously tubeless and tubelice. I encourage you to ask.")</f>
        <v>100% recommended Great product. Recommended 100%. I helped tubelizar on a tire that was not previously tubeless and tubelice. I encourage you to ask.</v>
      </c>
    </row>
    <row r="4100">
      <c r="A4100" s="1">
        <v>5.0</v>
      </c>
      <c r="B4100" s="1" t="s">
        <v>4080</v>
      </c>
      <c r="C4100" t="str">
        <f>IFERROR(__xludf.DUMMYFUNCTION("GOOGLETRANSLATE(B4100, ""es"", ""en"")"),"Great design elegance thanks jewel in elegance and design. A success in every purchase, always very satisfying. Highly recommended and very tasteful.")</f>
        <v>Great design elegance thanks jewel in elegance and design. A success in every purchase, always very satisfying. Highly recommended and very tasteful.</v>
      </c>
    </row>
    <row r="4101">
      <c r="A4101" s="1">
        <v>5.0</v>
      </c>
      <c r="B4101" s="1" t="s">
        <v>4081</v>
      </c>
      <c r="C4101" t="str">
        <f>IFERROR(__xludf.DUMMYFUNCTION("GOOGLETRANSLATE(B4101, ""es"", ""en"")"),"A good gift I bought this set of essential oils to give to my mother because it comes packaged in a beautiful and useful box. Nine essential oils are very varied, my mother used a diffuser and the truth is that last a long time because three or four drops"&amp;" is enough. His favorite is the cinnamon smell it leaves the home. It is a good gift choice, highly recommended.")</f>
        <v>A good gift I bought this set of essential oils to give to my mother because it comes packaged in a beautiful and useful box. Nine essential oils are very varied, my mother used a diffuser and the truth is that last a long time because three or four drops is enough. His favorite is the cinnamon smell it leaves the home. It is a good gift choice, highly recommended.</v>
      </c>
    </row>
    <row r="4102">
      <c r="A4102" s="1">
        <v>5.0</v>
      </c>
      <c r="B4102" s="1" t="s">
        <v>4082</v>
      </c>
      <c r="C4102" t="str">
        <f>IFERROR(__xludf.DUMMYFUNCTION("GOOGLETRANSLATE(B4102, ""es"", ""en"")"),"Carve recommended for more, use 38 but like some shoes do better I ordered the 39 I 39 just in case, and I was too big. Change it to 38 without problems, and although I think they'll still me a great Pelin I very comfortable with them")</f>
        <v>Carve recommended for more, use 38 but like some shoes do better I ordered the 39 I 39 just in case, and I was too big. Change it to 38 without problems, and although I think they'll still me a great Pelin I very comfortable with them</v>
      </c>
    </row>
    <row r="4103">
      <c r="A4103" s="1">
        <v>5.0</v>
      </c>
      <c r="B4103" s="1" t="s">
        <v>4083</v>
      </c>
      <c r="C4103" t="str">
        <f>IFERROR(__xludf.DUMMYFUNCTION("GOOGLETRANSLATE(B4103, ""es"", ""en"")"),"Vans Vans original classic black and white laces at unbeatable price. Original box without any defect. Great value for the price. The perfect size.")</f>
        <v>Vans Vans original classic black and white laces at unbeatable price. Original box without any defect. Great value for the price. The perfect size.</v>
      </c>
    </row>
    <row r="4104">
      <c r="A4104" s="1">
        <v>5.0</v>
      </c>
      <c r="B4104" s="1" t="s">
        <v>4084</v>
      </c>
      <c r="C4104" t="str">
        <f>IFERROR(__xludf.DUMMYFUNCTION("GOOGLETRANSLATE(B4104, ""es"", ""en"")"),"They are very good quality! No complaints! They are super easy to clean by simply thrown, and the drawings are kept in perfect condition after many washes !!!")</f>
        <v>They are very good quality! No complaints! They are super easy to clean by simply thrown, and the drawings are kept in perfect condition after many washes !!!</v>
      </c>
    </row>
    <row r="4105">
      <c r="A4105" s="1">
        <v>5.0</v>
      </c>
      <c r="B4105" s="1" t="s">
        <v>4085</v>
      </c>
      <c r="C4105" t="str">
        <f>IFERROR(__xludf.DUMMYFUNCTION("GOOGLETRANSLATE(B4105, ""es"", ""en"")"),"Very spacious very wide and very fast heats")</f>
        <v>Very spacious very wide and very fast heats</v>
      </c>
    </row>
    <row r="4106">
      <c r="A4106" s="1">
        <v>5.0</v>
      </c>
      <c r="B4106" s="1" t="s">
        <v>4086</v>
      </c>
      <c r="C4106" t="str">
        <f>IFERROR(__xludf.DUMMYFUNCTION("GOOGLETRANSLATE(B4106, ""es"", ""en"")"),"Such price good quality which is described. Very satisfied with the purchase")</f>
        <v>Such price good quality which is described. Very satisfied with the purchase</v>
      </c>
    </row>
    <row r="4107">
      <c r="A4107" s="1">
        <v>5.0</v>
      </c>
      <c r="B4107" s="1" t="s">
        <v>4087</v>
      </c>
      <c r="C4107" t="str">
        <f>IFERROR(__xludf.DUMMYFUNCTION("GOOGLETRANSLATE(B4107, ""es"", ""en"")"),"All Terrain A large but great pelón, my daughter has been a year with is as the first perfect day for the beach pool gym daily jog")</f>
        <v>All Terrain A large but great pelón, my daughter has been a year with is as the first perfect day for the beach pool gym daily jog</v>
      </c>
    </row>
    <row r="4108">
      <c r="A4108" s="1">
        <v>5.0</v>
      </c>
      <c r="B4108" s="1" t="s">
        <v>4088</v>
      </c>
      <c r="C4108" t="str">
        <f>IFERROR(__xludf.DUMMYFUNCTION("GOOGLETRANSLATE(B4108, ""es"", ""en"")"),"Bmtodo pretty well")</f>
        <v>Bmtodo pretty well</v>
      </c>
    </row>
    <row r="4109">
      <c r="A4109" s="1">
        <v>2.0</v>
      </c>
      <c r="B4109" s="1" t="s">
        <v>4089</v>
      </c>
      <c r="C4109" t="str">
        <f>IFERROR(__xludf.DUMMYFUNCTION("GOOGLETRANSLATE(B4109, ""es"", ""en"")"),"Imitation. They are Huawei brand. The first is non Huawei, is an imitation. Although they have plastic touch weaker than the original .... the difference for now is not much and do their job. I use to listen to music on the street running well and sound c"&amp;"ontrols. They just called me once and I did not listen loud air so well to such use I can not comment.")</f>
        <v>Imitation. They are Huawei brand. The first is non Huawei, is an imitation. Although they have plastic touch weaker than the original .... the difference for now is not much and do their job. I use to listen to music on the street running well and sound controls. They just called me once and I did not listen loud air so well to such use I can not comment.</v>
      </c>
    </row>
    <row r="4110">
      <c r="A4110" s="1">
        <v>3.0</v>
      </c>
      <c r="B4110" s="1" t="s">
        <v>4090</v>
      </c>
      <c r="C4110" t="str">
        <f>IFERROR(__xludf.DUMMYFUNCTION("GOOGLETRANSLATE(B4110, ""es"", ""en"")"),"Beautiful and elegant design are elegant and a nice design that can be used for all kinds of occasions. Comfortable although I must say that the principle of use and wear them a few hours. I pressed a bit by the side of the tips. But then as well and now "&amp;"I are very comfortable.")</f>
        <v>Beautiful and elegant design are elegant and a nice design that can be used for all kinds of occasions. Comfortable although I must say that the principle of use and wear them a few hours. I pressed a bit by the side of the tips. But then as well and now I are very comfortable.</v>
      </c>
    </row>
    <row r="4111">
      <c r="A4111" s="1">
        <v>3.0</v>
      </c>
      <c r="B4111" s="1" t="s">
        <v>4091</v>
      </c>
      <c r="C4111" t="str">
        <f>IFERROR(__xludf.DUMMYFUNCTION("GOOGLETRANSLATE(B4111, ""es"", ""en"")"),"The home warranty is very poor What did not convince me is that the product registration so I give little guarantee of the house, the Amazon very friendly spoke with me and said that although put that had my 2-year warranty on October 1 for people from Am"&amp;"azon that gets you out of doubt quickly")</f>
        <v>The home warranty is very poor What did not convince me is that the product registration so I give little guarantee of the house, the Amazon very friendly spoke with me and said that although put that had my 2-year warranty on October 1 for people from Amazon that gets you out of doubt quickly</v>
      </c>
    </row>
    <row r="4112">
      <c r="A4112" s="1">
        <v>1.0</v>
      </c>
      <c r="B4112" s="1" t="s">
        <v>4092</v>
      </c>
      <c r="C4112" t="str">
        <f>IFERROR(__xludf.DUMMYFUNCTION("GOOGLETRANSLATE(B4112, ""es"", ""en"")"),"He needed a cork ripped off and looked me right this size. When he arrived he was desizing so, plus they do not fit into the frame (so ""dancing"" and could not punch anything), I could see the corkboard ... what a disappointment! It is a corrugated board"&amp;" (such as the same in the coming packed) coated thin cork two sheets on both sides. I had to stick both sides to the frame with glue so that it can use and prodding a thumbtack can hear what you're clicking is the cardboard underneath. I would not buy, do"&amp;" not recommend it.")</f>
        <v>He needed a cork ripped off and looked me right this size. When he arrived he was desizing so, plus they do not fit into the frame (so "dancing" and could not punch anything), I could see the corkboard ... what a disappointment! It is a corrugated board (such as the same in the coming packed) coated thin cork two sheets on both sides. I had to stick both sides to the frame with glue so that it can use and prodding a thumbtack can hear what you're clicking is the cardboard underneath. I would not buy, do not recommend it.</v>
      </c>
    </row>
    <row r="4113">
      <c r="A4113" s="1">
        <v>1.0</v>
      </c>
      <c r="B4113" s="1" t="s">
        <v>4093</v>
      </c>
      <c r="C4113" t="str">
        <f>IFERROR(__xludf.DUMMYFUNCTION("GOOGLETRANSLATE(B4113, ""es"", ""en"")"),"Javier Fernández disappointed. I expect anything else from calidad.Una best thing is the photo and another realidad.Mala luck. Maybe next time.")</f>
        <v>Javier Fernández disappointed. I expect anything else from calidad.Una best thing is the photo and another realidad.Mala luck. Maybe next time.</v>
      </c>
    </row>
    <row r="4114">
      <c r="A4114" s="1">
        <v>1.0</v>
      </c>
      <c r="B4114" s="1" t="s">
        <v>4094</v>
      </c>
      <c r="C4114" t="str">
        <f>IFERROR(__xludf.DUMMYFUNCTION("GOOGLETRANSLATE(B4114, ""es"", ""en"")"),"LASTED A MONTH OR No lasted HAS me one measly month of use, use for anything intense only as backup things and little else. HORRIBLE experience. I do not recommend anyone buy this or any external drive, buy an SSD (Internal) 2.5 and USB adapter. For some "&amp;"reason the manufacturing quality of external disks is horrible.")</f>
        <v>LASTED A MONTH OR No lasted HAS me one measly month of use, use for anything intense only as backup things and little else. HORRIBLE experience. I do not recommend anyone buy this or any external drive, buy an SSD (Internal) 2.5 and USB adapter. For some reason the manufacturing quality of external disks is horrible.</v>
      </c>
    </row>
    <row r="4115">
      <c r="A4115" s="1">
        <v>4.0</v>
      </c>
      <c r="B4115" s="1" t="s">
        <v>4095</v>
      </c>
      <c r="C4115" t="str">
        <f>IFERROR(__xludf.DUMMYFUNCTION("GOOGLETRANSLATE(B4115, ""es"", ""en"")"),"good case and substantial aferta Now my kids just want Eastpak, things fashion. So find an offer is always appreciated. Objectively the case is nice and very complete and practical inside")</f>
        <v>good case and substantial aferta Now my kids just want Eastpak, things fashion. So find an offer is always appreciated. Objectively the case is nice and very complete and practical inside</v>
      </c>
    </row>
    <row r="4116">
      <c r="A4116" s="1">
        <v>4.0</v>
      </c>
      <c r="B4116" s="1" t="s">
        <v>4096</v>
      </c>
      <c r="C4116" t="str">
        <f>IFERROR(__xludf.DUMMYFUNCTION("GOOGLETRANSLATE(B4116, ""es"", ""en"")"),"CONVENIENCE I like the overall product. I use them to work are very comfortable and useful for the QE tabajo development.")</f>
        <v>CONVENIENCE I like the overall product. I use them to work are very comfortable and useful for the QE tabajo development.</v>
      </c>
    </row>
    <row r="4117">
      <c r="A4117" s="1">
        <v>4.0</v>
      </c>
      <c r="B4117" s="1" t="s">
        <v>4097</v>
      </c>
      <c r="C4117" t="str">
        <f>IFERROR(__xludf.DUMMYFUNCTION("GOOGLETRANSLATE(B4117, ""es"", ""en"")"),"Decent value for money. After giving much tralla to the G230 was finished falling apart so I decided to catch his successor, the G430. It is virtually the same with slight technical modifications, as specified, they are somewhat better. You get what you p"&amp;"ay for, good sound quality for gaming, sturdy construction (I insist, the predecessor suffered and endured much use as a champion). The only downside that I've found new is that it may be a little uncomfortable at the top, so I think to rescue the old pad"&amp;". Also it drags the volume control features of the predecessor, but he was already used to them. Overall, good value for money.")</f>
        <v>Decent value for money. After giving much tralla to the G230 was finished falling apart so I decided to catch his successor, the G430. It is virtually the same with slight technical modifications, as specified, they are somewhat better. You get what you pay for, good sound quality for gaming, sturdy construction (I insist, the predecessor suffered and endured much use as a champion). The only downside that I've found new is that it may be a little uncomfortable at the top, so I think to rescue the old pad. Also it drags the volume control features of the predecessor, but he was already used to them. Overall, good value for money.</v>
      </c>
    </row>
    <row r="4118">
      <c r="A4118" s="1">
        <v>4.0</v>
      </c>
      <c r="B4118" s="1" t="s">
        <v>4098</v>
      </c>
      <c r="C4118" t="str">
        <f>IFERROR(__xludf.DUMMYFUNCTION("GOOGLETRANSLATE(B4118, ""es"", ""en"")"),"decent sound for the price. They have a super clean sound, but picked because they were cheap and needed a headset jack to travel, and certainly are better than those who were to give away on the train. They have an acceptable sound for the price, and are"&amp;" comfortable in the ear.")</f>
        <v>decent sound for the price. They have a super clean sound, but picked because they were cheap and needed a headset jack to travel, and certainly are better than those who were to give away on the train. They have an acceptable sound for the price, and are comfortable in the ear.</v>
      </c>
    </row>
    <row r="4119">
      <c r="A4119" s="1">
        <v>5.0</v>
      </c>
      <c r="B4119" s="1" t="s">
        <v>4099</v>
      </c>
      <c r="C4119" t="str">
        <f>IFERROR(__xludf.DUMMYFUNCTION("GOOGLETRANSLATE(B4119, ""es"", ""en"")"),"Santo hand this SSD Perfect. Undoubtedly the best thing that could happen to my old asus to regain his speed. 4GB of RAM and this SSD have given new life to my laptop. I recommend imperiously before changing laptop.")</f>
        <v>Santo hand this SSD Perfect. Undoubtedly the best thing that could happen to my old asus to regain his speed. 4GB of RAM and this SSD have given new life to my laptop. I recommend imperiously before changing laptop.</v>
      </c>
    </row>
    <row r="4120">
      <c r="A4120" s="1">
        <v>5.0</v>
      </c>
      <c r="B4120" s="1" t="s">
        <v>4100</v>
      </c>
      <c r="C4120" t="str">
        <f>IFERROR(__xludf.DUMMYFUNCTION("GOOGLETRANSLATE(B4120, ""es"", ""en"")"),"Excellent!!! I bought this tray mainly for the price and thought it would be of average quality, but it is not, it works perfectly. This program synchronized with the POS and printer. Magazines are comfortable and you can resize the spaces for coins. Exce"&amp;"llent!!! I recommend it 100%.")</f>
        <v>Excellent!!! I bought this tray mainly for the price and thought it would be of average quality, but it is not, it works perfectly. This program synchronized with the POS and printer. Magazines are comfortable and you can resize the spaces for coins. Excellent!!! I recommend it 100%.</v>
      </c>
    </row>
    <row r="4121">
      <c r="A4121" s="1">
        <v>5.0</v>
      </c>
      <c r="B4121" s="1" t="s">
        <v>4101</v>
      </c>
      <c r="C4121" t="str">
        <f>IFERROR(__xludf.DUMMYFUNCTION("GOOGLETRANSLATE(B4121, ""es"", ""en"")"),"good product good product")</f>
        <v>good product good product</v>
      </c>
    </row>
    <row r="4122">
      <c r="A4122" s="1">
        <v>5.0</v>
      </c>
      <c r="B4122" s="1" t="s">
        <v>4102</v>
      </c>
      <c r="C4122" t="str">
        <f>IFERROR(__xludf.DUMMYFUNCTION("GOOGLETRANSLATE(B4122, ""es"", ""en"")"),"Good and very good quality, ideal for recordings with Sony camera you buy with it also in Amazon, perfect all")</f>
        <v>Good and very good quality, ideal for recordings with Sony camera you buy with it also in Amazon, perfect all</v>
      </c>
    </row>
    <row r="4123">
      <c r="A4123" s="1">
        <v>5.0</v>
      </c>
      <c r="B4123" s="1" t="s">
        <v>4103</v>
      </c>
      <c r="C4123" t="str">
        <f>IFERROR(__xludf.DUMMYFUNCTION("GOOGLETRANSLATE(B4123, ""es"", ""en"")"),"Good sound and comfortable of the best small headphones I've had, you record sound with marked and nice and comfort in the ear.")</f>
        <v>Good sound and comfortable of the best small headphones I've had, you record sound with marked and nice and comfort in the ear.</v>
      </c>
    </row>
    <row r="4124">
      <c r="A4124" s="1">
        <v>5.0</v>
      </c>
      <c r="B4124" s="1" t="s">
        <v>4104</v>
      </c>
      <c r="C4124" t="str">
        <f>IFERROR(__xludf.DUMMYFUNCTION("GOOGLETRANSLATE(B4124, ""es"", ""en"")"),"Perfect is very light and can take hung both the right side as the left. It is what I wanted.")</f>
        <v>Perfect is very light and can take hung both the right side as the left. It is what I wanted.</v>
      </c>
    </row>
    <row r="4125">
      <c r="A4125" s="1">
        <v>5.0</v>
      </c>
      <c r="B4125" s="1" t="s">
        <v>4105</v>
      </c>
      <c r="C4125" t="str">
        <f>IFERROR(__xludf.DUMMYFUNCTION("GOOGLETRANSLATE(B4125, ""es"", ""en"")"),"Never disappoints ... great, as always. 574 is the model that I like ... everyone likes ... there are many also ... in my case size is always perfect and go.")</f>
        <v>Never disappoints ... great, as always. 574 is the model that I like ... everyone likes ... there are many also ... in my case size is always perfect and go.</v>
      </c>
    </row>
    <row r="4126">
      <c r="A4126" s="1">
        <v>5.0</v>
      </c>
      <c r="B4126" s="1" t="s">
        <v>4106</v>
      </c>
      <c r="C4126" t="str">
        <f>IFERROR(__xludf.DUMMYFUNCTION("GOOGLETRANSLATE(B4126, ""es"", ""en"")"),"Resistant Good sound, good connection and a coated wire that looks like iron. I am very happy with it")</f>
        <v>Resistant Good sound, good connection and a coated wire that looks like iron. I am very happy with it</v>
      </c>
    </row>
    <row r="4127">
      <c r="A4127" s="1">
        <v>5.0</v>
      </c>
      <c r="B4127" s="1" t="s">
        <v>4107</v>
      </c>
      <c r="C4127" t="str">
        <f>IFERROR(__xludf.DUMMYFUNCTION("GOOGLETRANSLATE(B4127, ""es"", ""en"")"),"radical change to my notebook had a notebook of my son who was going to pedal, hardly could be used how slow it was, I installed this album and now works more than well. Hast now all more than adequate. Transportation handed me a day later, but that's ano"&amp;"ther story")</f>
        <v>radical change to my notebook had a notebook of my son who was going to pedal, hardly could be used how slow it was, I installed this album and now works more than well. Hast now all more than adequate. Transportation handed me a day later, but that's another story</v>
      </c>
    </row>
    <row r="4128">
      <c r="A4128" s="1">
        <v>5.0</v>
      </c>
      <c r="B4128" s="1" t="s">
        <v>4108</v>
      </c>
      <c r="C4128" t="str">
        <f>IFERROR(__xludf.DUMMYFUNCTION("GOOGLETRANSLATE(B4128, ""es"", ""en"")"),"Comfortable and nice I like the comfort they have to be trail shoes also are very well placed, are not ostentatious, the perfect size, very happy with this purchase, I recommend them.")</f>
        <v>Comfortable and nice I like the comfort they have to be trail shoes also are very well placed, are not ostentatious, the perfect size, very happy with this purchase, I recommend them.</v>
      </c>
    </row>
    <row r="4129">
      <c r="A4129" s="1">
        <v>5.0</v>
      </c>
      <c r="B4129" s="1" t="s">
        <v>4109</v>
      </c>
      <c r="C4129" t="str">
        <f>IFERROR(__xludf.DUMMYFUNCTION("GOOGLETRANSLATE(B4129, ""es"", ""en"")"),"perfect tracksuit trousers are super comfortable to wear it on weekdays quality good price")</f>
        <v>perfect tracksuit trousers are super comfortable to wear it on weekdays quality good price</v>
      </c>
    </row>
    <row r="4130">
      <c r="A4130" s="1">
        <v>5.0</v>
      </c>
      <c r="B4130" s="1" t="s">
        <v>4110</v>
      </c>
      <c r="C4130" t="str">
        <f>IFERROR(__xludf.DUMMYFUNCTION("GOOGLETRANSLATE(B4130, ""es"", ""en"")"),"Highly recommended. Comfortable, cute, soft Cool. Super comfortable, and shoe wear. They are lined inside and are soft and warm. I was surprised for good. I am happy!! I super recommend")</f>
        <v>Highly recommended. Comfortable, cute, soft Cool. Super comfortable, and shoe wear. They are lined inside and are soft and warm. I was surprised for good. I am happy!! I super recommend</v>
      </c>
    </row>
    <row r="4131">
      <c r="A4131" s="1">
        <v>5.0</v>
      </c>
      <c r="B4131" s="1" t="s">
        <v>4111</v>
      </c>
      <c r="C4131" t="str">
        <f>IFERROR(__xludf.DUMMYFUNCTION("GOOGLETRANSLATE(B4131, ""es"", ""en"")"),"Just what I was looking comfortable")</f>
        <v>Just what I was looking comfortable</v>
      </c>
    </row>
    <row r="4132">
      <c r="A4132" s="1">
        <v>5.0</v>
      </c>
      <c r="B4132" s="1" t="s">
        <v>4112</v>
      </c>
      <c r="C4132" t="str">
        <f>IFERROR(__xludf.DUMMYFUNCTION("GOOGLETRANSLATE(B4132, ""es"", ""en"")"),"Well, nice and cheap perfectly fulfills its function even if I had to put a but I would say that when the water boils not stop automatically but you have to be attentive / or and do it manually. Moreover, it is fine, it's fast, it makes excessive noise an"&amp;"d has a very elegant design.")</f>
        <v>Well, nice and cheap perfectly fulfills its function even if I had to put a but I would say that when the water boils not stop automatically but you have to be attentive / or and do it manually. Moreover, it is fine, it's fast, it makes excessive noise and has a very elegant design.</v>
      </c>
    </row>
    <row r="4133">
      <c r="A4133" s="1">
        <v>5.0</v>
      </c>
      <c r="B4133" s="1" t="s">
        <v>4113</v>
      </c>
      <c r="C4133" t="str">
        <f>IFERROR(__xludf.DUMMYFUNCTION("GOOGLETRANSLATE(B4133, ""es"", ""en"")"),"Light as if I were floating like, it is very comfortable like wearing nothing and cool for the summer. I returned with shame but I have to take templates and do not work because the shape is narrow.")</f>
        <v>Light as if I were floating like, it is very comfortable like wearing nothing and cool for the summer. I returned with shame but I have to take templates and do not work because the shape is narrow.</v>
      </c>
    </row>
    <row r="4134">
      <c r="A4134" s="1">
        <v>5.0</v>
      </c>
      <c r="B4134" s="1" t="s">
        <v>4114</v>
      </c>
      <c r="C4134" t="str">
        <f>IFERROR(__xludf.DUMMYFUNCTION("GOOGLETRANSLATE(B4134, ""es"", ""en"")"),"do not give comfort and warmth I like the fabric and size. the fabric is breathable and size ankle height is suitable.")</f>
        <v>do not give comfort and warmth I like the fabric and size. the fabric is breathable and size ankle height is suitable.</v>
      </c>
    </row>
    <row r="4135">
      <c r="A4135" s="1">
        <v>5.0</v>
      </c>
      <c r="B4135" s="1" t="s">
        <v>4115</v>
      </c>
      <c r="C4135" t="str">
        <f>IFERROR(__xludf.DUMMYFUNCTION("GOOGLETRANSLATE(B4135, ""es"", ""en"")"),"His design. I liked it. Is very complete.")</f>
        <v>His design. I liked it. Is very complete.</v>
      </c>
    </row>
    <row r="4136">
      <c r="A4136" s="1">
        <v>5.0</v>
      </c>
      <c r="B4136" s="1" t="s">
        <v>4116</v>
      </c>
      <c r="C4136" t="str">
        <f>IFERROR(__xludf.DUMMYFUNCTION("GOOGLETRANSLATE(B4136, ""es"", ""en"")"),"My husband loved trousers very comfortable and very good quality, my husband is very happy with the purchase made of made to order one of each color. I recomieno 100%")</f>
        <v>My husband loved trousers very comfortable and very good quality, my husband is very happy with the purchase made of made to order one of each color. I recomieno 100%</v>
      </c>
    </row>
    <row r="4137">
      <c r="A4137" s="1">
        <v>5.0</v>
      </c>
      <c r="B4137" s="1" t="s">
        <v>4117</v>
      </c>
      <c r="C4137" t="str">
        <f>IFERROR(__xludf.DUMMYFUNCTION("GOOGLETRANSLATE(B4137, ""es"", ""en"")"),"Good choice good price and amount Bolsitas ordered the photos Perfect")</f>
        <v>Good choice good price and amount Bolsitas ordered the photos Perfect</v>
      </c>
    </row>
    <row r="4138">
      <c r="A4138" s="1">
        <v>2.0</v>
      </c>
      <c r="B4138" s="1" t="s">
        <v>4118</v>
      </c>
      <c r="C4138" t="str">
        <f>IFERROR(__xludf.DUMMYFUNCTION("GOOGLETRANSLATE(B4138, ""es"", ""en"")"),"REGULAR I love q but the second time I went to use, speeds will not work, is a 1,2,3,4 been pillaged for the next d those powers and does not work")</f>
        <v>REGULAR I love q but the second time I went to use, speeds will not work, is a 1,2,3,4 been pillaged for the next d those powers and does not work</v>
      </c>
    </row>
    <row r="4139">
      <c r="A4139" s="1">
        <v>3.0</v>
      </c>
      <c r="B4139" s="1" t="s">
        <v>4119</v>
      </c>
      <c r="C4139" t="str">
        <f>IFERROR(__xludf.DUMMYFUNCTION("GOOGLETRANSLATE(B4139, ""es"", ""en"")"),"SMALL BUT WELL nice and comfortable watch. It is simple and useful, perhaps putting the date is a little difficult, has 2 positions, and first if you turn one sense or otherwise change the day or date. I find it quite SMALL SPHERE.")</f>
        <v>SMALL BUT WELL nice and comfortable watch. It is simple and useful, perhaps putting the date is a little difficult, has 2 positions, and first if you turn one sense or otherwise change the day or date. I find it quite SMALL SPHERE.</v>
      </c>
    </row>
    <row r="4140">
      <c r="A4140" s="1">
        <v>3.0</v>
      </c>
      <c r="B4140" s="1" t="s">
        <v>4120</v>
      </c>
      <c r="C4140" t="str">
        <f>IFERROR(__xludf.DUMMYFUNCTION("GOOGLETRANSLATE(B4140, ""es"", ""en"")"),"100% polyester fabric thin design is nice but would have paid more to have cotton")</f>
        <v>100% polyester fabric thin design is nice but would have paid more to have cotton</v>
      </c>
    </row>
    <row r="4141">
      <c r="A4141" s="1">
        <v>3.0</v>
      </c>
      <c r="B4141" s="1" t="s">
        <v>4121</v>
      </c>
      <c r="C4141" t="str">
        <f>IFERROR(__xludf.DUMMYFUNCTION("GOOGLETRANSLATE(B4141, ""es"", ""en"")"),"disappointed I bought these cases because the comments had good reviews. In my case, all the cases have come wrinkled, with several bends that are not removed. The size is perfect (larger than 1 page) are gorditas and transparent, they enter without probl"&amp;"em and without bending more than 60 sheets, but being ""shriveled"" but leaves goals, remains the same. A little disappointed, because the price they hoped they were perfect, and it is not.")</f>
        <v>disappointed I bought these cases because the comments had good reviews. In my case, all the cases have come wrinkled, with several bends that are not removed. The size is perfect (larger than 1 page) are gorditas and transparent, they enter without problem and without bending more than 60 sheets, but being "shriveled" but leaves goals, remains the same. A little disappointed, because the price they hoped they were perfect, and it is not.</v>
      </c>
    </row>
    <row r="4142">
      <c r="A4142" s="1">
        <v>1.0</v>
      </c>
      <c r="B4142" s="1" t="s">
        <v>4122</v>
      </c>
      <c r="C4142" t="str">
        <f>IFERROR(__xludf.DUMMYFUNCTION("GOOGLETRANSLATE(B4142, ""es"", ""en"")"),"Horrible Wine completely broken is useless")</f>
        <v>Horrible Wine completely broken is useless</v>
      </c>
    </row>
    <row r="4143">
      <c r="A4143" s="1">
        <v>1.0</v>
      </c>
      <c r="B4143" s="1" t="s">
        <v>4123</v>
      </c>
      <c r="C4143" t="str">
        <f>IFERROR(__xludf.DUMMYFUNCTION("GOOGLETRANSLATE(B4143, ""es"", ""en"")"),"Jose Vicente Roig romera yesterday I realized q is the sole desaciendo as if it were pasta. q is not what happens to the soles but I've used 5 or 6 times, outside are good but the soles are to pull, I do not know what happened q, but not back to buy some "&amp;"shoes here.")</f>
        <v>Jose Vicente Roig romera yesterday I realized q is the sole desaciendo as if it were pasta. q is not what happens to the soles but I've used 5 or 6 times, outside are good but the soles are to pull, I do not know what happened q, but not back to buy some shoes here.</v>
      </c>
    </row>
    <row r="4144">
      <c r="A4144" s="1">
        <v>4.0</v>
      </c>
      <c r="B4144" s="1" t="s">
        <v>4124</v>
      </c>
      <c r="C4144" t="str">
        <f>IFERROR(__xludf.DUMMYFUNCTION("GOOGLETRANSLATE(B4144, ""es"", ""en"")"),"FILA DISRUPTOR arrived super fast, are very nice, the only thing is that left me a bit crammed the bmvino reduced size.")</f>
        <v>FILA DISRUPTOR arrived super fast, are very nice, the only thing is that left me a bit crammed the bmvino reduced size.</v>
      </c>
    </row>
    <row r="4145">
      <c r="A4145" s="1">
        <v>4.0</v>
      </c>
      <c r="B4145" s="1" t="s">
        <v>4125</v>
      </c>
      <c r="C4145" t="str">
        <f>IFERROR(__xludf.DUMMYFUNCTION("GOOGLETRANSLATE(B4145, ""es"", ""en"")"),"As in the picture Material Well, I hope my daughter will last, the only downside, which is too wide, you must have a large backpack because in a normal not enter")</f>
        <v>As in the picture Material Well, I hope my daughter will last, the only downside, which is too wide, you must have a large backpack because in a normal not enter</v>
      </c>
    </row>
    <row r="4146">
      <c r="A4146" s="1">
        <v>4.0</v>
      </c>
      <c r="B4146" s="1" t="s">
        <v>4126</v>
      </c>
      <c r="C4146" t="str">
        <f>IFERROR(__xludf.DUMMYFUNCTION("GOOGLETRANSLATE(B4146, ""es"", ""en"")"),"good hard good hard drive and easily connectable to the PS4 to increase the discharge capacity. Since I connect identifies the hard drive to download anything new. Important to know that if you download is game updates and downloaded on your hard disk PS4"&amp;" tried to use the internal disk and not this, so if you have room it is best to delete the game and reinstall it on the new album . Certainly highly recommended.")</f>
        <v>good hard good hard drive and easily connectable to the PS4 to increase the discharge capacity. Since I connect identifies the hard drive to download anything new. Important to know that if you download is game updates and downloaded on your hard disk PS4 tried to use the internal disk and not this, so if you have room it is best to delete the game and reinstall it on the new album . Certainly highly recommended.</v>
      </c>
    </row>
    <row r="4147">
      <c r="A4147" s="1">
        <v>4.0</v>
      </c>
      <c r="B4147" s="1" t="s">
        <v>4127</v>
      </c>
      <c r="C4147" t="str">
        <f>IFERROR(__xludf.DUMMYFUNCTION("GOOGLETRANSLATE(B4147, ""es"", ""en"")"),"perfect shoes recommended highly recommended, but beware size for this brand I have ordered a number over which normally use and I have been perfect.")</f>
        <v>perfect shoes recommended highly recommended, but beware size for this brand I have ordered a number over which normally use and I have been perfect.</v>
      </c>
    </row>
    <row r="4148">
      <c r="A4148" s="1">
        <v>4.0</v>
      </c>
      <c r="B4148" s="1" t="s">
        <v>4128</v>
      </c>
      <c r="C4148" t="str">
        <f>IFERROR(__xludf.DUMMYFUNCTION("GOOGLETRANSLATE(B4148, ""es"", ""en"")"),"Price and quality according Hooded pocket to put the cat or whatever you want to put if your cat is not left, not bad, not great but it is so difficult is pretty good")</f>
        <v>Price and quality according Hooded pocket to put the cat or whatever you want to put if your cat is not left, not bad, not great but it is so difficult is pretty good</v>
      </c>
    </row>
    <row r="4149">
      <c r="A4149" s="1">
        <v>5.0</v>
      </c>
      <c r="B4149" s="1" t="s">
        <v>4129</v>
      </c>
      <c r="C4149" t="str">
        <f>IFERROR(__xludf.DUMMYFUNCTION("GOOGLETRANSLATE(B4149, ""es"", ""en"")"),"What I was looking for. The app of the mobil is very comprehensive and intuitive, connected to home goggle makes its function.")</f>
        <v>What I was looking for. The app of the mobil is very comprehensive and intuitive, connected to home goggle makes its function.</v>
      </c>
    </row>
    <row r="4150">
      <c r="A4150" s="1">
        <v>5.0</v>
      </c>
      <c r="B4150" s="1" t="s">
        <v>4130</v>
      </c>
      <c r="C4150" t="str">
        <f>IFERROR(__xludf.DUMMYFUNCTION("GOOGLETRANSLATE(B4150, ""es"", ""en"")"),"Resistant and functional Very good quality, are not stillborn as others. Clean and unwrinkled within its carton. I recommend them.")</f>
        <v>Resistant and functional Very good quality, are not stillborn as others. Clean and unwrinkled within its carton. I recommend them.</v>
      </c>
    </row>
    <row r="4151">
      <c r="A4151" s="1">
        <v>5.0</v>
      </c>
      <c r="B4151" s="1" t="s">
        <v>4131</v>
      </c>
      <c r="C4151" t="str">
        <f>IFERROR(__xludf.DUMMYFUNCTION("GOOGLETRANSLATE(B4151, ""es"", ""en"")"),"Perfect !! He is looking for a sweatshirt that was comfortable and not weighed. This is neither thin nor thick, has a touch something soft. I liked the design or silkscreened with the 3D effect. The truth that a distance looks nice. It has the very real a"&amp;"nd vivid colors. It has come sooner than expected and in good condition.")</f>
        <v>Perfect !! He is looking for a sweatshirt that was comfortable and not weighed. This is neither thin nor thick, has a touch something soft. I liked the design or silkscreened with the 3D effect. The truth that a distance looks nice. It has the very real and vivid colors. It has come sooner than expected and in good condition.</v>
      </c>
    </row>
    <row r="4152">
      <c r="A4152" s="1">
        <v>5.0</v>
      </c>
      <c r="B4152" s="1" t="s">
        <v>4132</v>
      </c>
      <c r="C4152" t="str">
        <f>IFERROR(__xludf.DUMMYFUNCTION("GOOGLETRANSLATE(B4152, ""es"", ""en"")"),"Quality and price Excellent value for money")</f>
        <v>Quality and price Excellent value for money</v>
      </c>
    </row>
    <row r="4153">
      <c r="A4153" s="1">
        <v>5.0</v>
      </c>
      <c r="B4153" s="1" t="s">
        <v>4133</v>
      </c>
      <c r="C4153" t="str">
        <f>IFERROR(__xludf.DUMMYFUNCTION("GOOGLETRANSLATE(B4153, ""es"", ""en"")"),"Under Armor to say about the best brand of sportswear. High quality, it is perfect.")</f>
        <v>Under Armor to say about the best brand of sportswear. High quality, it is perfect.</v>
      </c>
    </row>
    <row r="4154">
      <c r="A4154" s="1">
        <v>5.0</v>
      </c>
      <c r="B4154" s="1" t="s">
        <v>4134</v>
      </c>
      <c r="C4154" t="str">
        <f>IFERROR(__xludf.DUMMYFUNCTION("GOOGLETRANSLATE(B4154, ""es"", ""en"")"),"Timeless design. Is what is expected, a good timeless watch.")</f>
        <v>Timeless design. Is what is expected, a good timeless watch.</v>
      </c>
    </row>
    <row r="4155">
      <c r="A4155" s="1">
        <v>5.0</v>
      </c>
      <c r="B4155" s="1" t="s">
        <v>4135</v>
      </c>
      <c r="C4155" t="str">
        <f>IFERROR(__xludf.DUMMYFUNCTION("GOOGLETRANSLATE(B4155, ""es"", ""en"")"),"Like the photo I love the sweatshirt, color and shape as in the photo. The sleeves are not very long ... rather are fair.")</f>
        <v>Like the photo I love the sweatshirt, color and shape as in the photo. The sleeves are not very long ... rather are fair.</v>
      </c>
    </row>
    <row r="4156">
      <c r="A4156" s="1">
        <v>5.0</v>
      </c>
      <c r="B4156" s="1" t="s">
        <v>4136</v>
      </c>
      <c r="C4156" t="str">
        <f>IFERROR(__xludf.DUMMYFUNCTION("GOOGLETRANSLATE(B4156, ""es"", ""en"")"),"My daughter delighted sweatshirt came in 16 days. Of normal size. The thin fabric but this time is great ... my daughter has loved")</f>
        <v>My daughter delighted sweatshirt came in 16 days. Of normal size. The thin fabric but this time is great ... my daughter has loved</v>
      </c>
    </row>
    <row r="4157">
      <c r="A4157" s="1">
        <v>5.0</v>
      </c>
      <c r="B4157" s="1" t="s">
        <v>4137</v>
      </c>
      <c r="C4157" t="str">
        <f>IFERROR(__xludf.DUMMYFUNCTION("GOOGLETRANSLATE(B4157, ""es"", ""en"")"),"Pretty great all")</f>
        <v>Pretty great all</v>
      </c>
    </row>
    <row r="4158">
      <c r="A4158" s="1">
        <v>5.0</v>
      </c>
      <c r="B4158" s="1" t="s">
        <v>4138</v>
      </c>
      <c r="C4158" t="str">
        <f>IFERROR(__xludf.DUMMYFUNCTION("GOOGLETRANSLATE(B4158, ""es"", ""en"")"),"Very relaxing is amazing, comfortable and very relaxing. Surely if we have to give is our first choice")</f>
        <v>Very relaxing is amazing, comfortable and very relaxing. Surely if we have to give is our first choice</v>
      </c>
    </row>
    <row r="4159">
      <c r="A4159" s="1">
        <v>5.0</v>
      </c>
      <c r="B4159" s="1" t="s">
        <v>4139</v>
      </c>
      <c r="C4159" t="str">
        <f>IFERROR(__xludf.DUMMYFUNCTION("GOOGLETRANSLATE(B4159, ""es"", ""en"")"),"He buys them a thousand times more A real joy shoes, super comfortable, flexible sole, construction work and are the best safety shoes I've worked !!!")</f>
        <v>He buys them a thousand times more A real joy shoes, super comfortable, flexible sole, construction work and are the best safety shoes I've worked !!!</v>
      </c>
    </row>
    <row r="4160">
      <c r="A4160" s="1">
        <v>5.0</v>
      </c>
      <c r="B4160" s="1" t="s">
        <v>4140</v>
      </c>
      <c r="C4160" t="str">
        <f>IFERROR(__xludf.DUMMYFUNCTION("GOOGLETRANSLATE(B4160, ""es"", ""en"")"),"Nice design. For those who like big watches and informal, it has great design, certainly is original.")</f>
        <v>Nice design. For those who like big watches and informal, it has great design, certainly is original.</v>
      </c>
    </row>
    <row r="4161">
      <c r="A4161" s="1">
        <v>5.0</v>
      </c>
      <c r="B4161" s="1" t="s">
        <v>4141</v>
      </c>
      <c r="C4161" t="str">
        <f>IFERROR(__xludf.DUMMYFUNCTION("GOOGLETRANSLATE(B4161, ""es"", ""en"")"),"Well ... in principle Product Economic 64GB. It comes formatted with the exFAT file system (at the least mine). Bring a pro license for the SanDisk RescuePRO® Deluxe program (the serial number is inside the blister stuck on the side). ... time will tell i"&amp;"f it was a good purchase.")</f>
        <v>Well ... in principle Product Economic 64GB. It comes formatted with the exFAT file system (at the least mine). Bring a pro license for the SanDisk RescuePRO® Deluxe program (the serial number is inside the blister stuck on the side). ... time will tell if it was a good purchase.</v>
      </c>
    </row>
    <row r="4162">
      <c r="A4162" s="1">
        <v>5.0</v>
      </c>
      <c r="B4162" s="1" t="s">
        <v>4142</v>
      </c>
      <c r="C4162" t="str">
        <f>IFERROR(__xludf.DUMMYFUNCTION("GOOGLETRANSLATE(B4162, ""es"", ""en"")"),"Very useful and convenient. Very useful for benefits and not have to walk with your mouse or indicate rising. It was connected to the first with Windows 10. Comfortable in hand. I premiered moment they arrive.")</f>
        <v>Very useful and convenient. Very useful for benefits and not have to walk with your mouse or indicate rising. It was connected to the first with Windows 10. Comfortable in hand. I premiered moment they arrive.</v>
      </c>
    </row>
    <row r="4163">
      <c r="A4163" s="1">
        <v>5.0</v>
      </c>
      <c r="B4163" s="1" t="s">
        <v>4143</v>
      </c>
      <c r="C4163" t="str">
        <f>IFERROR(__xludf.DUMMYFUNCTION("GOOGLETRANSLATE(B4163, ""es"", ""en"")"),"All ok all ok")</f>
        <v>All ok all ok</v>
      </c>
    </row>
    <row r="4164">
      <c r="A4164" s="1">
        <v>5.0</v>
      </c>
      <c r="B4164" s="1" t="s">
        <v>4144</v>
      </c>
      <c r="C4164" t="str">
        <f>IFERROR(__xludf.DUMMYFUNCTION("GOOGLETRANSLATE(B4164, ""es"", ""en"")"),"Good audio quality and has very good sound quality, battery hold me between two and a half hours and three hours having the volume almost butt. It takes very little time to load and are very comfortable to wear. Are placed quite well and do not fall even "&amp;"you are out running but I would not recommend much for it.")</f>
        <v>Good audio quality and has very good sound quality, battery hold me between two and a half hours and three hours having the volume almost butt. It takes very little time to load and are very comfortable to wear. Are placed quite well and do not fall even you are out running but I would not recommend much for it.</v>
      </c>
    </row>
    <row r="4165">
      <c r="A4165" s="1">
        <v>5.0</v>
      </c>
      <c r="B4165" s="1" t="s">
        <v>4145</v>
      </c>
      <c r="C4165" t="str">
        <f>IFERROR(__xludf.DUMMYFUNCTION("GOOGLETRANSLATE(B4165, ""es"", ""en"")"),"It's great really well! I recommend it to anyone who wants to buy an electric massager to have at home always want q! Guay")</f>
        <v>It's great really well! I recommend it to anyone who wants to buy an electric massager to have at home always want q! Guay</v>
      </c>
    </row>
    <row r="4166">
      <c r="A4166" s="1">
        <v>5.0</v>
      </c>
      <c r="B4166" s="1" t="s">
        <v>4146</v>
      </c>
      <c r="C4166" t="str">
        <f>IFERROR(__xludf.DUMMYFUNCTION("GOOGLETRANSLATE(B4166, ""es"", ""en"")"),"Good design and support Size is perfect and, in addition to good design, gives a very good grip. I have bought for low-impact exercises, but can be used perfectly to run.")</f>
        <v>Good design and support Size is perfect and, in addition to good design, gives a very good grip. I have bought for low-impact exercises, but can be used perfectly to run.</v>
      </c>
    </row>
    <row r="4167">
      <c r="A4167" s="1">
        <v>5.0</v>
      </c>
      <c r="B4167" s="1" t="s">
        <v>4147</v>
      </c>
      <c r="C4167" t="str">
        <f>IFERROR(__xludf.DUMMYFUNCTION("GOOGLETRANSLATE(B4167, ""es"", ""en"")"),"Great for games great, but if you need or if an amplifier.")</f>
        <v>Great for games great, but if you need or if an amplifier.</v>
      </c>
    </row>
    <row r="4168">
      <c r="A4168" s="1">
        <v>2.0</v>
      </c>
      <c r="B4168" s="1" t="s">
        <v>4148</v>
      </c>
      <c r="C4168" t="str">
        <f>IFERROR(__xludf.DUMMYFUNCTION("GOOGLETRANSLATE(B4168, ""es"", ""en"")"),"Are well slippers are very cool, they are very good. Size is normal, the problem is q children play on sand and asphalt and has deleted the red side, but otherwise great for the price q has")</f>
        <v>Are well slippers are very cool, they are very good. Size is normal, the problem is q children play on sand and asphalt and has deleted the red side, but otherwise great for the price q has</v>
      </c>
    </row>
    <row r="4169">
      <c r="A4169" s="1">
        <v>3.0</v>
      </c>
      <c r="B4169" s="1" t="s">
        <v>4149</v>
      </c>
      <c r="C4169" t="str">
        <f>IFERROR(__xludf.DUMMYFUNCTION("GOOGLETRANSLATE(B4169, ""es"", ""en"")"),"They are very well were very well matched to the image and information about the product, sound good too but returned because I became too large in the area of ​​earmuffs and I do not like but it is a personal problem not of the article itself")</f>
        <v>They are very well were very well matched to the image and information about the product, sound good too but returned because I became too large in the area of ​​earmuffs and I do not like but it is a personal problem not of the article itself</v>
      </c>
    </row>
    <row r="4170">
      <c r="A4170" s="1">
        <v>1.0</v>
      </c>
      <c r="B4170" s="1" t="s">
        <v>4150</v>
      </c>
      <c r="C4170" t="str">
        <f>IFERROR(__xludf.DUMMYFUNCTION("GOOGLETRANSLATE(B4170, ""es"", ""en"")"),"Terrible The course lavender oil pulling strange smells horrible. They do not seem essential oils, but rather scents")</f>
        <v>Terrible The course lavender oil pulling strange smells horrible. They do not seem essential oils, but rather scents</v>
      </c>
    </row>
    <row r="4171">
      <c r="A4171" s="1">
        <v>1.0</v>
      </c>
      <c r="B4171" s="1" t="s">
        <v>4151</v>
      </c>
      <c r="C4171" t="str">
        <f>IFERROR(__xludf.DUMMYFUNCTION("GOOGLETRANSLATE(B4171, ""es"", ""en"")"),"Inma Pérez Mata Hello. He was waiting with great enthusiasm that came to me to give to my husband for Valentine's Day, and only open the carton box Amazon see lotus completely destroyed, the clock if you come good. I asked refund for defective product and"&amp;" then me they will replace. Who has packed the clock has seen perfectly, because it makes us lose time to the carrier and the customer. Q now I go a printer to print the return label and wait to be reminded to return qe")</f>
        <v>Inma Pérez Mata Hello. He was waiting with great enthusiasm that came to me to give to my husband for Valentine's Day, and only open the carton box Amazon see lotus completely destroyed, the clock if you come good. I asked refund for defective product and then me they will replace. Who has packed the clock has seen perfectly, because it makes us lose time to the carrier and the customer. Q now I go a printer to print the return label and wait to be reminded to return qe</v>
      </c>
    </row>
    <row r="4172">
      <c r="A4172" s="1">
        <v>4.0</v>
      </c>
      <c r="B4172" s="1" t="s">
        <v>4152</v>
      </c>
      <c r="C4172" t="str">
        <f>IFERROR(__xludf.DUMMYFUNCTION("GOOGLETRANSLATE(B4172, ""es"", ""en"")"),"Pleased with purchase very good value prices. The first aioli went very well, I lacked only fitting to climb clear.")</f>
        <v>Pleased with purchase very good value prices. The first aioli went very well, I lacked only fitting to climb clear.</v>
      </c>
    </row>
    <row r="4173">
      <c r="A4173" s="1">
        <v>4.0</v>
      </c>
      <c r="B4173" s="1" t="s">
        <v>4153</v>
      </c>
      <c r="C4173" t="str">
        <f>IFERROR(__xludf.DUMMYFUNCTION("GOOGLETRANSLATE(B4173, ""es"", ""en"")"),"Totally original. It is exactly like the pictures. Very fast delivery.")</f>
        <v>Totally original. It is exactly like the pictures. Very fast delivery.</v>
      </c>
    </row>
    <row r="4174">
      <c r="A4174" s="1">
        <v>4.0</v>
      </c>
      <c r="B4174" s="1" t="s">
        <v>4154</v>
      </c>
      <c r="C4174" t="str">
        <f>IFERROR(__xludf.DUMMYFUNCTION("GOOGLETRANSLATE(B4174, ""es"", ""en"")"),"Robusta good, very simple when you dismount the glass and easy to clean. Has more than enough power and ice pick or chicken without problems. It is not exaggerated in size and noisier than usual in this class of devices. See durability with use and the pa"&amp;"ssage of time ...")</f>
        <v>Robusta good, very simple when you dismount the glass and easy to clean. Has more than enough power and ice pick or chicken without problems. It is not exaggerated in size and noisier than usual in this class of devices. See durability with use and the passage of time ...</v>
      </c>
    </row>
    <row r="4175">
      <c r="A4175" s="1">
        <v>4.0</v>
      </c>
      <c r="B4175" s="1" t="s">
        <v>4155</v>
      </c>
      <c r="C4175" t="str">
        <f>IFERROR(__xludf.DUMMYFUNCTION("GOOGLETRANSLATE(B4175, ""es"", ""en"")"),"Nothing special Juices")</f>
        <v>Nothing special Juices</v>
      </c>
    </row>
    <row r="4176">
      <c r="A4176" s="1">
        <v>4.0</v>
      </c>
      <c r="B4176" s="1" t="s">
        <v>4156</v>
      </c>
      <c r="C4176" t="str">
        <f>IFERROR(__xludf.DUMMYFUNCTION("GOOGLETRANSLATE(B4176, ""es"", ""en"")"),"Good and nice but just carve sneakers are quality and beautiful. They Llagaron ahead of schedule but carving something small. I use a size 44 and I still just have had to descanbiarlas for a full size 45 .recomiendo that cojáis a size more than your numbe"&amp;"r usually calceis")</f>
        <v>Good and nice but just carve sneakers are quality and beautiful. They Llagaron ahead of schedule but carving something small. I use a size 44 and I still just have had to descanbiarlas for a full size 45 .recomiendo that cojáis a size more than your number usually calceis</v>
      </c>
    </row>
    <row r="4177">
      <c r="A4177" s="1">
        <v>5.0</v>
      </c>
      <c r="B4177" s="1" t="s">
        <v>4157</v>
      </c>
      <c r="C4177" t="str">
        <f>IFERROR(__xludf.DUMMYFUNCTION("GOOGLETRANSLATE(B4177, ""es"", ""en"")"),"Very nice gift necklace and a nice touch.")</f>
        <v>Very nice gift necklace and a nice touch.</v>
      </c>
    </row>
    <row r="4178">
      <c r="A4178" s="1">
        <v>5.0</v>
      </c>
      <c r="B4178" s="1" t="s">
        <v>4158</v>
      </c>
      <c r="C4178" t="str">
        <f>IFERROR(__xludf.DUMMYFUNCTION("GOOGLETRANSLATE(B4178, ""es"", ""en"")"),"Perfect is wonderful. Every day I am more glad I bought, the water heats up quickly, it is light and glass, as indicated by the description.")</f>
        <v>Perfect is wonderful. Every day I am more glad I bought, the water heats up quickly, it is light and glass, as indicated by the description.</v>
      </c>
    </row>
    <row r="4179">
      <c r="A4179" s="1">
        <v>5.0</v>
      </c>
      <c r="B4179" s="1" t="s">
        <v>4159</v>
      </c>
      <c r="C4179" t="str">
        <f>IFERROR(__xludf.DUMMYFUNCTION("GOOGLETRANSLATE(B4179, ""es"", ""en"")"),"The alarm handsome design caught my attention curve and making huge numbers. But once I tasted, which emphasize more of the same, is the projection that makes the time on any wall or ceiling, which places a light beam (not annoying at all) with the time t"&amp;"o where it approaches. It also has a USB to charge mobile, is a detail that may seem silly, but it's very useful.")</f>
        <v>The alarm handsome design caught my attention curve and making huge numbers. But once I tasted, which emphasize more of the same, is the projection that makes the time on any wall or ceiling, which places a light beam (not annoying at all) with the time to where it approaches. It also has a USB to charge mobile, is a detail that may seem silly, but it's very useful.</v>
      </c>
    </row>
    <row r="4180">
      <c r="A4180" s="1">
        <v>5.0</v>
      </c>
      <c r="B4180" s="1" t="s">
        <v>4160</v>
      </c>
      <c r="C4180" t="str">
        <f>IFERROR(__xludf.DUMMYFUNCTION("GOOGLETRANSLATE(B4180, ""es"", ""en"")"),"Very good very good. All right. Good quality. Highly recommended. Delivery and packaging very careful. Would you purchase this product without any hesitation. I hope it is my opinion helpful.")</f>
        <v>Very good very good. All right. Good quality. Highly recommended. Delivery and packaging very careful. Would you purchase this product without any hesitation. I hope it is my opinion helpful.</v>
      </c>
    </row>
    <row r="4181">
      <c r="A4181" s="1">
        <v>5.0</v>
      </c>
      <c r="B4181" s="1" t="s">
        <v>4161</v>
      </c>
      <c r="C4181" t="str">
        <f>IFERROR(__xludf.DUMMYFUNCTION("GOOGLETRANSLATE(B4181, ""es"", ""en"")"),"Excellent've had others before but this apple'm pretty happier. Screen clarity, low complication to add or remove Gatgets, clarity and perfect sound volume and microphone, robustness, receiving all types of messages and mails. I recommend it. Quality - ex"&amp;"cellent price.")</f>
        <v>Excellent've had others before but this apple'm pretty happier. Screen clarity, low complication to add or remove Gatgets, clarity and perfect sound volume and microphone, robustness, receiving all types of messages and mails. I recommend it. Quality - excellent price.</v>
      </c>
    </row>
    <row r="4182">
      <c r="A4182" s="1">
        <v>5.0</v>
      </c>
      <c r="B4182" s="1" t="s">
        <v>4162</v>
      </c>
      <c r="C4182" t="str">
        <f>IFERROR(__xludf.DUMMYFUNCTION("GOOGLETRANSLATE(B4182, ""es"", ""en"")"),"Good quality magnets are fine. They have a very good magnetisation, great strength for the size they have. They come well packaged")</f>
        <v>Good quality magnets are fine. They have a very good magnetisation, great strength for the size they have. They come well packaged</v>
      </c>
    </row>
    <row r="4183">
      <c r="A4183" s="1">
        <v>5.0</v>
      </c>
      <c r="B4183" s="1" t="s">
        <v>4163</v>
      </c>
      <c r="C4183" t="str">
        <f>IFERROR(__xludf.DUMMYFUNCTION("GOOGLETRANSLATE(B4183, ""es"", ""en"")"),"There is a good quality price relation. I've loved these USB keys. Light, strong, with sufficient capacity and cheap. I would like to find the standard 3.0, because these are USB 2.")</f>
        <v>There is a good quality price relation. I've loved these USB keys. Light, strong, with sufficient capacity and cheap. I would like to find the standard 3.0, because these are USB 2.</v>
      </c>
    </row>
    <row r="4184">
      <c r="A4184" s="1">
        <v>5.0</v>
      </c>
      <c r="B4184" s="1" t="s">
        <v>4164</v>
      </c>
      <c r="C4184" t="str">
        <f>IFERROR(__xludf.DUMMYFUNCTION("GOOGLETRANSLATE(B4184, ""es"", ""en"")"),"It works well for the price it meets my expectations. They are slow USB memories, but at that price, I did not expect anything else. I appreciate good work properly because until now, no other similar USB not working at all.")</f>
        <v>It works well for the price it meets my expectations. They are slow USB memories, but at that price, I did not expect anything else. I appreciate good work properly because until now, no other similar USB not working at all.</v>
      </c>
    </row>
    <row r="4185">
      <c r="A4185" s="1">
        <v>5.0</v>
      </c>
      <c r="B4185" s="1" t="s">
        <v>4165</v>
      </c>
      <c r="C4185" t="str">
        <f>IFERROR(__xludf.DUMMYFUNCTION("GOOGLETRANSLATE(B4185, ""es"", ""en"")"),"It was a very nice birthday present, and I liked a lot. They are perfect size, current and elegant design as well. Exactly what I wanted and combine perfectly with my pendant tree of life the same seller. Price-quality second to none!")</f>
        <v>It was a very nice birthday present, and I liked a lot. They are perfect size, current and elegant design as well. Exactly what I wanted and combine perfectly with my pendant tree of life the same seller. Price-quality second to none!</v>
      </c>
    </row>
    <row r="4186">
      <c r="A4186" s="1">
        <v>5.0</v>
      </c>
      <c r="B4186" s="1" t="s">
        <v>4166</v>
      </c>
      <c r="C4186" t="str">
        <f>IFERROR(__xludf.DUMMYFUNCTION("GOOGLETRANSLATE(B4186, ""es"", ""en"")"),"Good product good product")</f>
        <v>Good product good product</v>
      </c>
    </row>
    <row r="4187">
      <c r="A4187" s="1">
        <v>5.0</v>
      </c>
      <c r="B4187" s="1" t="s">
        <v>4167</v>
      </c>
      <c r="C4187" t="str">
        <f>IFERROR(__xludf.DUMMYFUNCTION("GOOGLETRANSLATE(B4187, ""es"", ""en"")"),"Perfect have proved really comfortable and most importantly, is not easily wear out with everyday use. He is looking sneakers that were tough because I tend to wear down the sole very fast, but these were perfect. I recommend them.")</f>
        <v>Perfect have proved really comfortable and most importantly, is not easily wear out with everyday use. He is looking sneakers that were tough because I tend to wear down the sole very fast, but these were perfect. I recommend them.</v>
      </c>
    </row>
    <row r="4188">
      <c r="A4188" s="1">
        <v>5.0</v>
      </c>
      <c r="B4188" s="1" t="s">
        <v>4168</v>
      </c>
      <c r="C4188" t="str">
        <f>IFERROR(__xludf.DUMMYFUNCTION("GOOGLETRANSLATE(B4188, ""es"", ""en"")"),"just for me because of its size I have to say q a kettle with his right size. Price and quality was worth it. 1L is enough and cleaned very well.")</f>
        <v>just for me because of its size I have to say q a kettle with his right size. Price and quality was worth it. 1L is enough and cleaned very well.</v>
      </c>
    </row>
    <row r="4189">
      <c r="A4189" s="1">
        <v>5.0</v>
      </c>
      <c r="B4189" s="1" t="s">
        <v>4169</v>
      </c>
      <c r="C4189" t="str">
        <f>IFERROR(__xludf.DUMMYFUNCTION("GOOGLETRANSLATE(B4189, ""es"", ""en"")"),"I love a wonderful set. Pecioso!")</f>
        <v>I love a wonderful set. Pecioso!</v>
      </c>
    </row>
    <row r="4190">
      <c r="A4190" s="1">
        <v>5.0</v>
      </c>
      <c r="B4190" s="1" t="s">
        <v>4170</v>
      </c>
      <c r="C4190" t="str">
        <f>IFERROR(__xludf.DUMMYFUNCTION("GOOGLETRANSLATE(B4190, ""es"", ""en"")"),"Walkman-pen Just what I needed")</f>
        <v>Walkman-pen Just what I needed</v>
      </c>
    </row>
    <row r="4191">
      <c r="A4191" s="1">
        <v>5.0</v>
      </c>
      <c r="B4191" s="1" t="s">
        <v>4171</v>
      </c>
      <c r="C4191" t="str">
        <f>IFERROR(__xludf.DUMMYFUNCTION("GOOGLETRANSLATE(B4191, ""es"", ""en"")"),"Perfect quality. Much better than I expected")</f>
        <v>Perfect quality. Much better than I expected</v>
      </c>
    </row>
    <row r="4192">
      <c r="A4192" s="1">
        <v>5.0</v>
      </c>
      <c r="B4192" s="1" t="s">
        <v>4172</v>
      </c>
      <c r="C4192" t="str">
        <f>IFERROR(__xludf.DUMMYFUNCTION("GOOGLETRANSLATE(B4192, ""es"", ""en"")"),"microphone microphone professional and easy mounting")</f>
        <v>microphone microphone professional and easy mounting</v>
      </c>
    </row>
    <row r="4193">
      <c r="A4193" s="1">
        <v>5.0</v>
      </c>
      <c r="B4193" s="1" t="s">
        <v>4173</v>
      </c>
      <c r="C4193" t="str">
        <f>IFERROR(__xludf.DUMMYFUNCTION("GOOGLETRANSLATE(B4193, ""es"", ""en"")"),"Serviceability For school")</f>
        <v>Serviceability For school</v>
      </c>
    </row>
    <row r="4194">
      <c r="A4194" s="1">
        <v>5.0</v>
      </c>
      <c r="B4194" s="1" t="s">
        <v>4174</v>
      </c>
      <c r="C4194" t="str">
        <f>IFERROR(__xludf.DUMMYFUNCTION("GOOGLETRANSLATE(B4194, ""es"", ""en"")"),"Thick plastic quality are excellent, very clear, it looks perfectly what you put inside. not shrivel and remain firm. Delighted with purchase. Highly recommended.")</f>
        <v>Thick plastic quality are excellent, very clear, it looks perfectly what you put inside. not shrivel and remain firm. Delighted with purchase. Highly recommended.</v>
      </c>
    </row>
    <row r="4195">
      <c r="A4195" s="1">
        <v>2.0</v>
      </c>
      <c r="B4195" s="1" t="s">
        <v>4175</v>
      </c>
      <c r="C4195" t="str">
        <f>IFERROR(__xludf.DUMMYFUNCTION("GOOGLETRANSLATE(B4195, ""es"", ""en"")"),"Not very practical for milkshakes As you several goals fruit ingredients and fill much the glass of liquid, it stops and does not work for my fruit smoothies not worth me, I see it rather to beat a colacao or very little fruit, I have returned I do not li"&amp;"ke")</f>
        <v>Not very practical for milkshakes As you several goals fruit ingredients and fill much the glass of liquid, it stops and does not work for my fruit smoothies not worth me, I see it rather to beat a colacao or very little fruit, I have returned I do not like</v>
      </c>
    </row>
    <row r="4196">
      <c r="A4196" s="1">
        <v>3.0</v>
      </c>
      <c r="B4196" s="1" t="s">
        <v>4176</v>
      </c>
      <c r="C4196" t="str">
        <f>IFERROR(__xludf.DUMMYFUNCTION("GOOGLETRANSLATE(B4196, ""es"", ""en"")"),"Should improve the presentation I like a lot but it came as such, no box and no protection ... plus the back is pretty black spotted something that will not go away. Accessories do not come, but in what is pretty fit!")</f>
        <v>Should improve the presentation I like a lot but it came as such, no box and no protection ... plus the back is pretty black spotted something that will not go away. Accessories do not come, but in what is pretty fit!</v>
      </c>
    </row>
    <row r="4197">
      <c r="A4197" s="1">
        <v>3.0</v>
      </c>
      <c r="B4197" s="1" t="s">
        <v>4177</v>
      </c>
      <c r="C4197" t="str">
        <f>IFERROR(__xludf.DUMMYFUNCTION("GOOGLETRANSLATE(B4197, ""es"", ""en"")"),"Okay faces but I see a little face.")</f>
        <v>Okay faces but I see a little face.</v>
      </c>
    </row>
    <row r="4198">
      <c r="A4198" s="1">
        <v>1.0</v>
      </c>
      <c r="B4198" s="1" t="s">
        <v>4178</v>
      </c>
      <c r="C4198" t="str">
        <f>IFERROR(__xludf.DUMMYFUNCTION("GOOGLETRANSLATE(B4198, ""es"", ""en"")"),"Not buy and sell as GTX is not. Size is very small and has poor quality. I do not recommend at all if you buy. For me a scam.")</f>
        <v>Not buy and sell as GTX is not. Size is very small and has poor quality. I do not recommend at all if you buy. For me a scam.</v>
      </c>
    </row>
    <row r="4199">
      <c r="A4199" s="1">
        <v>1.0</v>
      </c>
      <c r="B4199" s="1" t="s">
        <v>4179</v>
      </c>
      <c r="C4199" t="str">
        <f>IFERROR(__xludf.DUMMYFUNCTION("GOOGLETRANSLATE(B4199, ""es"", ""en"")"),"defective bra. Is fatal glasses are given of himself.")</f>
        <v>defective bra. Is fatal glasses are given of himself.</v>
      </c>
    </row>
    <row r="4200">
      <c r="A4200" s="1">
        <v>4.0</v>
      </c>
      <c r="B4200" s="1" t="s">
        <v>4180</v>
      </c>
      <c r="C4200" t="str">
        <f>IFERROR(__xludf.DUMMYFUNCTION("GOOGLETRANSLATE(B4200, ""es"", ""en"")"),"Very comfortable, very good value / price very attractive. I repeated purchase had them in dark blue and as I have been very comfortable I preferred not to innovate. Highly recommended for people who have a wide foot, like me. The color is very nice")</f>
        <v>Very comfortable, very good value / price very attractive. I repeated purchase had them in dark blue and as I have been very comfortable I preferred not to innovate. Highly recommended for people who have a wide foot, like me. The color is very nice</v>
      </c>
    </row>
    <row r="4201">
      <c r="A4201" s="1">
        <v>4.0</v>
      </c>
      <c r="B4201" s="1" t="s">
        <v>4181</v>
      </c>
      <c r="C4201" t="str">
        <f>IFERROR(__xludf.DUMMYFUNCTION("GOOGLETRANSLATE(B4201, ""es"", ""en"")"),"It is practical and manageable practical and manageable, use it to suck the sofa pet hair, but I thought it would have more power absorption.")</f>
        <v>It is practical and manageable practical and manageable, use it to suck the sofa pet hair, but I thought it would have more power absorption.</v>
      </c>
    </row>
    <row r="4202">
      <c r="A4202" s="1">
        <v>4.0</v>
      </c>
      <c r="B4202" s="1" t="s">
        <v>4182</v>
      </c>
      <c r="C4202" t="str">
        <f>IFERROR(__xludf.DUMMYFUNCTION("GOOGLETRANSLATE(B4202, ""es"", ""en"")"),"as it is comfortable strap, simple but reliable product described, it is a product of a brand that needs no recommendation of any kind")</f>
        <v>as it is comfortable strap, simple but reliable product described, it is a product of a brand that needs no recommendation of any kind</v>
      </c>
    </row>
    <row r="4203">
      <c r="A4203" s="1">
        <v>4.0</v>
      </c>
      <c r="B4203" s="1" t="s">
        <v>4183</v>
      </c>
      <c r="C4203" t="str">
        <f>IFERROR(__xludf.DUMMYFUNCTION("GOOGLETRANSLATE(B4203, ""es"", ""en"")"),"Good headphones are very comfortable and work well ... have buts as radio, having no antenna is not worth of the phone and sometimes having to have bluetoohh call you and not listen until you take it off, now do not know if this will be the headphones or "&amp;"mobile. Even so good purchase, recommend them without any problem.")</f>
        <v>Good headphones are very comfortable and work well ... have buts as radio, having no antenna is not worth of the phone and sometimes having to have bluetoohh call you and not listen until you take it off, now do not know if this will be the headphones or mobile. Even so good purchase, recommend them without any problem.</v>
      </c>
    </row>
    <row r="4204">
      <c r="A4204" s="1">
        <v>5.0</v>
      </c>
      <c r="B4204" s="1" t="s">
        <v>4184</v>
      </c>
      <c r="C4204" t="str">
        <f>IFERROR(__xludf.DUMMYFUNCTION("GOOGLETRANSLATE(B4204, ""es"", ""en"")"),"Precious pendant is very thin and very pretty.")</f>
        <v>Precious pendant is very thin and very pretty.</v>
      </c>
    </row>
    <row r="4205">
      <c r="A4205" s="1">
        <v>5.0</v>
      </c>
      <c r="B4205" s="1" t="s">
        <v>4185</v>
      </c>
      <c r="C4205" t="str">
        <f>IFERROR(__xludf.DUMMYFUNCTION("GOOGLETRANSLATE(B4205, ""es"", ""en"")"),"Rode quality. Magnificent. It is a step forward. Highly recommended.")</f>
        <v>Rode quality. Magnificent. It is a step forward. Highly recommended.</v>
      </c>
    </row>
    <row r="4206">
      <c r="A4206" s="1">
        <v>5.0</v>
      </c>
      <c r="B4206" s="1" t="s">
        <v>4186</v>
      </c>
      <c r="C4206" t="str">
        <f>IFERROR(__xludf.DUMMYFUNCTION("GOOGLETRANSLATE(B4206, ""es"", ""en"")"),"Good walking shoes I was surprised by the quality of the shoes. Especially I emphasize comfort, comfortable! The base is heavily padded. The equipment is good. They are hard. Perfect size. recommended")</f>
        <v>Good walking shoes I was surprised by the quality of the shoes. Especially I emphasize comfort, comfortable! The base is heavily padded. The equipment is good. They are hard. Perfect size. recommended</v>
      </c>
    </row>
    <row r="4207">
      <c r="A4207" s="1">
        <v>5.0</v>
      </c>
      <c r="B4207" s="1" t="s">
        <v>4187</v>
      </c>
      <c r="C4207" t="str">
        <f>IFERROR(__xludf.DUMMYFUNCTION("GOOGLETRANSLATE(B4207, ""es"", ""en"")"),"Repetiria good album")</f>
        <v>Repetiria good album</v>
      </c>
    </row>
    <row r="4208">
      <c r="A4208" s="1">
        <v>5.0</v>
      </c>
      <c r="B4208" s="1" t="s">
        <v>4188</v>
      </c>
      <c r="C4208" t="str">
        <f>IFERROR(__xludf.DUMMYFUNCTION("GOOGLETRANSLATE(B4208, ""es"", ""en"")"),"Very nice quality my mother would have loved a closed box to carry in your purse without losing and always loaded, great sound quality")</f>
        <v>Very nice quality my mother would have loved a closed box to carry in your purse without losing and always loaded, great sound quality</v>
      </c>
    </row>
    <row r="4209">
      <c r="A4209" s="1">
        <v>5.0</v>
      </c>
      <c r="B4209" s="1" t="s">
        <v>4189</v>
      </c>
      <c r="C4209" t="str">
        <f>IFERROR(__xludf.DUMMYFUNCTION("GOOGLETRANSLATE(B4209, ""es"", ""en"")"),"Comfortable and fashionable Comodídimasny are great for everyday")</f>
        <v>Comfortable and fashionable Comodídimasny are great for everyday</v>
      </c>
    </row>
    <row r="4210">
      <c r="A4210" s="1">
        <v>5.0</v>
      </c>
      <c r="B4210" s="1" t="s">
        <v>4190</v>
      </c>
      <c r="C4210" t="str">
        <f>IFERROR(__xludf.DUMMYFUNCTION("GOOGLETRANSLATE(B4210, ""es"", ""en"")"),"juannoesnegro For the price they are great, lightweight comfortable and good sound quality, do not give much volume compared to others but for the price I do not ask you more, the cable is of good quality, and the jack is shaped elbow, which it is more di"&amp;"fficult to break into the disconnect to the option not to pull the cord to unplug (very normal thing in children) and would buy. They fit very well both for adult and for a child.")</f>
        <v>juannoesnegro For the price they are great, lightweight comfortable and good sound quality, do not give much volume compared to others but for the price I do not ask you more, the cable is of good quality, and the jack is shaped elbow, which it is more difficult to break into the disconnect to the option not to pull the cord to unplug (very normal thing in children) and would buy. They fit very well both for adult and for a child.</v>
      </c>
    </row>
    <row r="4211">
      <c r="A4211" s="1">
        <v>5.0</v>
      </c>
      <c r="B4211" s="1" t="s">
        <v>4191</v>
      </c>
      <c r="C4211" t="str">
        <f>IFERROR(__xludf.DUMMYFUNCTION("GOOGLETRANSLATE(B4211, ""es"", ""en"")"),"The gizmo is a pleasure supersilencioso and sencillisimo. No need to push to get the maximum orange and filters pulp quite well. To clean it is like any other 3-piece easy to remove and wash. No problem. The only drawback may be the little stability. wide"&amp;"r base and nonskid surface more would the juicer (almost) perfect.")</f>
        <v>The gizmo is a pleasure supersilencioso and sencillisimo. No need to push to get the maximum orange and filters pulp quite well. To clean it is like any other 3-piece easy to remove and wash. No problem. The only drawback may be the little stability. wider base and nonskid surface more would the juicer (almost) perfect.</v>
      </c>
    </row>
    <row r="4212">
      <c r="A4212" s="1">
        <v>5.0</v>
      </c>
      <c r="B4212" s="1" t="s">
        <v>4192</v>
      </c>
      <c r="C4212" t="str">
        <f>IFERROR(__xludf.DUMMYFUNCTION("GOOGLETRANSLATE(B4212, ""es"", ""en"")"),"100% recommended I bought it for a gift and have been pleased. He says it is the most useful and convenient it has had within backpacks or bags.")</f>
        <v>100% recommended I bought it for a gift and have been pleased. He says it is the most useful and convenient it has had within backpacks or bags.</v>
      </c>
    </row>
    <row r="4213">
      <c r="A4213" s="1">
        <v>5.0</v>
      </c>
      <c r="B4213" s="1" t="s">
        <v>4193</v>
      </c>
      <c r="C4213" t="str">
        <f>IFERROR(__xludf.DUMMYFUNCTION("GOOGLETRANSLATE(B4213, ""es"", ""en"")"),"seriousness Quality")</f>
        <v>seriousness Quality</v>
      </c>
    </row>
    <row r="4214">
      <c r="A4214" s="1">
        <v>5.0</v>
      </c>
      <c r="B4214" s="1" t="s">
        <v>4194</v>
      </c>
      <c r="C4214" t="str">
        <f>IFERROR(__xludf.DUMMYFUNCTION("GOOGLETRANSLATE(B4214, ""es"", ""en"")"),"Compact case with a lot of capacity The truth can not say much, because I used my daughter is very happy and says that fit many things.")</f>
        <v>Compact case with a lot of capacity The truth can not say much, because I used my daughter is very happy and says that fit many things.</v>
      </c>
    </row>
    <row r="4215">
      <c r="A4215" s="1">
        <v>5.0</v>
      </c>
      <c r="B4215" s="1" t="s">
        <v>4195</v>
      </c>
      <c r="C4215" t="str">
        <f>IFERROR(__xludf.DUMMYFUNCTION("GOOGLETRANSLATE(B4215, ""es"", ""en"")"),"Perfect Looks good")</f>
        <v>Perfect Looks good</v>
      </c>
    </row>
    <row r="4216">
      <c r="A4216" s="1">
        <v>5.0</v>
      </c>
      <c r="B4216" s="1" t="s">
        <v>4196</v>
      </c>
      <c r="C4216" t="str">
        <f>IFERROR(__xludf.DUMMYFUNCTION("GOOGLETRANSLATE(B4216, ""es"", ""en"")"),"Perfect Preciosa, led her daily and with finite q is enduring snags, q colinias and throw him")</f>
        <v>Perfect Preciosa, led her daily and with finite q is enduring snags, q colinias and throw him</v>
      </c>
    </row>
    <row r="4217">
      <c r="A4217" s="1">
        <v>5.0</v>
      </c>
      <c r="B4217" s="1" t="s">
        <v>4197</v>
      </c>
      <c r="C4217" t="str">
        <f>IFERROR(__xludf.DUMMYFUNCTION("GOOGLETRANSLATE(B4217, ""es"", ""en"")"),"Very good helmets. I like them because they have a balance between bass and treble. Normally I use to listen to the radio through the phone and sound depends heavily on the station and song. I have come to listen to some it sounded like when she heard at "&amp;"the club. I like the folding system they have that makes much more manageable. It is also interesting that brings the three cables to connect the helmets allowing the player to choose the most appropriate depending on the situation. Perhaps they sound a l"&amp;"ittle hot but without being annoying. Plastic carrying very pleasant to the touch and hopefully look unaffected by the passage of time. external sounds are heard but not much, which is a disadvantage advantage, as we see it and which can be removed in par"&amp;"t by increasing the volume (within healthy). Recommended for those who are fed up with earbuds and listen to music at the same level as the conversation neighbor or street noise.")</f>
        <v>Very good helmets. I like them because they have a balance between bass and treble. Normally I use to listen to the radio through the phone and sound depends heavily on the station and song. I have come to listen to some it sounded like when she heard at the club. I like the folding system they have that makes much more manageable. It is also interesting that brings the three cables to connect the helmets allowing the player to choose the most appropriate depending on the situation. Perhaps they sound a little hot but without being annoying. Plastic carrying very pleasant to the touch and hopefully look unaffected by the passage of time. external sounds are heard but not much, which is a disadvantage advantage, as we see it and which can be removed in part by increasing the volume (within healthy). Recommended for those who are fed up with earbuds and listen to music at the same level as the conversation neighbor or street noise.</v>
      </c>
    </row>
    <row r="4218">
      <c r="A4218" s="1">
        <v>5.0</v>
      </c>
      <c r="B4218" s="1" t="s">
        <v>4198</v>
      </c>
      <c r="C4218" t="str">
        <f>IFERROR(__xludf.DUMMYFUNCTION("GOOGLETRANSLATE(B4218, ""es"", ""en"")"),"Excellent quality / insuperable, nice, robust and accurate price, with many functions, so far I am very satisfied, I did not expect less Deun watch CASIO")</f>
        <v>Excellent quality / insuperable, nice, robust and accurate price, with many functions, so far I am very satisfied, I did not expect less Deun watch CASIO</v>
      </c>
    </row>
    <row r="4219">
      <c r="A4219" s="1">
        <v>5.0</v>
      </c>
      <c r="B4219" s="1" t="s">
        <v>4199</v>
      </c>
      <c r="C4219" t="str">
        <f>IFERROR(__xludf.DUMMYFUNCTION("GOOGLETRANSLATE(B4219, ""es"", ""en"")"),"cuckoos very tiny but very resultones")</f>
        <v>cuckoos very tiny but very resultones</v>
      </c>
    </row>
    <row r="4220">
      <c r="A4220" s="1">
        <v>5.0</v>
      </c>
      <c r="B4220" s="1" t="s">
        <v>4200</v>
      </c>
      <c r="C4220" t="str">
        <f>IFERROR(__xludf.DUMMYFUNCTION("GOOGLETRANSLATE(B4220, ""es"", ""en"")"),"Quality / price very good watch activity very useful in day to day for exercise: walking, running, cycling ... alerts you notifications received on your phone, it's very convenient. It has a very nice design and is very comfortable.")</f>
        <v>Quality / price very good watch activity very useful in day to day for exercise: walking, running, cycling ... alerts you notifications received on your phone, it's very convenient. It has a very nice design and is very comfortable.</v>
      </c>
    </row>
    <row r="4221">
      <c r="A4221" s="1">
        <v>5.0</v>
      </c>
      <c r="B4221" s="1" t="s">
        <v>4201</v>
      </c>
      <c r="C4221" t="str">
        <f>IFERROR(__xludf.DUMMYFUNCTION("GOOGLETRANSLATE(B4221, ""es"", ""en"")"),"They weigh very little, very light I love how light they are, super wearable comfort much like not wearing laces and the very subject is standing")</f>
        <v>They weigh very little, very light I love how light they are, super wearable comfort much like not wearing laces and the very subject is standing</v>
      </c>
    </row>
    <row r="4222">
      <c r="A4222" s="1">
        <v>5.0</v>
      </c>
      <c r="B4222" s="1" t="s">
        <v>4202</v>
      </c>
      <c r="C4222" t="str">
        <f>IFERROR(__xludf.DUMMYFUNCTION("GOOGLETRANSLATE(B4222, ""es"", ""en"")"),"Super I have already a month ago and works great. I use it more than anything to have it plugged into TV, so connected it spends a lot of time, and no problem. The data rate is very high in USB 3.0. Highly recommended.")</f>
        <v>Super I have already a month ago and works great. I use it more than anything to have it plugged into TV, so connected it spends a lot of time, and no problem. The data rate is very high in USB 3.0. Highly recommended.</v>
      </c>
    </row>
    <row r="4223">
      <c r="A4223" s="1">
        <v>2.0</v>
      </c>
      <c r="B4223" s="1" t="s">
        <v>4203</v>
      </c>
      <c r="C4223" t="str">
        <f>IFERROR(__xludf.DUMMYFUNCTION("GOOGLETRANSLATE(B4223, ""es"", ""en"")"),"I did not meet my expectations had high expectations that were not met. It seems to lack strength. I've used it to make fruit smoothies and not finely ground, almost whole pieces left. Touch unplug and shake with a spoon and start again. A tremendous loss"&amp;" of time. And it is very runidosa.")</f>
        <v>I did not meet my expectations had high expectations that were not met. It seems to lack strength. I've used it to make fruit smoothies and not finely ground, almost whole pieces left. Touch unplug and shake with a spoon and start again. A tremendous loss of time. And it is very runidosa.</v>
      </c>
    </row>
    <row r="4224">
      <c r="A4224" s="1">
        <v>3.0</v>
      </c>
      <c r="B4224" s="1" t="s">
        <v>4204</v>
      </c>
      <c r="C4224" t="str">
        <f>IFERROR(__xludf.DUMMYFUNCTION("GOOGLETRANSLATE(B4224, ""es"", ""en"")"),"Lures small foto..Son very small ..")</f>
        <v>Lures small foto..Son very small ..</v>
      </c>
    </row>
    <row r="4225">
      <c r="A4225" s="1">
        <v>1.0</v>
      </c>
      <c r="B4225" s="1" t="s">
        <v>4205</v>
      </c>
      <c r="C4225" t="str">
        <f>IFERROR(__xludf.DUMMYFUNCTION("GOOGLETRANSLATE(B4225, ""es"", ""en"")"),"They blacks in two days in two days I have black Since")</f>
        <v>They blacks in two days in two days I have black Since</v>
      </c>
    </row>
    <row r="4226">
      <c r="A4226" s="1">
        <v>1.0</v>
      </c>
      <c r="B4226" s="1" t="s">
        <v>4206</v>
      </c>
      <c r="C4226" t="str">
        <f>IFERROR(__xludf.DUMMYFUNCTION("GOOGLETRANSLATE(B4226, ""es"", ""en"")"),"Mal songs I've put my car use and does not work I tried it on a speaker does not work you have emptied tower and upgrade and charged again and not going")</f>
        <v>Mal songs I've put my car use and does not work I tried it on a speaker does not work you have emptied tower and upgrade and charged again and not going</v>
      </c>
    </row>
    <row r="4227">
      <c r="A4227" s="1">
        <v>4.0</v>
      </c>
      <c r="B4227" s="1" t="s">
        <v>4207</v>
      </c>
      <c r="C4227" t="str">
        <f>IFERROR(__xludf.DUMMYFUNCTION("GOOGLETRANSLATE(B4227, ""es"", ""en"")"),"All right quality")</f>
        <v>All right quality</v>
      </c>
    </row>
    <row r="4228">
      <c r="A4228" s="1">
        <v>4.0</v>
      </c>
      <c r="B4228" s="1" t="s">
        <v>4208</v>
      </c>
      <c r="C4228" t="str">
        <f>IFERROR(__xludf.DUMMYFUNCTION("GOOGLETRANSLATE(B4228, ""es"", ""en"")"),"Pretty good for the price. This nicely brings two glasses of smaller glass extras with 2 different types of blades to grind more specific and small things. Although the base is stainless steel is plastic and that is something that should be improved. Powe"&amp;"r is not the strongest truth but does the job. Below it has suction cups will not move.")</f>
        <v>Pretty good for the price. This nicely brings two glasses of smaller glass extras with 2 different types of blades to grind more specific and small things. Although the base is stainless steel is plastic and that is something that should be improved. Power is not the strongest truth but does the job. Below it has suction cups will not move.</v>
      </c>
    </row>
    <row r="4229">
      <c r="A4229" s="1">
        <v>4.0</v>
      </c>
      <c r="B4229" s="1" t="s">
        <v>4209</v>
      </c>
      <c r="C4229" t="str">
        <f>IFERROR(__xludf.DUMMYFUNCTION("GOOGLETRANSLATE(B4229, ""es"", ""en"")"),"Perfect Very nice. As it is seen in the photo")</f>
        <v>Perfect Very nice. As it is seen in the photo</v>
      </c>
    </row>
    <row r="4230">
      <c r="A4230" s="1">
        <v>4.0</v>
      </c>
      <c r="B4230" s="1" t="s">
        <v>4210</v>
      </c>
      <c r="C4230" t="str">
        <f>IFERROR(__xludf.DUMMYFUNCTION("GOOGLETRANSLATE(B4230, ""es"", ""en"")"),"You can not perdir more for the price malisima The pens are quality, like the stickers")</f>
        <v>You can not perdir more for the price malisima The pens are quality, like the stickers</v>
      </c>
    </row>
    <row r="4231">
      <c r="A4231" s="1">
        <v>4.0</v>
      </c>
      <c r="B4231" s="1" t="s">
        <v>4211</v>
      </c>
      <c r="C4231" t="str">
        <f>IFERROR(__xludf.DUMMYFUNCTION("GOOGLETRANSLATE(B4231, ""es"", ""en"")"),"Strips rather short. For a 5 meter XLR cables are short, three meters are fair.")</f>
        <v>Strips rather short. For a 5 meter XLR cables are short, three meters are fair.</v>
      </c>
    </row>
    <row r="4232">
      <c r="A4232" s="1">
        <v>5.0</v>
      </c>
      <c r="B4232" s="1" t="s">
        <v>4212</v>
      </c>
      <c r="C4232" t="str">
        <f>IFERROR(__xludf.DUMMYFUNCTION("GOOGLETRANSLATE(B4232, ""es"", ""en"")"),"Very pleased with purchase very happy with the purchase. I bought the watch directly to Amazon and when he came to my house I saw that did not include shipping the auxiliary antenna that some vendors offer. I contacted Amazon to ask them to send me and I "&amp;"told them not included. But they made me a discount so I could buy my own. Ten Amazon that solved my problem. I live in Madrid and at the end I could see the clock itself is able to synchronize automatically at night every day without using the auxiliary "&amp;"antenna. Not to do anything, just orient well as indicated in the instructions for the clock (with six pointing north-east). Perfect. Highly recommended and very well priced.")</f>
        <v>Very pleased with purchase very happy with the purchase. I bought the watch directly to Amazon and when he came to my house I saw that did not include shipping the auxiliary antenna that some vendors offer. I contacted Amazon to ask them to send me and I told them not included. But they made me a discount so I could buy my own. Ten Amazon that solved my problem. I live in Madrid and at the end I could see the clock itself is able to synchronize automatically at night every day without using the auxiliary antenna. Not to do anything, just orient well as indicated in the instructions for the clock (with six pointing north-east). Perfect. Highly recommended and very well priced.</v>
      </c>
    </row>
    <row r="4233">
      <c r="A4233" s="1">
        <v>5.0</v>
      </c>
      <c r="B4233" s="1" t="s">
        <v>4213</v>
      </c>
      <c r="C4233" t="str">
        <f>IFERROR(__xludf.DUMMYFUNCTION("GOOGLETRANSLATE(B4233, ""es"", ""en"")"),"Everything perfect All items are quality. Which one of the pins is ""L"" makes it very versatile when connecting. Another important thing is the coating of the wire to be as the tissue does not become entangled. The sound quality is good. It has the right"&amp;" amount so you do not fall short but not over and tangling. An excellent buy.")</f>
        <v>Everything perfect All items are quality. Which one of the pins is "L" makes it very versatile when connecting. Another important thing is the coating of the wire to be as the tissue does not become entangled. The sound quality is good. It has the right amount so you do not fall short but not over and tangling. An excellent buy.</v>
      </c>
    </row>
    <row r="4234">
      <c r="A4234" s="1">
        <v>5.0</v>
      </c>
      <c r="B4234" s="1" t="s">
        <v>4214</v>
      </c>
      <c r="C4234" t="str">
        <f>IFERROR(__xludf.DUMMYFUNCTION("GOOGLETRANSLATE(B4234, ""es"", ""en"")"),"I have been amazed delighted by the quality of the product, runs on Windows and MacOS. It's super lightweight, operates with a bluetooth USB is included in the ""pen"". The keys are not super intuitive need to read the instructions. ComK seen in the pictu"&amp;"res brings a small bag / case to prevent scratches. Very happy with the purchase.")</f>
        <v>I have been amazed delighted by the quality of the product, runs on Windows and MacOS. It's super lightweight, operates with a bluetooth USB is included in the "pen". The keys are not super intuitive need to read the instructions. ComK seen in the pictures brings a small bag / case to prevent scratches. Very happy with the purchase.</v>
      </c>
    </row>
    <row r="4235">
      <c r="A4235" s="1">
        <v>5.0</v>
      </c>
      <c r="B4235" s="1" t="s">
        <v>4215</v>
      </c>
      <c r="C4235" t="str">
        <f>IFERROR(__xludf.DUMMYFUNCTION("GOOGLETRANSLATE(B4235, ""es"", ""en"")"),"Children's helmets are lightweight and have good sound.")</f>
        <v>Children's helmets are lightweight and have good sound.</v>
      </c>
    </row>
    <row r="4236">
      <c r="A4236" s="1">
        <v>5.0</v>
      </c>
      <c r="B4236" s="1" t="s">
        <v>4216</v>
      </c>
      <c r="C4236" t="str">
        <f>IFERROR(__xludf.DUMMYFUNCTION("GOOGLETRANSLATE(B4236, ""es"", ""en"")"),"Good solution for storing files and data (photos, videos, programs, documents, etc.) Good external hard drive version 2018, just plug and play, since the PC itself installs the necessary driver. The read speed is excellent and not bad the writing. We just"&amp;" need to check durability and absence of errors or bad sectors over time, for this is enough to always eject the drive from the operating system before disconnecting. In my opinion I think it's good buy.")</f>
        <v>Good solution for storing files and data (photos, videos, programs, documents, etc.) Good external hard drive version 2018, just plug and play, since the PC itself installs the necessary driver. The read speed is excellent and not bad the writing. We just need to check durability and absence of errors or bad sectors over time, for this is enough to always eject the drive from the operating system before disconnecting. In my opinion I think it's good buy.</v>
      </c>
    </row>
    <row r="4237">
      <c r="A4237" s="1">
        <v>5.0</v>
      </c>
      <c r="B4237" s="1" t="s">
        <v>4217</v>
      </c>
      <c r="C4237" t="str">
        <f>IFERROR(__xludf.DUMMYFUNCTION("GOOGLETRANSLATE(B4237, ""es"", ""en"")"),"Very good price compared to a pharmacy. Great savings over the price can be found at a pharmacy and even more so considering the size of 250ml")</f>
        <v>Very good price compared to a pharmacy. Great savings over the price can be found at a pharmacy and even more so considering the size of 250ml</v>
      </c>
    </row>
    <row r="4238">
      <c r="A4238" s="1">
        <v>5.0</v>
      </c>
      <c r="B4238" s="1" t="s">
        <v>4218</v>
      </c>
      <c r="C4238" t="str">
        <f>IFERROR(__xludf.DUMMYFUNCTION("GOOGLETRANSLATE(B4238, ""es"", ""en"")"),"All great thank you very much. All great thank you very much. The fabric is very comfortable and the expected color. Excellent for day to day to walk or work.")</f>
        <v>All great thank you very much. All great thank you very much. The fabric is very comfortable and the expected color. Excellent for day to day to walk or work.</v>
      </c>
    </row>
    <row r="4239">
      <c r="A4239" s="1">
        <v>5.0</v>
      </c>
      <c r="B4239" s="1" t="s">
        <v>4219</v>
      </c>
      <c r="C4239" t="str">
        <f>IFERROR(__xludf.DUMMYFUNCTION("GOOGLETRANSLATE(B4239, ""es"", ""en"")"),"excellent quality In cantadisima my husband was facina and is better than I imagined recommend it is great and perfect")</f>
        <v>excellent quality In cantadisima my husband was facina and is better than I imagined recommend it is great and perfect</v>
      </c>
    </row>
    <row r="4240">
      <c r="A4240" s="1">
        <v>5.0</v>
      </c>
      <c r="B4240" s="1" t="s">
        <v>4220</v>
      </c>
      <c r="C4240" t="str">
        <f>IFERROR(__xludf.DUMMYFUNCTION("GOOGLETRANSLATE(B4240, ""es"", ""en"")"),"super cool definitely we buy price quality the best there is in the market gayumbos good price to buy buy barbarian gave")</f>
        <v>super cool definitely we buy price quality the best there is in the market gayumbos good price to buy buy barbarian gave</v>
      </c>
    </row>
    <row r="4241">
      <c r="A4241" s="1">
        <v>5.0</v>
      </c>
      <c r="B4241" s="1" t="s">
        <v>4221</v>
      </c>
      <c r="C4241" t="str">
        <f>IFERROR(__xludf.DUMMYFUNCTION("GOOGLETRANSLATE(B4241, ""es"", ""en"")"),"Timberland boots not been disappointed in anything, it's just what I wanted, good stuff, give them horses to keep them fat, but both finished as the material is optimal")</f>
        <v>Timberland boots not been disappointed in anything, it's just what I wanted, good stuff, give them horses to keep them fat, but both finished as the material is optimal</v>
      </c>
    </row>
    <row r="4242">
      <c r="A4242" s="1">
        <v>5.0</v>
      </c>
      <c r="B4242" s="1" t="s">
        <v>4222</v>
      </c>
      <c r="C4242" t="str">
        <f>IFERROR(__xludf.DUMMYFUNCTION("GOOGLETRANSLATE(B4242, ""es"", ""en"")"),"Sturdy shoulder bag for everyday use I think this shoulder bag is ideal for everyday use and give battle. The cloth material and seams have good appearance and are resistant. The main compartment is quite spacious and includes inside a small zipper pocket"&amp;" and another pair of open pockets without zipper. Apart from the main compartment have zippered pockets on the front and the back (if you want to have some more pasted object to the body and less accessible to others. The strap is adjustable in length and"&amp;" wide enough to carry the bag comfortably . If you are looking to replace your old bag with a new one, it can be a good buy in my opinion.")</f>
        <v>Sturdy shoulder bag for everyday use I think this shoulder bag is ideal for everyday use and give battle. The cloth material and seams have good appearance and are resistant. The main compartment is quite spacious and includes inside a small zipper pocket and another pair of open pockets without zipper. Apart from the main compartment have zippered pockets on the front and the back (if you want to have some more pasted object to the body and less accessible to others. The strap is adjustable in length and wide enough to carry the bag comfortably . If you are looking to replace your old bag with a new one, it can be a good buy in my opinion.</v>
      </c>
    </row>
    <row r="4243">
      <c r="A4243" s="1">
        <v>5.0</v>
      </c>
      <c r="B4243" s="1" t="s">
        <v>4223</v>
      </c>
      <c r="C4243" t="str">
        <f>IFERROR(__xludf.DUMMYFUNCTION("GOOGLETRANSLATE(B4243, ""es"", ""en"")"),"comfort and very comfortable diaeño")</f>
        <v>comfort and very comfortable diaeño</v>
      </c>
    </row>
    <row r="4244">
      <c r="A4244" s="1">
        <v>5.0</v>
      </c>
      <c r="B4244" s="1" t="s">
        <v>4224</v>
      </c>
      <c r="C4244" t="str">
        <f>IFERROR(__xludf.DUMMYFUNCTION("GOOGLETRANSLATE(B4244, ""es"", ""en"")"),"Perfect perfect, cómodosimos and precious.")</f>
        <v>Perfect perfect, cómodosimos and precious.</v>
      </c>
    </row>
    <row r="4245">
      <c r="A4245" s="1">
        <v>5.0</v>
      </c>
      <c r="B4245" s="1" t="s">
        <v>4225</v>
      </c>
      <c r="C4245" t="str">
        <f>IFERROR(__xludf.DUMMYFUNCTION("GOOGLETRANSLATE(B4245, ""es"", ""en"")"),"Perfect card I just arrived the day after having asked, tightly wrapped, it must be formatted before use for the mobile (in my case) detect it, otherwise everything perfect.")</f>
        <v>Perfect card I just arrived the day after having asked, tightly wrapped, it must be formatted before use for the mobile (in my case) detect it, otherwise everything perfect.</v>
      </c>
    </row>
    <row r="4246">
      <c r="A4246" s="1">
        <v>5.0</v>
      </c>
      <c r="B4246" s="1" t="s">
        <v>4226</v>
      </c>
      <c r="C4246" t="str">
        <f>IFERROR(__xludf.DUMMYFUNCTION("GOOGLETRANSLATE(B4246, ""es"", ""en"")"),"Good buy is cheap and very nice, come with pictured")</f>
        <v>Good buy is cheap and very nice, come with pictured</v>
      </c>
    </row>
    <row r="4247">
      <c r="A4247" s="1">
        <v>5.0</v>
      </c>
      <c r="B4247" s="1" t="s">
        <v>4227</v>
      </c>
      <c r="C4247" t="str">
        <f>IFERROR(__xludf.DUMMYFUNCTION("GOOGLETRANSLATE(B4247, ""es"", ""en"")"),"Very good volume Floor using hands free to ride with GMaps giving me instructions, always I have the problem that the ambient noise of the cars I do not hear well, and helmets can not stand on my head. These have been heard quite high, and come with prote"&amp;"ctive silicone parts is very good, because I usually lose them.")</f>
        <v>Very good volume Floor using hands free to ride with GMaps giving me instructions, always I have the problem that the ambient noise of the cars I do not hear well, and helmets can not stand on my head. These have been heard quite high, and come with protective silicone parts is very good, because I usually lose them.</v>
      </c>
    </row>
    <row r="4248">
      <c r="A4248" s="1">
        <v>5.0</v>
      </c>
      <c r="B4248" s="1" t="s">
        <v>4228</v>
      </c>
      <c r="C4248" t="str">
        <f>IFERROR(__xludf.DUMMYFUNCTION("GOOGLETRANSLATE(B4248, ""es"", ""en"")"),"It was what I was looking for the relationship to the product and to say, I am very satisfied, the purchase made, and the product, as it was the sock she was looking for, the size is perfect for a size sneakers 41, is fit very well to foot and are not exc"&amp;"essively high or low are above the shoe, which was important, touch is good, the same as the packaging, come in variety of colors, as indicated, are socks very recommended")</f>
        <v>It was what I was looking for the relationship to the product and to say, I am very satisfied, the purchase made, and the product, as it was the sock she was looking for, the size is perfect for a size sneakers 41, is fit very well to foot and are not excessively high or low are above the shoe, which was important, touch is good, the same as the packaging, come in variety of colors, as indicated, are socks very recommended</v>
      </c>
    </row>
    <row r="4249">
      <c r="A4249" s="1">
        <v>5.0</v>
      </c>
      <c r="B4249" s="1" t="s">
        <v>4229</v>
      </c>
      <c r="C4249" t="str">
        <f>IFERROR(__xludf.DUMMYFUNCTION("GOOGLETRANSLATE(B4249, ""es"", ""en"")"),"QUALITY UNBEATABLE PRICE ALL OK GREAT SHIRT AND A VERY AFFORDABLE PRICE, repeat NO DOUBT! 👌🏼")</f>
        <v>QUALITY UNBEATABLE PRICE ALL OK GREAT SHIRT AND A VERY AFFORDABLE PRICE, repeat NO DOUBT! 👌🏼</v>
      </c>
    </row>
    <row r="4250">
      <c r="A4250" s="1">
        <v>5.0</v>
      </c>
      <c r="B4250" s="1" t="s">
        <v>4230</v>
      </c>
      <c r="C4250" t="str">
        <f>IFERROR(__xludf.DUMMYFUNCTION("GOOGLETRANSLATE(B4250, ""es"", ""en"")"),"Great works perfectly. It covers a lot of area and already have discomfort cervical or lumbar t is well.")</f>
        <v>Great works perfectly. It covers a lot of area and already have discomfort cervical or lumbar t is well.</v>
      </c>
    </row>
    <row r="4251">
      <c r="A4251" s="1">
        <v>2.0</v>
      </c>
      <c r="B4251" s="1" t="s">
        <v>4231</v>
      </c>
      <c r="C4251" t="str">
        <f>IFERROR(__xludf.DUMMYFUNCTION("GOOGLETRANSLATE(B4251, ""es"", ""en"")"),"Special size pills for horses Well, that, too big to swallow comfortably. I really costs the truth, and I stopped taking them for the same.")</f>
        <v>Special size pills for horses Well, that, too big to swallow comfortably. I really costs the truth, and I stopped taking them for the same.</v>
      </c>
    </row>
    <row r="4252">
      <c r="A4252" s="1">
        <v>3.0</v>
      </c>
      <c r="B4252" s="1" t="s">
        <v>4232</v>
      </c>
      <c r="C4252" t="str">
        <f>IFERROR(__xludf.DUMMYFUNCTION("GOOGLETRANSLATE(B4252, ""es"", ""en"")"),"BUENO The product complies with the characteristics indicated, quality nice touch. Less positive is that I would like a little more warm. Even in the power 6, it remains little heat.")</f>
        <v>BUENO The product complies with the characteristics indicated, quality nice touch. Less positive is that I would like a little more warm. Even in the power 6, it remains little heat.</v>
      </c>
    </row>
    <row r="4253">
      <c r="A4253" s="1">
        <v>3.0</v>
      </c>
      <c r="B4253" s="1" t="s">
        <v>4233</v>
      </c>
      <c r="C4253" t="str">
        <f>IFERROR(__xludf.DUMMYFUNCTION("GOOGLETRANSLATE(B4253, ""es"", ""en"")"),"Damian nozzle and I liked my baby although washing constant exhaust valve broke and now spilled liquid. We lasted a month")</f>
        <v>Damian nozzle and I liked my baby although washing constant exhaust valve broke and now spilled liquid. We lasted a month</v>
      </c>
    </row>
    <row r="4254">
      <c r="A4254" s="1">
        <v>1.0</v>
      </c>
      <c r="B4254" s="1" t="s">
        <v>4234</v>
      </c>
      <c r="C4254" t="str">
        <f>IFERROR(__xludf.DUMMYFUNCTION("GOOGLETRANSLATE(B4254, ""es"", ""en"")"),"Disappointment Hi I have been very disappointed with this album first got the least 3 disc of this brand and is the only one not open my TV, change it thinking that it's defective and coming new is the same and the I contact WD give me no valid solution e"&amp;"ven I suggest you change it for another model of shame.")</f>
        <v>Disappointment Hi I have been very disappointed with this album first got the least 3 disc of this brand and is the only one not open my TV, change it thinking that it's defective and coming new is the same and the I contact WD give me no valid solution even I suggest you change it for another model of shame.</v>
      </c>
    </row>
    <row r="4255">
      <c r="A4255" s="1">
        <v>1.0</v>
      </c>
      <c r="B4255" s="1" t="s">
        <v>4235</v>
      </c>
      <c r="C4255" t="str">
        <f>IFERROR(__xludf.DUMMYFUNCTION("GOOGLETRANSLATE(B4255, ""es"", ""en"")"),"I do not recommend at all, money wasted! He has gone to waste after it is washed more than 5 times and have it soaked with water and soap 2 whole days, has a chemical smell that stays in the water and does not go with anything, do not recommend it at all,"&amp;" money wasted!")</f>
        <v>I do not recommend at all, money wasted! He has gone to waste after it is washed more than 5 times and have it soaked with water and soap 2 whole days, has a chemical smell that stays in the water and does not go with anything, do not recommend it at all, money wasted!</v>
      </c>
    </row>
    <row r="4256">
      <c r="A4256" s="1">
        <v>1.0</v>
      </c>
      <c r="B4256" s="1" t="s">
        <v>4236</v>
      </c>
      <c r="C4256" t="str">
        <f>IFERROR(__xludf.DUMMYFUNCTION("GOOGLETRANSLATE(B4256, ""es"", ""en"")"),"what a shit I bought microphone 100% useless, that if 60e away, does not recognize any computer or laptop or table, and the only mobile recognizes for voice recording, you're trying to do video does not get it, no I could use it with anything.")</f>
        <v>what a shit I bought microphone 100% useless, that if 60e away, does not recognize any computer or laptop or table, and the only mobile recognizes for voice recording, you're trying to do video does not get it, no I could use it with anything.</v>
      </c>
    </row>
    <row r="4257">
      <c r="A4257" s="1">
        <v>4.0</v>
      </c>
      <c r="B4257" s="1" t="s">
        <v>4237</v>
      </c>
      <c r="C4257" t="str">
        <f>IFERROR(__xludf.DUMMYFUNCTION("GOOGLETRANSLATE(B4257, ""es"", ""en"")"),"Comfort above all very comfortable with super soft tread. And the eggplant color, very successful. Blend seamlessly with any style you put yourself.")</f>
        <v>Comfort above all very comfortable with super soft tread. And the eggplant color, very successful. Blend seamlessly with any style you put yourself.</v>
      </c>
    </row>
    <row r="4258">
      <c r="A4258" s="1">
        <v>4.0</v>
      </c>
      <c r="B4258" s="1" t="s">
        <v>4238</v>
      </c>
      <c r="C4258" t="str">
        <f>IFERROR(__xludf.DUMMYFUNCTION("GOOGLETRANSLATE(B4258, ""es"", ""en"")"),"perfect for summer socks perfect for summer. Thin and smooth with transpiration for sweat Greetings Fernando")</f>
        <v>perfect for summer socks perfect for summer. Thin and smooth with transpiration for sweat Greetings Fernando</v>
      </c>
    </row>
    <row r="4259">
      <c r="A4259" s="1">
        <v>4.0</v>
      </c>
      <c r="B4259" s="1" t="s">
        <v>4239</v>
      </c>
      <c r="C4259" t="str">
        <f>IFERROR(__xludf.DUMMYFUNCTION("GOOGLETRANSLATE(B4259, ""es"", ""en"")"),"But very good grip right size grip is perfect. The only drawback is that for a 43 feet, the size of the product is very fair. I think 43 would correspond a foot 44 or 45.")</f>
        <v>But very good grip right size grip is perfect. The only drawback is that for a 43 feet, the size of the product is very fair. I think 43 would correspond a foot 44 or 45.</v>
      </c>
    </row>
    <row r="4260">
      <c r="A4260" s="1">
        <v>4.0</v>
      </c>
      <c r="B4260" s="1" t="s">
        <v>4240</v>
      </c>
      <c r="C4260" t="str">
        <f>IFERROR(__xludf.DUMMYFUNCTION("GOOGLETRANSLATE(B4260, ""es"", ""en"")"),"Recommended, good value for money are very comfortable, it seems the quality fabric. I can not wait to use them")</f>
        <v>Recommended, good value for money are very comfortable, it seems the quality fabric. I can not wait to use them</v>
      </c>
    </row>
    <row r="4261">
      <c r="A4261" s="1">
        <v>4.0</v>
      </c>
      <c r="B4261" s="1" t="s">
        <v>42</v>
      </c>
      <c r="C4261" t="str">
        <f>IFERROR(__xludf.DUMMYFUNCTION("GOOGLETRANSLATE(B4261, ""es"", ""en"")"),"Well well")</f>
        <v>Well well</v>
      </c>
    </row>
    <row r="4262">
      <c r="A4262" s="1">
        <v>5.0</v>
      </c>
      <c r="B4262" s="1" t="s">
        <v>4241</v>
      </c>
      <c r="C4262" t="str">
        <f>IFERROR(__xludf.DUMMYFUNCTION("GOOGLETRANSLATE(B4262, ""es"", ""en"")"),"They are perfect for your head are very comfortable and soft and of course loves the color. I like it may have a limiter and being reinforced cable will hold more than normal. Definitely a good buy.")</f>
        <v>They are perfect for your head are very comfortable and soft and of course loves the color. I like it may have a limiter and being reinforced cable will hold more than normal. Definitely a good buy.</v>
      </c>
    </row>
    <row r="4263">
      <c r="A4263" s="1">
        <v>5.0</v>
      </c>
      <c r="B4263" s="1" t="s">
        <v>4242</v>
      </c>
      <c r="C4263" t="str">
        <f>IFERROR(__xludf.DUMMYFUNCTION("GOOGLETRANSLATE(B4263, ""es"", ""en"")"),"Easy to use and clean Easy to use and clean. Sometimes I do not finish grind some things right but I think the size is always a date which leaves me without crushing. I like very much")</f>
        <v>Easy to use and clean Easy to use and clean. Sometimes I do not finish grind some things right but I think the size is always a date which leaves me without crushing. I like very much</v>
      </c>
    </row>
    <row r="4264">
      <c r="A4264" s="1">
        <v>5.0</v>
      </c>
      <c r="B4264" s="1" t="s">
        <v>4243</v>
      </c>
      <c r="C4264" t="str">
        <f>IFERROR(__xludf.DUMMYFUNCTION("GOOGLETRANSLATE(B4264, ""es"", ""en"")"),"Smoothly good buy. Good album, small and light.")</f>
        <v>Smoothly good buy. Good album, small and light.</v>
      </c>
    </row>
    <row r="4265">
      <c r="A4265" s="1">
        <v>5.0</v>
      </c>
      <c r="B4265" s="1" t="s">
        <v>4244</v>
      </c>
      <c r="C4265" t="str">
        <f>IFERROR(__xludf.DUMMYFUNCTION("GOOGLETRANSLATE(B4265, ""es"", ""en"")"),"Good buy is very beautiful and elegant. As seen in NA picture. The chain is also finite. It also comes in a case. Perfect gift")</f>
        <v>Good buy is very beautiful and elegant. As seen in NA picture. The chain is also finite. It also comes in a case. Perfect gift</v>
      </c>
    </row>
    <row r="4266">
      <c r="A4266" s="1">
        <v>5.0</v>
      </c>
      <c r="B4266" s="1" t="s">
        <v>4245</v>
      </c>
      <c r="C4266" t="str">
        <f>IFERROR(__xludf.DUMMYFUNCTION("GOOGLETRANSLATE(B4266, ""es"", ""en"")"),"Strong Hold &amp; easy donning have used it to glue scrim Laminating pastes book and going great. The thickness is minimal but sticks very well.")</f>
        <v>Strong Hold &amp; easy donning have used it to glue scrim Laminating pastes book and going great. The thickness is minimal but sticks very well.</v>
      </c>
    </row>
    <row r="4267">
      <c r="A4267" s="1">
        <v>5.0</v>
      </c>
      <c r="B4267" s="1" t="s">
        <v>4246</v>
      </c>
      <c r="C4267" t="str">
        <f>IFERROR(__xludf.DUMMYFUNCTION("GOOGLETRANSLATE(B4267, ""es"", ""en"")"),"Perfect for babies is a plastic bottle with nice design and ergonomic up to 260 ml. Very flexible nozzle, ideal for small. It is washed in a dishwasher and durable material. In short, a good bottle, aesthetically cool, quality, well manufactured faultless"&amp;"ly, tetina squishy, ​​dishwasher safe and ergonomic with an easy and secure grip. I recommend it because besides being a good product, has an exceptional price.")</f>
        <v>Perfect for babies is a plastic bottle with nice design and ergonomic up to 260 ml. Very flexible nozzle, ideal for small. It is washed in a dishwasher and durable material. In short, a good bottle, aesthetically cool, quality, well manufactured faultlessly, tetina squishy, ​​dishwasher safe and ergonomic with an easy and secure grip. I recommend it because besides being a good product, has an exceptional price.</v>
      </c>
    </row>
    <row r="4268">
      <c r="A4268" s="1">
        <v>5.0</v>
      </c>
      <c r="B4268" s="1" t="s">
        <v>4247</v>
      </c>
      <c r="C4268" t="str">
        <f>IFERROR(__xludf.DUMMYFUNCTION("GOOGLETRANSLATE(B4268, ""es"", ""en"")"),"GREAT! Authentic !! Very comfortable and fun! They were a gift for my husband and he is delighted with them! We repeat with other insurance.")</f>
        <v>GREAT! Authentic !! Very comfortable and fun! They were a gift for my husband and he is delighted with them! We repeat with other insurance.</v>
      </c>
    </row>
    <row r="4269">
      <c r="A4269" s="1">
        <v>5.0</v>
      </c>
      <c r="B4269" s="1" t="s">
        <v>4248</v>
      </c>
      <c r="C4269" t="str">
        <f>IFERROR(__xludf.DUMMYFUNCTION("GOOGLETRANSLATE(B4269, ""es"", ""en"")"),"Beautiful machine !!! Precious watch with white dial that full details. A bit complex to program the perpetual calendar. But an excellent machine to carry on any occasion.")</f>
        <v>Beautiful machine !!! Precious watch with white dial that full details. A bit complex to program the perpetual calendar. But an excellent machine to carry on any occasion.</v>
      </c>
    </row>
    <row r="4270">
      <c r="A4270" s="1">
        <v>5.0</v>
      </c>
      <c r="B4270" s="1" t="s">
        <v>4249</v>
      </c>
      <c r="C4270" t="str">
        <f>IFERROR(__xludf.DUMMYFUNCTION("GOOGLETRANSLATE(B4270, ""es"", ""en"")"),"Very nice and functional Just takes a little bit more than others I've had, but no doubt it is very robust and durable. In addition to insurance.")</f>
        <v>Very nice and functional Just takes a little bit more than others I've had, but no doubt it is very robust and durable. In addition to insurance.</v>
      </c>
    </row>
    <row r="4271">
      <c r="A4271" s="1">
        <v>5.0</v>
      </c>
      <c r="B4271" s="1" t="s">
        <v>4250</v>
      </c>
      <c r="C4271" t="str">
        <f>IFERROR(__xludf.DUMMYFUNCTION("GOOGLETRANSLATE(B4271, ""es"", ""en"")"),"Double Face Tape Extra Strong Very good adhesion.")</f>
        <v>Double Face Tape Extra Strong Very good adhesion.</v>
      </c>
    </row>
    <row r="4272">
      <c r="A4272" s="1">
        <v>5.0</v>
      </c>
      <c r="B4272" s="1" t="s">
        <v>4251</v>
      </c>
      <c r="C4272" t="str">
        <f>IFERROR(__xludf.DUMMYFUNCTION("GOOGLETRANSLATE(B4272, ""es"", ""en"")"),"Good product for the price I was looking for a headset with microphone to replace broken original Mobile (HTC), and work great. Also tested laptop. Very good audio quality and with whom I speak is not complaining about how I hear (with other models if I h"&amp;"ad problems with respect). They come in a leather bag with several parts. For 9.90 €, it is a very good article.")</f>
        <v>Good product for the price I was looking for a headset with microphone to replace broken original Mobile (HTC), and work great. Also tested laptop. Very good audio quality and with whom I speak is not complaining about how I hear (with other models if I had problems with respect). They come in a leather bag with several parts. For 9.90 €, it is a very good article.</v>
      </c>
    </row>
    <row r="4273">
      <c r="A4273" s="1">
        <v>5.0</v>
      </c>
      <c r="B4273" s="1" t="s">
        <v>4252</v>
      </c>
      <c r="C4273" t="str">
        <f>IFERROR(__xludf.DUMMYFUNCTION("GOOGLETRANSLATE(B4273, ""es"", ""en"")"),"Quality is good Looks good")</f>
        <v>Quality is good Looks good</v>
      </c>
    </row>
    <row r="4274">
      <c r="A4274" s="1">
        <v>5.0</v>
      </c>
      <c r="B4274" s="1" t="s">
        <v>4253</v>
      </c>
      <c r="C4274" t="str">
        <f>IFERROR(__xludf.DUMMYFUNCTION("GOOGLETRANSLATE(B4274, ""es"", ""en"")"),"Price this mic is amazing for its design its lights and sound and best of all is the battery life.")</f>
        <v>Price this mic is amazing for its design its lights and sound and best of all is the battery life.</v>
      </c>
    </row>
    <row r="4275">
      <c r="A4275" s="1">
        <v>5.0</v>
      </c>
      <c r="B4275" s="1" t="s">
        <v>4254</v>
      </c>
      <c r="C4275" t="str">
        <f>IFERROR(__xludf.DUMMYFUNCTION("GOOGLETRANSLATE(B4275, ""es"", ""en"")"),"Nice-nice and cheap I did not expect this surprise for the fantastic price they fulfill all the requirements specified by the seller and you can do nothing more than to congratulate you on this most beautiful bracelets in photos and know-how that are made"&amp;", they deserve all my respect and just say that you can not be better, making this gift both girls and not so girls to look good, definitely repeat.")</f>
        <v>Nice-nice and cheap I did not expect this surprise for the fantastic price they fulfill all the requirements specified by the seller and you can do nothing more than to congratulate you on this most beautiful bracelets in photos and know-how that are made, they deserve all my respect and just say that you can not be better, making this gift both girls and not so girls to look good, definitely repeat.</v>
      </c>
    </row>
    <row r="4276">
      <c r="A4276" s="1">
        <v>5.0</v>
      </c>
      <c r="B4276" s="1" t="s">
        <v>4255</v>
      </c>
      <c r="C4276" t="str">
        <f>IFERROR(__xludf.DUMMYFUNCTION("GOOGLETRANSLATE(B4276, ""es"", ""en"")"),"Comfortable. We had already bought other times this shoe and still very good quality.")</f>
        <v>Comfortable. We had already bought other times this shoe and still very good quality.</v>
      </c>
    </row>
    <row r="4277">
      <c r="A4277" s="1">
        <v>5.0</v>
      </c>
      <c r="B4277" s="1" t="s">
        <v>4256</v>
      </c>
      <c r="C4277" t="str">
        <f>IFERROR(__xludf.DUMMYFUNCTION("GOOGLETRANSLATE(B4277, ""es"", ""en"")"),"Good sound quality Before using conventional bluetooth headset for mobile, those cortitos, and most of my interlocutors told me they heard me wrong. With this product no one asks anything. I listen and listen, is comfortable and I can not complain about t"&amp;"he battery. So far, 5 Stars.")</f>
        <v>Good sound quality Before using conventional bluetooth headset for mobile, those cortitos, and most of my interlocutors told me they heard me wrong. With this product no one asks anything. I listen and listen, is comfortable and I can not complain about the battery. So far, 5 Stars.</v>
      </c>
    </row>
    <row r="4278">
      <c r="A4278" s="1">
        <v>5.0</v>
      </c>
      <c r="B4278" s="1" t="s">
        <v>4257</v>
      </c>
      <c r="C4278" t="str">
        <f>IFERROR(__xludf.DUMMYFUNCTION("GOOGLETRANSLATE(B4278, ""es"", ""en"")"),"Template removable and a beautiful color. The color is much nicer than the one in the window of purchase. I love having removable insole, that allows me to change mine. I wanted to premiere this holiday now that temperatures have fallen somewhat. The pric"&amp;"e was a great deal. I usually always take the 6 or 6.5 of this brand. I get a little wide, but with socks ahead of the autumn will set me great.")</f>
        <v>Template removable and a beautiful color. The color is much nicer than the one in the window of purchase. I love having removable insole, that allows me to change mine. I wanted to premiere this holiday now that temperatures have fallen somewhat. The price was a great deal. I usually always take the 6 or 6.5 of this brand. I get a little wide, but with socks ahead of the autumn will set me great.</v>
      </c>
    </row>
    <row r="4279">
      <c r="A4279" s="1">
        <v>5.0</v>
      </c>
      <c r="B4279" s="1" t="s">
        <v>4258</v>
      </c>
      <c r="C4279" t="str">
        <f>IFERROR(__xludf.DUMMYFUNCTION("GOOGLETRANSLATE(B4279, ""es"", ""en"")"),"Helmets quality and comfort with amazing quality both in sound and in the materials they are made. The cable is very flexible and resilient. I really like the magnet having on the headphones as it prevents tangling with the save.")</f>
        <v>Helmets quality and comfort with amazing quality both in sound and in the materials they are made. The cable is very flexible and resilient. I really like the magnet having on the headphones as it prevents tangling with the save.</v>
      </c>
    </row>
    <row r="4280">
      <c r="A4280" s="1">
        <v>2.0</v>
      </c>
      <c r="B4280" s="1" t="s">
        <v>4259</v>
      </c>
      <c r="C4280" t="str">
        <f>IFERROR(__xludf.DUMMYFUNCTION("GOOGLETRANSLATE(B4280, ""es"", ""en"")"),"Small sized The sizing is small and does not correspond to the actual size. I had to give them away ...")</f>
        <v>Small sized The sizing is small and does not correspond to the actual size. I had to give them away ...</v>
      </c>
    </row>
    <row r="4281">
      <c r="A4281" s="1">
        <v>3.0</v>
      </c>
      <c r="B4281" s="1" t="s">
        <v>4260</v>
      </c>
      <c r="C4281" t="str">
        <f>IFERROR(__xludf.DUMMYFUNCTION("GOOGLETRANSLATE(B4281, ""es"", ""en"")"),"VILEDA FREGONA FIRST SENT ME WELL BUT WERE THE LAST THREADS SHIPPING Mop FELL TO THE out of the bag. MORE she WAS FINE AND IS NOT EQUAL cleaned. DEFAULT WOULD IMAGINE THE MANUFACTURER. PHOTO SHIPPING Old and New")</f>
        <v>VILEDA FREGONA FIRST SENT ME WELL BUT WERE THE LAST THREADS SHIPPING Mop FELL TO THE out of the bag. MORE she WAS FINE AND IS NOT EQUAL cleaned. DEFAULT WOULD IMAGINE THE MANUFACTURER. PHOTO SHIPPING Old and New</v>
      </c>
    </row>
    <row r="4282">
      <c r="A4282" s="1">
        <v>3.0</v>
      </c>
      <c r="B4282" s="1" t="s">
        <v>4261</v>
      </c>
      <c r="C4282" t="str">
        <f>IFERROR(__xludf.DUMMYFUNCTION("GOOGLETRANSLATE(B4282, ""es"", ""en"")"),"Distorted if you record voice singing wanted to use it to record both normal locutions like to record voice singing and playing guitar. Locution only it serves to record better than the micro own a DSLR, but with a lower quality than I expected. Tonal no "&amp;"use for records of a singing voice that the distorted tone that increases the lot.")</f>
        <v>Distorted if you record voice singing wanted to use it to record both normal locutions like to record voice singing and playing guitar. Locution only it serves to record better than the micro own a DSLR, but with a lower quality than I expected. Tonal no use for records of a singing voice that the distorted tone that increases the lot.</v>
      </c>
    </row>
    <row r="4283">
      <c r="A4283" s="1">
        <v>1.0</v>
      </c>
      <c r="B4283" s="1" t="s">
        <v>4262</v>
      </c>
      <c r="C4283" t="str">
        <f>IFERROR(__xludf.DUMMYFUNCTION("GOOGLETRANSLATE(B4283, ""es"", ""en"")"),"Otherworldly nothing I did not like the product leaves very oily skin with oil and therefore not very abrasive can leave much time for the skin")</f>
        <v>Otherworldly nothing I did not like the product leaves very oily skin with oil and therefore not very abrasive can leave much time for the skin</v>
      </c>
    </row>
    <row r="4284">
      <c r="A4284" s="1">
        <v>1.0</v>
      </c>
      <c r="B4284" s="1" t="s">
        <v>4263</v>
      </c>
      <c r="C4284" t="str">
        <f>IFERROR(__xludf.DUMMYFUNCTION("GOOGLETRANSLATE(B4284, ""es"", ""en"")"),"There are better for that price not paste as expected. I bought tapes best")</f>
        <v>There are better for that price not paste as expected. I bought tapes best</v>
      </c>
    </row>
    <row r="4285">
      <c r="A4285" s="1">
        <v>4.0</v>
      </c>
      <c r="B4285" s="1" t="s">
        <v>4264</v>
      </c>
      <c r="C4285" t="str">
        <f>IFERROR(__xludf.DUMMYFUNCTION("GOOGLETRANSLATE(B4285, ""es"", ""en"")"),"The expected. Well, this product has no more mystery, it is just expected, arrived on time and perfectly packed, it works fine, no problems.")</f>
        <v>The expected. Well, this product has no more mystery, it is just expected, arrived on time and perfectly packed, it works fine, no problems.</v>
      </c>
    </row>
    <row r="4286">
      <c r="A4286" s="1">
        <v>4.0</v>
      </c>
      <c r="B4286" s="1" t="s">
        <v>4265</v>
      </c>
      <c r="C4286" t="str">
        <f>IFERROR(__xludf.DUMMYFUNCTION("GOOGLETRANSLATE(B4286, ""es"", ""en"")"),"Autonomy acceptable long. Quite comfortable and listen well. The microphone fails because your partner will not listen to clear 100%")</f>
        <v>Autonomy acceptable long. Quite comfortable and listen well. The microphone fails because your partner will not listen to clear 100%</v>
      </c>
    </row>
    <row r="4287">
      <c r="A4287" s="1">
        <v>4.0</v>
      </c>
      <c r="B4287" s="1" t="s">
        <v>4266</v>
      </c>
      <c r="C4287" t="str">
        <f>IFERROR(__xludf.DUMMYFUNCTION("GOOGLETRANSLATE(B4287, ""es"", ""en"")"),"Required Required if you record through Tascam or inalambrios your Smartfone")</f>
        <v>Required Required if you record through Tascam or inalambrios your Smartfone</v>
      </c>
    </row>
    <row r="4288">
      <c r="A4288" s="1">
        <v>4.0</v>
      </c>
      <c r="B4288" s="1" t="s">
        <v>4267</v>
      </c>
      <c r="C4288" t="str">
        <f>IFERROR(__xludf.DUMMYFUNCTION("GOOGLETRANSLATE(B4288, ""es"", ""en"")"),"Warm, comfortable and not slip USE as boots after skiing break and walk with them on apre-ski. Have fulfilled their role superbly, warm, comfortable and not slip. If I have to put a paste, which is scratched, but the truth, I really did not care. For what"&amp;" I wanted were fine.")</f>
        <v>Warm, comfortable and not slip USE as boots after skiing break and walk with them on apre-ski. Have fulfilled their role superbly, warm, comfortable and not slip. If I have to put a paste, which is scratched, but the truth, I really did not care. For what I wanted were fine.</v>
      </c>
    </row>
    <row r="4289">
      <c r="A4289" s="1">
        <v>5.0</v>
      </c>
      <c r="B4289" s="1" t="s">
        <v>4268</v>
      </c>
      <c r="C4289" t="str">
        <f>IFERROR(__xludf.DUMMYFUNCTION("GOOGLETRANSLATE(B4289, ""es"", ""en"")"),"Well kettle to travel to travel! So I prepare tea or coffee whenever you want. It occupies very little and warm water immediately.")</f>
        <v>Well kettle to travel to travel! So I prepare tea or coffee whenever you want. It occupies very little and warm water immediately.</v>
      </c>
    </row>
    <row r="4290">
      <c r="A4290" s="1">
        <v>5.0</v>
      </c>
      <c r="B4290" s="1" t="s">
        <v>4269</v>
      </c>
      <c r="C4290" t="str">
        <f>IFERROR(__xludf.DUMMYFUNCTION("GOOGLETRANSLATE(B4290, ""es"", ""en"")"),"Original product already knew before, it smells good. You can use it in brumizadores, humidifiers radiators etc")</f>
        <v>Original product already knew before, it smells good. You can use it in brumizadores, humidifiers radiators etc</v>
      </c>
    </row>
    <row r="4291">
      <c r="A4291" s="1">
        <v>5.0</v>
      </c>
      <c r="B4291" s="1" t="s">
        <v>4270</v>
      </c>
      <c r="C4291" t="str">
        <f>IFERROR(__xludf.DUMMYFUNCTION("GOOGLETRANSLATE(B4291, ""es"", ""en"")"),"Very happy and satisfied I have arrived earlier than expected and are perfect, the number proper 41 1/3 is the number you use adidas or larger or smaller, very pleased with the acquisition, I hope not ropan with ease and last")</f>
        <v>Very happy and satisfied I have arrived earlier than expected and are perfect, the number proper 41 1/3 is the number you use adidas or larger or smaller, very pleased with the acquisition, I hope not ropan with ease and last</v>
      </c>
    </row>
    <row r="4292">
      <c r="A4292" s="1">
        <v>5.0</v>
      </c>
      <c r="B4292" s="1" t="s">
        <v>4271</v>
      </c>
      <c r="C4292" t="str">
        <f>IFERROR(__xludf.DUMMYFUNCTION("GOOGLETRANSLATE(B4292, ""es"", ""en"")"),"Dr Martens boots 1460 Spectacular. Dr. Martens with his style that characterizes presents the Model 1460 in black boots with personality. rigid but very comfortable, they meet the expectations placed on them. The shoe size is exactly the same as you do in"&amp;" any other shoe. A great buy. You will not regret!! Amazon I found them very cheap!")</f>
        <v>Dr Martens boots 1460 Spectacular. Dr. Martens with his style that characterizes presents the Model 1460 in black boots with personality. rigid but very comfortable, they meet the expectations placed on them. The shoe size is exactly the same as you do in any other shoe. A great buy. You will not regret!! Amazon I found them very cheap!</v>
      </c>
    </row>
    <row r="4293">
      <c r="A4293" s="1">
        <v>5.0</v>
      </c>
      <c r="B4293" s="1" t="s">
        <v>4272</v>
      </c>
      <c r="C4293" t="str">
        <f>IFERROR(__xludf.DUMMYFUNCTION("GOOGLETRANSLATE(B4293, ""es"", ""en"")"),"It works perfectly After a few days of heavy use I can say that massage is provided surprisingly effective. The nodes are pushing hard. It is comfortable and can be applied to different parts of the back. The downside is that it comes with a battery to us"&amp;"e it wirelessly.")</f>
        <v>It works perfectly After a few days of heavy use I can say that massage is provided surprisingly effective. The nodes are pushing hard. It is comfortable and can be applied to different parts of the back. The downside is that it comes with a battery to use it wirelessly.</v>
      </c>
    </row>
    <row r="4294">
      <c r="A4294" s="1">
        <v>5.0</v>
      </c>
      <c r="B4294" s="1" t="s">
        <v>4273</v>
      </c>
      <c r="C4294" t="str">
        <f>IFERROR(__xludf.DUMMYFUNCTION("GOOGLETRANSLATE(B4294, ""es"", ""en"")"),"It purchased for a baby purees Good morning, is simple, but robust and silent. phenomenal and in few seconds short makes us fruit purees and vegetable baby. The glass can not be rubbed with the rough side of a sponge, then grate it. A greeting")</f>
        <v>It purchased for a baby purees Good morning, is simple, but robust and silent. phenomenal and in few seconds short makes us fruit purees and vegetable baby. The glass can not be rubbed with the rough side of a sponge, then grate it. A greeting</v>
      </c>
    </row>
    <row r="4295">
      <c r="A4295" s="1">
        <v>5.0</v>
      </c>
      <c r="B4295" s="1" t="s">
        <v>4274</v>
      </c>
      <c r="C4295" t="str">
        <f>IFERROR(__xludf.DUMMYFUNCTION("GOOGLETRANSLATE(B4295, ""es"", ""en"")"),"PASSED These boots, a classic, they can not be described with words. They are very comfortable and the materials that compose them are of extraordinary quality. The price was more than reasonable.")</f>
        <v>PASSED These boots, a classic, they can not be described with words. They are very comfortable and the materials that compose them are of extraordinary quality. The price was more than reasonable.</v>
      </c>
    </row>
    <row r="4296">
      <c r="A4296" s="1">
        <v>5.0</v>
      </c>
      <c r="B4296" s="1" t="s">
        <v>4275</v>
      </c>
      <c r="C4296" t="str">
        <f>IFERROR(__xludf.DUMMYFUNCTION("GOOGLETRANSLATE(B4296, ""es"", ""en"")"),"Original and accept Gb marking the use in GoPro Hero 7 Black. You accept it and really is the ability to brand. It does not give failures.")</f>
        <v>Original and accept Gb marking the use in GoPro Hero 7 Black. You accept it and really is the ability to brand. It does not give failures.</v>
      </c>
    </row>
    <row r="4297">
      <c r="A4297" s="1">
        <v>5.0</v>
      </c>
      <c r="B4297" s="1" t="s">
        <v>4276</v>
      </c>
      <c r="C4297" t="str">
        <f>IFERROR(__xludf.DUMMYFUNCTION("GOOGLETRANSLATE(B4297, ""es"", ""en"")"),"Comfortable and beautiful shoes are very comfortable to dance, not crowded and the sole non resvala.")</f>
        <v>Comfortable and beautiful shoes are very comfortable to dance, not crowded and the sole non resvala.</v>
      </c>
    </row>
    <row r="4298">
      <c r="A4298" s="1">
        <v>5.0</v>
      </c>
      <c r="B4298" s="1" t="s">
        <v>4277</v>
      </c>
      <c r="C4298" t="str">
        <f>IFERROR(__xludf.DUMMYFUNCTION("GOOGLETRANSLATE(B4298, ""es"", ""en"")"),"I love! You are great! Blanditas (which was what I wanted) and sheltered. It was fan with a classic crocks but with these shoes more")</f>
        <v>I love! You are great! Blanditas (which was what I wanted) and sheltered. It was fan with a classic crocks but with these shoes more</v>
      </c>
    </row>
    <row r="4299">
      <c r="A4299" s="1">
        <v>5.0</v>
      </c>
      <c r="B4299" s="1" t="s">
        <v>4278</v>
      </c>
      <c r="C4299" t="str">
        <f>IFERROR(__xludf.DUMMYFUNCTION("GOOGLETRANSLATE(B4299, ""es"", ""en"")"),"Phenomenal buy it for cleaning bottles for when I go to the field and was phenomenal and effortless clean. also cleaning a wine and terrific decantaqdor")</f>
        <v>Phenomenal buy it for cleaning bottles for when I go to the field and was phenomenal and effortless clean. also cleaning a wine and terrific decantaqdor</v>
      </c>
    </row>
    <row r="4300">
      <c r="A4300" s="1">
        <v>5.0</v>
      </c>
      <c r="B4300" s="1" t="s">
        <v>4279</v>
      </c>
      <c r="C4300" t="str">
        <f>IFERROR(__xludf.DUMMYFUNCTION("GOOGLETRANSLATE(B4300, ""es"", ""en"")"),"Comodisimas.Un Pelin large carving Despite a larger than expected Pelin are few sports for any look comfortable and beautiful.")</f>
        <v>Comodisimas.Un Pelin large carving Despite a larger than expected Pelin are few sports for any look comfortable and beautiful.</v>
      </c>
    </row>
    <row r="4301">
      <c r="A4301" s="1">
        <v>5.0</v>
      </c>
      <c r="B4301" s="1" t="s">
        <v>4280</v>
      </c>
      <c r="C4301" t="str">
        <f>IFERROR(__xludf.DUMMYFUNCTION("GOOGLETRANSLATE(B4301, ""es"", ""en"")"),"reliability and autonomy far the best mini headphone I've had, according to their value, greater autonomy than the rest and the possibility to meet the calls, coming to give it several times for them to enjoy it. Moreover, thanks for the prompt response o"&amp;"f the company responsible for the sale, because although this product is not guaranteed that usually have the products sold by Amazon, there has been no problem doing one of the guarantee offered by the company being I have replaced it without any expense"&amp;"s on my part.")</f>
        <v>reliability and autonomy far the best mini headphone I've had, according to their value, greater autonomy than the rest and the possibility to meet the calls, coming to give it several times for them to enjoy it. Moreover, thanks for the prompt response of the company responsible for the sale, because although this product is not guaranteed that usually have the products sold by Amazon, there has been no problem doing one of the guarantee offered by the company being I have replaced it without any expenses on my part.</v>
      </c>
    </row>
    <row r="4302">
      <c r="A4302" s="1">
        <v>5.0</v>
      </c>
      <c r="B4302" s="1" t="s">
        <v>4281</v>
      </c>
      <c r="C4302" t="str">
        <f>IFERROR(__xludf.DUMMYFUNCTION("GOOGLETRANSLATE(B4302, ""es"", ""en"")"),"Carmen was a birthday gift for a child of 11 years, very happy kid a very complete and watch all difficult to put into marcha.En generally very good")</f>
        <v>Carmen was a birthday gift for a child of 11 years, very happy kid a very complete and watch all difficult to put into marcha.En generally very good</v>
      </c>
    </row>
    <row r="4303">
      <c r="A4303" s="1">
        <v>5.0</v>
      </c>
      <c r="B4303" s="1" t="s">
        <v>4282</v>
      </c>
      <c r="C4303" t="str">
        <f>IFERROR(__xludf.DUMMYFUNCTION("GOOGLETRANSLATE(B4303, ""es"", ""en"")"),"Super fashion are beautiful. Are very good and compared to traditional, the price is super good. They are not anything tight")</f>
        <v>Super fashion are beautiful. Are very good and compared to traditional, the price is super good. They are not anything tight</v>
      </c>
    </row>
    <row r="4304">
      <c r="A4304" s="1">
        <v>5.0</v>
      </c>
      <c r="B4304" s="1" t="s">
        <v>4283</v>
      </c>
      <c r="C4304" t="str">
        <f>IFERROR(__xludf.DUMMYFUNCTION("GOOGLETRANSLATE(B4304, ""es"", ""en"")"),"Good value for money. Has a great capacity, it is a durable product and resistente.Siempre have used this brand and if I changed my card was for personal needs space, but never a bad product failure. I'll keep buying them.")</f>
        <v>Good value for money. Has a great capacity, it is a durable product and resistente.Siempre have used this brand and if I changed my card was for personal needs space, but never a bad product failure. I'll keep buying them.</v>
      </c>
    </row>
    <row r="4305">
      <c r="A4305" s="1">
        <v>5.0</v>
      </c>
      <c r="B4305" s="1" t="s">
        <v>4284</v>
      </c>
      <c r="C4305" t="str">
        <f>IFERROR(__xludf.DUMMYFUNCTION("GOOGLETRANSLATE(B4305, ""es"", ""en"")"),"Perfectly fulfills was looking for a printer for a small business where print volumes are small. I mainly care about the scanner, but not for professional use of photography but to digitize invoices and documents. For this function perfectly meets. Connec"&amp;"ts to the WiFi network, the software is installed on your computer and everything works almost alone. I can not comment on the InstantInk service because I have not applied.")</f>
        <v>Perfectly fulfills was looking for a printer for a small business where print volumes are small. I mainly care about the scanner, but not for professional use of photography but to digitize invoices and documents. For this function perfectly meets. Connects to the WiFi network, the software is installed on your computer and everything works almost alone. I can not comment on the InstantInk service because I have not applied.</v>
      </c>
    </row>
    <row r="4306">
      <c r="A4306" s="1">
        <v>5.0</v>
      </c>
      <c r="B4306" s="1" t="s">
        <v>4285</v>
      </c>
      <c r="C4306" t="str">
        <f>IFERROR(__xludf.DUMMYFUNCTION("GOOGLETRANSLATE(B4306, ""es"", ""en"")"),"Recommended expected")</f>
        <v>Recommended expected</v>
      </c>
    </row>
    <row r="4307">
      <c r="A4307" s="1">
        <v>5.0</v>
      </c>
      <c r="B4307" s="1" t="s">
        <v>4286</v>
      </c>
      <c r="C4307" t="str">
        <f>IFERROR(__xludf.DUMMYFUNCTION("GOOGLETRANSLATE(B4307, ""es"", ""en"")"),"Perfect great, very comfortable for professional and patient, fully meets my expectations. It is somewhat heavy but comfortable to carry, everything perfect")</f>
        <v>Perfect great, very comfortable for professional and patient, fully meets my expectations. It is somewhat heavy but comfortable to carry, everything perfect</v>
      </c>
    </row>
    <row r="4308">
      <c r="A4308" s="1">
        <v>2.0</v>
      </c>
      <c r="B4308" s="1" t="s">
        <v>4287</v>
      </c>
      <c r="C4308" t="str">
        <f>IFERROR(__xludf.DUMMYFUNCTION("GOOGLETRANSLATE(B4308, ""es"", ""en"")"),"For photos and videos ok not work for music Good finished product, you download the app and it works perfectly but when you do a backup of the music is stopped, does not work does not record or a record .. for the right balance I recommend it for videos, "&amp;"contacts and photos ... but no music")</f>
        <v>For photos and videos ok not work for music Good finished product, you download the app and it works perfectly but when you do a backup of the music is stopped, does not work does not record or a record .. for the right balance I recommend it for videos, contacts and photos ... but no music</v>
      </c>
    </row>
    <row r="4309">
      <c r="A4309" s="1">
        <v>3.0</v>
      </c>
      <c r="B4309" s="1" t="s">
        <v>4288</v>
      </c>
      <c r="C4309" t="str">
        <f>IFERROR(__xludf.DUMMYFUNCTION("GOOGLETRANSLATE(B4309, ""es"", ""en"")"),"IF YOU ARE PERFECT your size. The bracelets are very good and are very cool, but if you want them not to be clipped to your size, the thing gets raw, as they are impossible to adjust. Otherwise they are quality and very nice.")</f>
        <v>IF YOU ARE PERFECT your size. The bracelets are very good and are very cool, but if you want them not to be clipped to your size, the thing gets raw, as they are impossible to adjust. Otherwise they are quality and very nice.</v>
      </c>
    </row>
    <row r="4310">
      <c r="A4310" s="1">
        <v>3.0</v>
      </c>
      <c r="B4310" s="1" t="s">
        <v>4289</v>
      </c>
      <c r="C4310" t="str">
        <f>IFERROR(__xludf.DUMMYFUNCTION("GOOGLETRANSLATE(B4310, ""es"", ""en"")"),"good Pequeno")</f>
        <v>good Pequeno</v>
      </c>
    </row>
    <row r="4311">
      <c r="A4311" s="1">
        <v>1.0</v>
      </c>
      <c r="B4311" s="1" t="s">
        <v>4290</v>
      </c>
      <c r="C4311" t="str">
        <f>IFERROR(__xludf.DUMMYFUNCTION("GOOGLETRANSLATE(B4311, ""es"", ""en"")"),"It weighs a lot. It's too heavy and uncomfortable to handle. Impossible to use one person without assistance, you can not handle with one hand.")</f>
        <v>It weighs a lot. It's too heavy and uncomfortable to handle. Impossible to use one person without assistance, you can not handle with one hand.</v>
      </c>
    </row>
    <row r="4312">
      <c r="A4312" s="1">
        <v>1.0</v>
      </c>
      <c r="B4312" s="1" t="s">
        <v>4291</v>
      </c>
      <c r="C4312" t="str">
        <f>IFERROR(__xludf.DUMMYFUNCTION("GOOGLETRANSLATE(B4312, ""es"", ""en"")"),"very bad product is the hardest shoe that I had never is like wearing work boots and Nike have had many doubt that these are.")</f>
        <v>very bad product is the hardest shoe that I had never is like wearing work boots and Nike have had many doubt that these are.</v>
      </c>
    </row>
    <row r="4313">
      <c r="A4313" s="1">
        <v>4.0</v>
      </c>
      <c r="B4313" s="1" t="s">
        <v>4292</v>
      </c>
      <c r="C4313" t="str">
        <f>IFERROR(__xludf.DUMMYFUNCTION("GOOGLETRANSLATE(B4313, ""es"", ""en"")"),"Electric blanket I loved, loved to warm hands and warm up very well like I recommend")</f>
        <v>Electric blanket I loved, loved to warm hands and warm up very well like I recommend</v>
      </c>
    </row>
    <row r="4314">
      <c r="A4314" s="1">
        <v>4.0</v>
      </c>
      <c r="B4314" s="1" t="s">
        <v>4293</v>
      </c>
      <c r="C4314" t="str">
        <f>IFERROR(__xludf.DUMMYFUNCTION("GOOGLETRANSLATE(B4314, ""es"", ""en"")"),"They are not to use many hours for the price are very good, I bought for the office and are as such photos. Tapan very well and you hear external sound pretty good. What if I have not been very comfortable because if you use them all day then I left disco"&amp;"mfort in the ears, I guess that's the way they have. As for the durability only I have a few weeks ago but the cable looks very strong. Bring gumdrops parts and a bag to keep it all, which surprised me for the price they have. I would recommend for a poss"&amp;"ible use, not for the whole day.")</f>
        <v>They are not to use many hours for the price are very good, I bought for the office and are as such photos. Tapan very well and you hear external sound pretty good. What if I have not been very comfortable because if you use them all day then I left discomfort in the ears, I guess that's the way they have. As for the durability only I have a few weeks ago but the cable looks very strong. Bring gumdrops parts and a bag to keep it all, which surprised me for the price they have. I would recommend for a possible use, not for the whole day.</v>
      </c>
    </row>
    <row r="4315">
      <c r="A4315" s="1">
        <v>4.0</v>
      </c>
      <c r="B4315" s="1" t="s">
        <v>4294</v>
      </c>
      <c r="C4315" t="str">
        <f>IFERROR(__xludf.DUMMYFUNCTION("GOOGLETRANSLATE(B4315, ""es"", ""en"")"),"Sizing comprehensive evaluation")</f>
        <v>Sizing comprehensive evaluation</v>
      </c>
    </row>
    <row r="4316">
      <c r="A4316" s="1">
        <v>4.0</v>
      </c>
      <c r="B4316" s="1" t="s">
        <v>4295</v>
      </c>
      <c r="C4316" t="str">
        <f>IFERROR(__xludf.DUMMYFUNCTION("GOOGLETRANSLATE(B4316, ""es"", ""en"")"),"Very correct obviously not the best headphones on the market but for the price, I was surprised her-not sound cicadas appear in ears, as I had others and decently-isolating from the outside if you place them well.")</f>
        <v>Very correct obviously not the best headphones on the market but for the price, I was surprised her-not sound cicadas appear in ears, as I had others and decently-isolating from the outside if you place them well.</v>
      </c>
    </row>
    <row r="4317">
      <c r="A4317" s="1">
        <v>4.0</v>
      </c>
      <c r="B4317" s="1" t="s">
        <v>4296</v>
      </c>
      <c r="C4317" t="str">
        <f>IFERROR(__xludf.DUMMYFUNCTION("GOOGLETRANSLATE(B4317, ""es"", ""en"")"),"They are great, although they cost a little put are great, although they cost a little put. Rigid area where it enters the foot is a little tight. A tad bigger would be more comfortable")</f>
        <v>They are great, although they cost a little put are great, although they cost a little put. Rigid area where it enters the foot is a little tight. A tad bigger would be more comfortable</v>
      </c>
    </row>
    <row r="4318">
      <c r="A4318" s="1">
        <v>5.0</v>
      </c>
      <c r="B4318" s="1" t="s">
        <v>4297</v>
      </c>
      <c r="C4318" t="str">
        <f>IFERROR(__xludf.DUMMYFUNCTION("GOOGLETRANSLATE(B4318, ""es"", ""en"")"),"Elegant and affordable I bought it for a gift and I was lucky, I really liked the style is actually nicer than shown in the photos.")</f>
        <v>Elegant and affordable I bought it for a gift and I was lucky, I really liked the style is actually nicer than shown in the photos.</v>
      </c>
    </row>
    <row r="4319">
      <c r="A4319" s="1">
        <v>5.0</v>
      </c>
      <c r="B4319" s="1" t="s">
        <v>4298</v>
      </c>
      <c r="C4319" t="str">
        <f>IFERROR(__xludf.DUMMYFUNCTION("GOOGLETRANSLATE(B4319, ""es"", ""en"")"),"Good quality, good looks The purchase for my Omega Geneve 1967, a dress watch and is perfect. The leather is genuine and good quality. Good quality. The tools included are very useful. I was disappointed at the start that sent from England but came in a p"&amp;"ackage scheduled day 24 post.")</f>
        <v>Good quality, good looks The purchase for my Omega Geneve 1967, a dress watch and is perfect. The leather is genuine and good quality. Good quality. The tools included are very useful. I was disappointed at the start that sent from England but came in a package scheduled day 24 post.</v>
      </c>
    </row>
    <row r="4320">
      <c r="A4320" s="1">
        <v>5.0</v>
      </c>
      <c r="B4320" s="1" t="s">
        <v>4299</v>
      </c>
      <c r="C4320" t="str">
        <f>IFERROR(__xludf.DUMMYFUNCTION("GOOGLETRANSLATE(B4320, ""es"", ""en"")"),"Takes recommended my husband and did not remove it. With that I say everything")</f>
        <v>Takes recommended my husband and did not remove it. With that I say everything</v>
      </c>
    </row>
    <row r="4321">
      <c r="A4321" s="1">
        <v>5.0</v>
      </c>
      <c r="B4321" s="1" t="s">
        <v>4300</v>
      </c>
      <c r="C4321" t="str">
        <f>IFERROR(__xludf.DUMMYFUNCTION("GOOGLETRANSLATE(B4321, ""es"", ""en"")"),"Good quality perfect")</f>
        <v>Good quality perfect</v>
      </c>
    </row>
    <row r="4322">
      <c r="A4322" s="1">
        <v>5.0</v>
      </c>
      <c r="B4322" s="1" t="s">
        <v>4301</v>
      </c>
      <c r="C4322" t="str">
        <f>IFERROR(__xludf.DUMMYFUNCTION("GOOGLETRANSLATE(B4322, ""es"", ""en"")"),"Great value product! It was just what I expected! The sound quality is very good and completely cover the sound of the outside! They fit very well to the ear when sports!")</f>
        <v>Great value product! It was just what I expected! The sound quality is very good and completely cover the sound of the outside! They fit very well to the ear when sports!</v>
      </c>
    </row>
    <row r="4323">
      <c r="A4323" s="1">
        <v>5.0</v>
      </c>
      <c r="B4323" s="1" t="s">
        <v>4302</v>
      </c>
      <c r="C4323" t="str">
        <f>IFERROR(__xludf.DUMMYFUNCTION("GOOGLETRANSLATE(B4323, ""es"", ""en"")"),"Perfectly fulfills what I expected nothing particular, which is good. The product has complied perfectly with what I expected, ie, that it has been adjusted perfectly to what he promised. I have no ""but"" to put.")</f>
        <v>Perfectly fulfills what I expected nothing particular, which is good. The product has complied perfectly with what I expected, ie, that it has been adjusted perfectly to what he promised. I have no "but" to put.</v>
      </c>
    </row>
    <row r="4324">
      <c r="A4324" s="1">
        <v>5.0</v>
      </c>
      <c r="B4324" s="1" t="s">
        <v>4303</v>
      </c>
      <c r="C4324" t="str">
        <f>IFERROR(__xludf.DUMMYFUNCTION("GOOGLETRANSLATE(B4324, ""es"", ""en"")"),"PRECIOUS are very beautiful and rare unseen anywhere. All I have to tell you the product is not brought back to hold the earring either.")</f>
        <v>PRECIOUS are very beautiful and rare unseen anywhere. All I have to tell you the product is not brought back to hold the earring either.</v>
      </c>
    </row>
    <row r="4325">
      <c r="A4325" s="1">
        <v>5.0</v>
      </c>
      <c r="B4325" s="1" t="s">
        <v>4304</v>
      </c>
      <c r="C4325" t="str">
        <f>IFERROR(__xludf.DUMMYFUNCTION("GOOGLETRANSLATE(B4325, ""es"", ""en"")"),"Okay great. The problem is that it is very expensive")</f>
        <v>Okay great. The problem is that it is very expensive</v>
      </c>
    </row>
    <row r="4326">
      <c r="A4326" s="1">
        <v>5.0</v>
      </c>
      <c r="B4326" s="1" t="s">
        <v>4305</v>
      </c>
      <c r="C4326" t="str">
        <f>IFERROR(__xludf.DUMMYFUNCTION("GOOGLETRANSLATE(B4326, ""es"", ""en"")"),"abundant memory and effective needed a fast and powerful memory with this Lexar've consiguido. Perhaps there fast but I guarantee a very good efficiency month for both com photographic for recording films. It has a large capacity and not have to esstar ca"&amp;"mbiándala to petite. Avoids having to manipulate complicated sites, it has not changed often. Price, capacity, quality, are very suitable for amateurs and tambén to profesioneles. A very good buy.")</f>
        <v>abundant memory and effective needed a fast and powerful memory with this Lexar've consiguido. Perhaps there fast but I guarantee a very good efficiency month for both com photographic for recording films. It has a large capacity and not have to esstar cambiándala to petite. Avoids having to manipulate complicated sites, it has not changed often. Price, capacity, quality, are very suitable for amateurs and tambén to profesioneles. A very good buy.</v>
      </c>
    </row>
    <row r="4327">
      <c r="A4327" s="1">
        <v>5.0</v>
      </c>
      <c r="B4327" s="1" t="s">
        <v>4306</v>
      </c>
      <c r="C4327" t="str">
        <f>IFERROR(__xludf.DUMMYFUNCTION("GOOGLETRANSLATE(B4327, ""es"", ""en"")"),"Comfortable and I like the ability to carry everything tidy")</f>
        <v>Comfortable and I like the ability to carry everything tidy</v>
      </c>
    </row>
    <row r="4328">
      <c r="A4328" s="1">
        <v>5.0</v>
      </c>
      <c r="B4328" s="1" t="s">
        <v>4307</v>
      </c>
      <c r="C4328" t="str">
        <f>IFERROR(__xludf.DUMMYFUNCTION("GOOGLETRANSLATE(B4328, ""es"", ""en"")"),"NUK The price is excellent quality on offer and bottles have the usual quality brand. Are those that we used all the time. The nipple is small, if the child is older you will have to change, but still worth it.")</f>
        <v>NUK The price is excellent quality on offer and bottles have the usual quality brand. Are those that we used all the time. The nipple is small, if the child is older you will have to change, but still worth it.</v>
      </c>
    </row>
    <row r="4329">
      <c r="A4329" s="1">
        <v>5.0</v>
      </c>
      <c r="B4329" s="1" t="s">
        <v>4308</v>
      </c>
      <c r="C4329" t="str">
        <f>IFERROR(__xludf.DUMMYFUNCTION("GOOGLETRANSLATE(B4329, ""es"", ""en"")"),"Rocio Parla good quality Perfect beautiful soft colors are terrific clench not recommend a variety of colors they have arrived in time.")</f>
        <v>Rocio Parla good quality Perfect beautiful soft colors are terrific clench not recommend a variety of colors they have arrived in time.</v>
      </c>
    </row>
    <row r="4330">
      <c r="A4330" s="1">
        <v>5.0</v>
      </c>
      <c r="B4330" s="1" t="s">
        <v>4309</v>
      </c>
      <c r="C4330" t="str">
        <f>IFERROR(__xludf.DUMMYFUNCTION("GOOGLETRANSLATE(B4330, ""es"", ""en"")"),"Perfect Very good")</f>
        <v>Perfect Very good</v>
      </c>
    </row>
    <row r="4331">
      <c r="A4331" s="1">
        <v>5.0</v>
      </c>
      <c r="B4331" s="1" t="s">
        <v>4310</v>
      </c>
      <c r="C4331" t="str">
        <f>IFERROR(__xludf.DUMMYFUNCTION("GOOGLETRANSLATE(B4331, ""es"", ""en"")"),"Pica and beat well. The batter can be in the same jar paddling. The mixer is ideal for preparing individual shakes and bring in the same boat. Pica has good power and good fruits for smoothies. Carries an additional cover to take on the road. Easy to clea"&amp;"n and small. Nothing spectacular.")</f>
        <v>Pica and beat well. The batter can be in the same jar paddling. The mixer is ideal for preparing individual shakes and bring in the same boat. Pica has good power and good fruits for smoothies. Carries an additional cover to take on the road. Easy to clean and small. Nothing spectacular.</v>
      </c>
    </row>
    <row r="4332">
      <c r="A4332" s="1">
        <v>5.0</v>
      </c>
      <c r="B4332" s="1" t="s">
        <v>4311</v>
      </c>
      <c r="C4332" t="str">
        <f>IFERROR(__xludf.DUMMYFUNCTION("GOOGLETRANSLATE(B4332, ""es"", ""en"")"),"The kettle is very well made of stainless steel, 1.2 L. It is just the right size for me and burns very quickly. Do not ocupes a place at home! very good")</f>
        <v>The kettle is very well made of stainless steel, 1.2 L. It is just the right size for me and burns very quickly. Do not ocupes a place at home! very good</v>
      </c>
    </row>
    <row r="4333">
      <c r="A4333" s="1">
        <v>5.0</v>
      </c>
      <c r="B4333" s="1" t="s">
        <v>4312</v>
      </c>
      <c r="C4333" t="str">
        <f>IFERROR(__xludf.DUMMYFUNCTION("GOOGLETRANSLATE(B4333, ""es"", ""en"")"),"Mai ,,, I love the smell is great as strawberry, I took a number and this comodisima more, nothing to do with the flea market, and very fast shipping, very happy very good quality")</f>
        <v>Mai ,,, I love the smell is great as strawberry, I took a number and this comodisima more, nothing to do with the flea market, and very fast shipping, very happy very good quality</v>
      </c>
    </row>
    <row r="4334">
      <c r="A4334" s="1">
        <v>5.0</v>
      </c>
      <c r="B4334" s="1" t="s">
        <v>4313</v>
      </c>
      <c r="C4334" t="str">
        <f>IFERROR(__xludf.DUMMYFUNCTION("GOOGLETRANSLATE(B4334, ""es"", ""en"")"),"Recommended Good article")</f>
        <v>Recommended Good article</v>
      </c>
    </row>
    <row r="4335">
      <c r="A4335" s="1">
        <v>5.0</v>
      </c>
      <c r="B4335" s="1" t="s">
        <v>4314</v>
      </c>
      <c r="C4335" t="str">
        <f>IFERROR(__xludf.DUMMYFUNCTION("GOOGLETRANSLATE(B4335, ""es"", ""en"")"),"Buy recommended was the first time buying a humidifier. Displaying comments encouraged me to buy this particular, and I do not regret. It has a nice design that remains discreet in any corner. The wood finish is very accomplished, and with the quality of "&amp;"the material is quite realistic. Color LED ring is a supplement that gives a touch of color but without disturbing (I have located close to the TV and not distracting because it does not generate any halo of light). The noise is almost zero, sometimes a s"&amp;"light drip until it relaxing. Easy to clean and maintain. I recommend purchase.")</f>
        <v>Buy recommended was the first time buying a humidifier. Displaying comments encouraged me to buy this particular, and I do not regret. It has a nice design that remains discreet in any corner. The wood finish is very accomplished, and with the quality of the material is quite realistic. Color LED ring is a supplement that gives a touch of color but without disturbing (I have located close to the TV and not distracting because it does not generate any halo of light). The noise is almost zero, sometimes a slight drip until it relaxing. Easy to clean and maintain. I recommend purchase.</v>
      </c>
    </row>
    <row r="4336">
      <c r="A4336" s="1">
        <v>5.0</v>
      </c>
      <c r="B4336" s="1" t="s">
        <v>4315</v>
      </c>
      <c r="C4336" t="str">
        <f>IFERROR(__xludf.DUMMYFUNCTION("GOOGLETRANSLATE(B4336, ""es"", ""en"")"),"Preciosa EXCELLENT! Prettier than in photography is spectacular presentation Excellent value")</f>
        <v>Preciosa EXCELLENT! Prettier than in photography is spectacular presentation Excellent value</v>
      </c>
    </row>
    <row r="4337">
      <c r="A4337" s="1">
        <v>2.0</v>
      </c>
      <c r="B4337" s="1" t="s">
        <v>4316</v>
      </c>
      <c r="C4337" t="str">
        <f>IFERROR(__xludf.DUMMYFUNCTION("GOOGLETRANSLATE(B4337, ""es"", ""en"")"),"Do not bring cash standard Apple headphones. Good quality, but are presented in cardboard box without the plastic box that always accompanied to pick up the cable and protect them during transport. However, the price is the same reason why, paying the sam"&amp;"e, you get less. A small disappointment.")</f>
        <v>Do not bring cash standard Apple headphones. Good quality, but are presented in cardboard box without the plastic box that always accompanied to pick up the cable and protect them during transport. However, the price is the same reason why, paying the same, you get less. A small disappointment.</v>
      </c>
    </row>
    <row r="4338">
      <c r="A4338" s="1">
        <v>3.0</v>
      </c>
      <c r="B4338" s="1" t="s">
        <v>4317</v>
      </c>
      <c r="C4338" t="str">
        <f>IFERROR(__xludf.DUMMYFUNCTION("GOOGLETRANSLATE(B4338, ""es"", ""en"")"),"Perfect for professional presentations, but high price Here are before a remote for presentations of the Logitech brand. The main function of these devices is easier for the user to perform various presentations and also improve quality, time and accuracy"&amp;" of the same I'll tell you my impressions and opinions about this product: ►Paquete x1 Command presentations x1 Carrying bag x1 charging cable x1 x1 Manual safety Instructions for removing the battery life when finished. ►Primeros steps: In Windows 10: A "&amp;"connecting the small USB dongle that brings for connecting the option to install the software to make use of the device appears to us directly. The software lets you configure all options command and also a short explanatory tour to learn how to use it in"&amp;" 5 minutes. ►Que I like Θ is very easy to learn to use full functionality in 5 minutes and you will know to use it. Θ allows a variety of configurations with your software, the main ones are: Function of focus, zoom function (enlarge a particular region),"&amp;" circle function, timer and setting the action to hold the back button or next. All this combined with being able to function as a 3D mouse, provides a variety of functionality to the command. Θ Using the software is easy and intuitive, in addition, you c"&amp;"an easily request a replacement dongle should lose. Θ The device includes two types of connectivity: USB Dongle Propietaria by Bluetooth connectivity and control (activated by simultaneously pressing the top and bottom of the command buttons). Θ convenien"&amp;"t to use, size is adequate and comfortable hand for extended use. Θ Fast charge: The device provides fast charging, promises that one minute given for 3 hours. I can confirm that with 5 minutes of charging has given me for 4h uninterrupted presentation. Θ"&amp;" The USB Dongle is white with a small bead, making it harder to misplace. Θ Rank: I am using in college, I can confirm proper operation at distances up to 26 meters with the Dongle (have not tried more, but it already seems more than enough distance) Θ Θ "&amp;"Pretty design ►Neutro does not have a laser pointer. This would be a negative point if it were not for the role of ""focus"" allows similar functionality but in a more elegant way. ►Que I do not like Θ loading slot is a hole (where they originally come an"&amp;"d save you the Dongle) with depth within the command, this shortens the charging cable to about 11cm real, staying a little short for my taste. I believe that this aspect could be improved to at least 20cm. Θ Price (€ 117.44 at the time of this review) ►O"&amp;"pinión end the truth is that, for we do weekly presentations, this control is a breakthrough in comfort and functionality without adding complexity just learning and use. Is especially appreciated duality connectivity and rapid battery charge, which saves"&amp;" you from trouble. Perhaps the price is the only element to take into account, for all its functionality and the beautiful design, more than 100 euros seems expensive, even for professional environment where they seek to take advantage of all its function"&amp;"ality.")</f>
        <v>Perfect for professional presentations, but high price Here are before a remote for presentations of the Logitech brand. The main function of these devices is easier for the user to perform various presentations and also improve quality, time and accuracy of the same I'll tell you my impressions and opinions about this product: ►Paquete x1 Command presentations x1 Carrying bag x1 charging cable x1 x1 Manual safety Instructions for removing the battery life when finished. ►Primeros steps: In Windows 10: A connecting the small USB dongle that brings for connecting the option to install the software to make use of the device appears to us directly. The software lets you configure all options command and also a short explanatory tour to learn how to use it in 5 minutes. ►Que I like Θ is very easy to learn to use full functionality in 5 minutes and you will know to use it. Θ allows a variety of configurations with your software, the main ones are: Function of focus, zoom function (enlarge a particular region), circle function, timer and setting the action to hold the back button or next. All this combined with being able to function as a 3D mouse, provides a variety of functionality to the command. Θ Using the software is easy and intuitive, in addition, you can easily request a replacement dongle should lose. Θ The device includes two types of connectivity: USB Dongle Propietaria by Bluetooth connectivity and control (activated by simultaneously pressing the top and bottom of the command buttons). Θ convenient to use, size is adequate and comfortable hand for extended use. Θ Fast charge: The device provides fast charging, promises that one minute given for 3 hours. I can confirm that with 5 minutes of charging has given me for 4h uninterrupted presentation. Θ The USB Dongle is white with a small bead, making it harder to misplace. Θ Rank: I am using in college, I can confirm proper operation at distances up to 26 meters with the Dongle (have not tried more, but it already seems more than enough distance) Θ Θ Pretty design ►Neutro does not have a laser pointer. This would be a negative point if it were not for the role of "focus" allows similar functionality but in a more elegant way. ►Que I do not like Θ loading slot is a hole (where they originally come and save you the Dongle) with depth within the command, this shortens the charging cable to about 11cm real, staying a little short for my taste. I believe that this aspect could be improved to at least 20cm. Θ Price (€ 117.44 at the time of this review) ►Opinión end the truth is that, for we do weekly presentations, this control is a breakthrough in comfort and functionality without adding complexity just learning and use. Is especially appreciated duality connectivity and rapid battery charge, which saves you from trouble. Perhaps the price is the only element to take into account, for all its functionality and the beautiful design, more than 100 euros seems expensive, even for professional environment where they seek to take advantage of all its functionality.</v>
      </c>
    </row>
    <row r="4339">
      <c r="A4339" s="1">
        <v>3.0</v>
      </c>
      <c r="B4339" s="1" t="s">
        <v>4318</v>
      </c>
      <c r="C4339" t="str">
        <f>IFERROR(__xludf.DUMMYFUNCTION("GOOGLETRANSLATE(B4339, ""es"", ""en"")"),"Half and half !! The baby suckles more slowly. If you are a craving to eat baby will not recommended. It cleans well. Good quality.")</f>
        <v>Half and half !! The baby suckles more slowly. If you are a craving to eat baby will not recommended. It cleans well. Good quality.</v>
      </c>
    </row>
    <row r="4340">
      <c r="A4340" s="1">
        <v>1.0</v>
      </c>
      <c r="B4340" s="1" t="s">
        <v>4319</v>
      </c>
      <c r="C4340" t="str">
        <f>IFERROR(__xludf.DUMMYFUNCTION("GOOGLETRANSLATE(B4340, ""es"", ""en"")"),"M .. not worth a watch")</f>
        <v>M .. not worth a watch</v>
      </c>
    </row>
    <row r="4341">
      <c r="A4341" s="1">
        <v>1.0</v>
      </c>
      <c r="B4341" s="1" t="s">
        <v>4320</v>
      </c>
      <c r="C4341" t="str">
        <f>IFERROR(__xludf.DUMMYFUNCTION("GOOGLETRANSLATE(B4341, ""es"", ""en"")"),"Poor quality. Today has left earphone body ... !!! I've used it on a few 3 occasions in a month and already can not return .... !!! Not recommended.")</f>
        <v>Poor quality. Today has left earphone body ... !!! I've used it on a few 3 occasions in a month and already can not return .... !!! Not recommended.</v>
      </c>
    </row>
    <row r="4342">
      <c r="A4342" s="1">
        <v>4.0</v>
      </c>
      <c r="B4342" s="1" t="s">
        <v>4321</v>
      </c>
      <c r="C4342" t="str">
        <f>IFERROR(__xludf.DUMMYFUNCTION("GOOGLETRANSLATE(B4342, ""es"", ""en"")"),"NOT BAD, NOT BAD")</f>
        <v>NOT BAD, NOT BAD</v>
      </c>
    </row>
    <row r="4343">
      <c r="A4343" s="1">
        <v>4.0</v>
      </c>
      <c r="B4343" s="1" t="s">
        <v>4322</v>
      </c>
      <c r="C4343" t="str">
        <f>IFERROR(__xludf.DUMMYFUNCTION("GOOGLETRANSLATE(B4343, ""es"", ""en"")"),"Volume too low The watch was for a person with low vision and is very useful when you are at home or in sparsely ruidosas.El volume is quite low, and if it goes down the street or there is some noise not heard well")</f>
        <v>Volume too low The watch was for a person with low vision and is very useful when you are at home or in sparsely ruidosas.El volume is quite low, and if it goes down the street or there is some noise not heard well</v>
      </c>
    </row>
    <row r="4344">
      <c r="A4344" s="1">
        <v>4.0</v>
      </c>
      <c r="B4344" s="1" t="s">
        <v>4323</v>
      </c>
      <c r="C4344" t="str">
        <f>IFERROR(__xludf.DUMMYFUNCTION("GOOGLETRANSLATE(B4344, ""es"", ""en"")"),"It occupies little space and works well. I liked it because it does its job and takes up little space. It's not much, but it is useful. More or less what I expected.")</f>
        <v>It occupies little space and works well. I liked it because it does its job and takes up little space. It's not much, but it is useful. More or less what I expected.</v>
      </c>
    </row>
    <row r="4345">
      <c r="A4345" s="1">
        <v>4.0</v>
      </c>
      <c r="B4345" s="1" t="s">
        <v>4324</v>
      </c>
      <c r="C4345" t="str">
        <f>IFERROR(__xludf.DUMMYFUNCTION("GOOGLETRANSLATE(B4345, ""es"", ""en"")"),"But not lasting comfortable Good minimalist footwear but tends to break easily in the mesh of the instep")</f>
        <v>But not lasting comfortable Good minimalist footwear but tends to break easily in the mesh of the instep</v>
      </c>
    </row>
    <row r="4346">
      <c r="A4346" s="1">
        <v>4.0</v>
      </c>
      <c r="B4346" s="1" t="s">
        <v>4325</v>
      </c>
      <c r="C4346" t="str">
        <f>IFERROR(__xludf.DUMMYFUNCTION("GOOGLETRANSLATE(B4346, ""es"", ""en"")"),"Big is big, bigger than I wanted. If you want to take the portfolio and little more would not be a good buy. Moreover, perfect finish and brand worthy")</f>
        <v>Big is big, bigger than I wanted. If you want to take the portfolio and little more would not be a good buy. Moreover, perfect finish and brand worthy</v>
      </c>
    </row>
    <row r="4347">
      <c r="A4347" s="1">
        <v>5.0</v>
      </c>
      <c r="B4347" s="1" t="s">
        <v>4326</v>
      </c>
      <c r="C4347" t="str">
        <f>IFERROR(__xludf.DUMMYFUNCTION("GOOGLETRANSLATE(B4347, ""es"", ""en"")"),"Oil product suitable for cosmetic use. Happy with the result")</f>
        <v>Oil product suitable for cosmetic use. Happy with the result</v>
      </c>
    </row>
    <row r="4348">
      <c r="A4348" s="1">
        <v>5.0</v>
      </c>
      <c r="B4348" s="1" t="s">
        <v>4327</v>
      </c>
      <c r="C4348" t="str">
        <f>IFERROR(__xludf.DUMMYFUNCTION("GOOGLETRANSLATE(B4348, ""es"", ""en"")"),"Comfort are very comfortable and good quality.")</f>
        <v>Comfort are very comfortable and good quality.</v>
      </c>
    </row>
    <row r="4349">
      <c r="A4349" s="1">
        <v>5.0</v>
      </c>
      <c r="B4349" s="1" t="s">
        <v>4328</v>
      </c>
      <c r="C4349" t="str">
        <f>IFERROR(__xludf.DUMMYFUNCTION("GOOGLETRANSLATE(B4349, ""es"", ""en"")"),"Casio watch very happy, everything perfect!")</f>
        <v>Casio watch very happy, everything perfect!</v>
      </c>
    </row>
    <row r="4350">
      <c r="A4350" s="1">
        <v>5.0</v>
      </c>
      <c r="B4350" s="1" t="s">
        <v>4329</v>
      </c>
      <c r="C4350" t="str">
        <f>IFERROR(__xludf.DUMMYFUNCTION("GOOGLETRANSLATE(B4350, ""es"", ""en"")"),"Good buy, good quality is very good buy, buy them for my daughter and she is delighted with them. They are good quality .")</f>
        <v>Good buy, good quality is very good buy, buy them for my daughter and she is delighted with them. They are good quality .</v>
      </c>
    </row>
    <row r="4351">
      <c r="A4351" s="1">
        <v>5.0</v>
      </c>
      <c r="B4351" s="1" t="s">
        <v>4330</v>
      </c>
      <c r="C4351" t="str">
        <f>IFERROR(__xludf.DUMMYFUNCTION("GOOGLETRANSLATE(B4351, ""es"", ""en"")"),"Beautiful and practical! I love! Great fit and comfortable!")</f>
        <v>Beautiful and practical! I love! Great fit and comfortable!</v>
      </c>
    </row>
    <row r="4352">
      <c r="A4352" s="1">
        <v>5.0</v>
      </c>
      <c r="B4352" s="1" t="s">
        <v>4331</v>
      </c>
      <c r="C4352" t="str">
        <f>IFERROR(__xludf.DUMMYFUNCTION("GOOGLETRANSLATE(B4352, ""es"", ""en"")"),"Very Good Excellent quality. Very well made, good material and finish. durable look. Very happy.")</f>
        <v>Very Good Excellent quality. Very well made, good material and finish. durable look. Very happy.</v>
      </c>
    </row>
    <row r="4353">
      <c r="A4353" s="1">
        <v>5.0</v>
      </c>
      <c r="B4353" s="1" t="s">
        <v>4332</v>
      </c>
      <c r="C4353" t="str">
        <f>IFERROR(__xludf.DUMMYFUNCTION("GOOGLETRANSLATE(B4353, ""es"", ""en"")"),"Perfect fit like a glove. They are quick and templates tb fit well")</f>
        <v>Perfect fit like a glove. They are quick and templates tb fit well</v>
      </c>
    </row>
    <row r="4354">
      <c r="A4354" s="1">
        <v>5.0</v>
      </c>
      <c r="B4354" s="1" t="s">
        <v>4333</v>
      </c>
      <c r="C4354" t="str">
        <f>IFERROR(__xludf.DUMMYFUNCTION("GOOGLETRANSLATE(B4354, ""es"", ""en"")"),"Good price equal to the photo Excellent")</f>
        <v>Good price equal to the photo Excellent</v>
      </c>
    </row>
    <row r="4355">
      <c r="A4355" s="1">
        <v>5.0</v>
      </c>
      <c r="B4355" s="1" t="s">
        <v>4334</v>
      </c>
      <c r="C4355" t="str">
        <f>IFERROR(__xludf.DUMMYFUNCTION("GOOGLETRANSLATE(B4355, ""es"", ""en"")"),"Very good mic is a very good quality, sound is very clean, and the arm is very useful to place it where you want to position. Besides the microphone, it comes a antipoping, a pad for micro, an arm for holding the micro, a clamp for engaging the arm, holdi"&amp;"ng the microphone arm, and cable. It is quite stable, I recommend it if you use a lot of the microphone.")</f>
        <v>Very good mic is a very good quality, sound is very clean, and the arm is very useful to place it where you want to position. Besides the microphone, it comes a antipoping, a pad for micro, an arm for holding the micro, a clamp for engaging the arm, holding the microphone arm, and cable. It is quite stable, I recommend it if you use a lot of the microphone.</v>
      </c>
    </row>
    <row r="4356">
      <c r="A4356" s="1">
        <v>5.0</v>
      </c>
      <c r="B4356" s="1" t="s">
        <v>4335</v>
      </c>
      <c r="C4356" t="str">
        <f>IFERROR(__xludf.DUMMYFUNCTION("GOOGLETRANSLATE(B4356, ""es"", ""en"")"),"Everything excellent")</f>
        <v>Everything excellent</v>
      </c>
    </row>
    <row r="4357">
      <c r="A4357" s="1">
        <v>5.0</v>
      </c>
      <c r="B4357" s="1" t="s">
        <v>4336</v>
      </c>
      <c r="C4357" t="str">
        <f>IFERROR(__xludf.DUMMYFUNCTION("GOOGLETRANSLATE(B4357, ""es"", ""en"")"),"Loree has less power than expected, but it works well, easy to clean and comfortable to la.hora to handle it at home!")</f>
        <v>Loree has less power than expected, but it works well, easy to clean and comfortable to la.hora to handle it at home!</v>
      </c>
    </row>
    <row r="4358">
      <c r="A4358" s="1">
        <v>5.0</v>
      </c>
      <c r="B4358" s="1" t="s">
        <v>4337</v>
      </c>
      <c r="C4358" t="str">
        <f>IFERROR(__xludf.DUMMYFUNCTION("GOOGLETRANSLATE(B4358, ""es"", ""en"")"),"For the price, size cool movie, all the bar is a little wider than I thought.")</f>
        <v>For the price, size cool movie, all the bar is a little wider than I thought.</v>
      </c>
    </row>
    <row r="4359">
      <c r="A4359" s="1">
        <v>5.0</v>
      </c>
      <c r="B4359" s="1" t="s">
        <v>4338</v>
      </c>
      <c r="C4359" t="str">
        <f>IFERROR(__xludf.DUMMYFUNCTION("GOOGLETRANSLATE(B4359, ""es"", ""en"")"),"It has very good sound quality. And I purchased this product for a few days, but did not expect, the quality is very good, my Android phone and Apple phone my dad can log on, and soon, perhaps to connect other models of mobile phones. Recommended to buy!")</f>
        <v>It has very good sound quality. And I purchased this product for a few days, but did not expect, the quality is very good, my Android phone and Apple phone my dad can log on, and soon, perhaps to connect other models of mobile phones. Recommended to buy!</v>
      </c>
    </row>
    <row r="4360">
      <c r="A4360" s="1">
        <v>5.0</v>
      </c>
      <c r="B4360" s="1" t="s">
        <v>4339</v>
      </c>
      <c r="C4360" t="str">
        <f>IFERROR(__xludf.DUMMYFUNCTION("GOOGLETRANSLATE(B4360, ""es"", ""en"")"),"Q good is what is")</f>
        <v>Q good is what is</v>
      </c>
    </row>
    <row r="4361">
      <c r="A4361" s="1">
        <v>5.0</v>
      </c>
      <c r="B4361" s="1" t="s">
        <v>4340</v>
      </c>
      <c r="C4361" t="str">
        <f>IFERROR(__xludf.DUMMYFUNCTION("GOOGLETRANSLATE(B4361, ""es"", ""en"")"),"It's perfect just like in the picture. They do not get ugly.")</f>
        <v>It's perfect just like in the picture. They do not get ugly.</v>
      </c>
    </row>
    <row r="4362">
      <c r="A4362" s="1">
        <v>5.0</v>
      </c>
      <c r="B4362" s="1" t="s">
        <v>4341</v>
      </c>
      <c r="C4362" t="str">
        <f>IFERROR(__xludf.DUMMYFUNCTION("GOOGLETRANSLATE(B4362, ""es"", ""en"")"),"You are gorgeous! Have successfully reached, it is for my wedding and I love them. They have a lovely sheen")</f>
        <v>You are gorgeous! Have successfully reached, it is for my wedding and I love them. They have a lovely sheen</v>
      </c>
    </row>
    <row r="4363">
      <c r="A4363" s="1">
        <v>5.0</v>
      </c>
      <c r="B4363" s="1" t="s">
        <v>4342</v>
      </c>
      <c r="C4363" t="str">
        <f>IFERROR(__xludf.DUMMYFUNCTION("GOOGLETRANSLATE(B4363, ""es"", ""en"")"),"Excellent very comfortable and convenient and very useful. I love")</f>
        <v>Excellent very comfortable and convenient and very useful. I love</v>
      </c>
    </row>
    <row r="4364">
      <c r="A4364" s="1">
        <v>5.0</v>
      </c>
      <c r="B4364" s="1" t="s">
        <v>4343</v>
      </c>
      <c r="C4364" t="str">
        <f>IFERROR(__xludf.DUMMYFUNCTION("GOOGLETRANSLATE(B4364, ""es"", ""en"")"),"Perfect, does the job. Good quality and very comfortable, I recommend, it is ideal for practicing sport. I have nothing more to say.")</f>
        <v>Perfect, does the job. Good quality and very comfortable, I recommend, it is ideal for practicing sport. I have nothing more to say.</v>
      </c>
    </row>
    <row r="4365">
      <c r="A4365" s="1">
        <v>2.0</v>
      </c>
      <c r="B4365" s="1" t="s">
        <v>4344</v>
      </c>
      <c r="C4365" t="str">
        <f>IFERROR(__xludf.DUMMYFUNCTION("GOOGLETRANSLATE(B4365, ""es"", ""en"")"),"Poor quality materials shoddy construction, all plastic and does not fit the kettle with the base, to my disappointment, I had to return the same day that I received")</f>
        <v>Poor quality materials shoddy construction, all plastic and does not fit the kettle with the base, to my disappointment, I had to return the same day that I received</v>
      </c>
    </row>
    <row r="4366">
      <c r="A4366" s="1">
        <v>3.0</v>
      </c>
      <c r="B4366" s="1" t="s">
        <v>4345</v>
      </c>
      <c r="C4366" t="str">
        <f>IFERROR(__xludf.DUMMYFUNCTION("GOOGLETRANSLATE(B4366, ""es"", ""en"")"),"Before carrying is very nice")</f>
        <v>Before carrying is very nice</v>
      </c>
    </row>
    <row r="4367">
      <c r="A4367" s="1">
        <v>1.0</v>
      </c>
      <c r="B4367" s="1" t="s">
        <v>4346</v>
      </c>
      <c r="C4367" t="str">
        <f>IFERROR(__xludf.DUMMYFUNCTION("GOOGLETRANSLATE(B4367, ""es"", ""en"")"),"Fiasco product with small tare (leather spoiled a shoe), I am also pequeñas.Recepcion malisima me, I live in grade and had to go get the package to Oviedo. I feel disappointed and estafado.Creo that I will not buy anything.")</f>
        <v>Fiasco product with small tare (leather spoiled a shoe), I am also pequeñas.Recepcion malisima me, I live in grade and had to go get the package to Oviedo. I feel disappointed and estafado.Creo that I will not buy anything.</v>
      </c>
    </row>
    <row r="4368">
      <c r="A4368" s="1">
        <v>1.0</v>
      </c>
      <c r="B4368" s="1" t="s">
        <v>4347</v>
      </c>
      <c r="C4368" t="str">
        <f>IFERROR(__xludf.DUMMYFUNCTION("GOOGLETRANSLATE(B4368, ""es"", ""en"")"),"A disaster has disappointed me a lot. The blades just leave a mark on paper and do not cut it. Aluminum foil stuck and always that the rolls are loose within the housing. A disaster unit. I do not recommend purchase. I want to return this product, I've re"&amp;"moved because it is totally useless and also I have been with the mounting holes in the tiles I return it and do not give me that option")</f>
        <v>A disaster has disappointed me a lot. The blades just leave a mark on paper and do not cut it. Aluminum foil stuck and always that the rolls are loose within the housing. A disaster unit. I do not recommend purchase. I want to return this product, I've removed because it is totally useless and also I have been with the mounting holes in the tiles I return it and do not give me that option</v>
      </c>
    </row>
    <row r="4369">
      <c r="A4369" s="1">
        <v>1.0</v>
      </c>
      <c r="B4369" s="1" t="s">
        <v>4348</v>
      </c>
      <c r="C4369" t="str">
        <f>IFERROR(__xludf.DUMMYFUNCTION("GOOGLETRANSLATE(B4369, ""es"", ""en"")"),"I'm afraid it's fake I bought one like it before and compared to this, apart from the presentation (I is stuffed into a plastic bag and is inside a cardboard envelope ""apparently"" false, adhesive screen protector is not covered whole the watch weighs le"&amp;"ss and belt seems neither metal. without being a specialist I think it's false. Amazon should take better care of these things and not allow these items to be sold. at least I could return it on time without charge.")</f>
        <v>I'm afraid it's fake I bought one like it before and compared to this, apart from the presentation (I is stuffed into a plastic bag and is inside a cardboard envelope "apparently" false, adhesive screen protector is not covered whole the watch weighs less and belt seems neither metal. without being a specialist I think it's false. Amazon should take better care of these things and not allow these items to be sold. at least I could return it on time without charge.</v>
      </c>
    </row>
    <row r="4370">
      <c r="A4370" s="1">
        <v>4.0</v>
      </c>
      <c r="B4370" s="1" t="s">
        <v>4349</v>
      </c>
      <c r="C4370" t="str">
        <f>IFERROR(__xludf.DUMMYFUNCTION("GOOGLETRANSLATE(B4370, ""es"", ""en"")"),"Are nice, but as ""sweatshirt"" fabric is very thin fabric is a bit thin, perhaps somewhat short, but really are not bad. They are beautiful. He arrived earlier than expected.")</f>
        <v>Are nice, but as "sweatshirt" fabric is very thin fabric is a bit thin, perhaps somewhat short, but really are not bad. They are beautiful. He arrived earlier than expected.</v>
      </c>
    </row>
    <row r="4371">
      <c r="A4371" s="1">
        <v>4.0</v>
      </c>
      <c r="B4371" s="1" t="s">
        <v>4350</v>
      </c>
      <c r="C4371" t="str">
        <f>IFERROR(__xludf.DUMMYFUNCTION("GOOGLETRANSLATE(B4371, ""es"", ""en"")"),"Good quality, current and resistance The boot very cool, very good quality and finishes. The problem is that it was for a gift and the girl that was going to use had to return since the leg of the boot was too wide for her ankle")</f>
        <v>Good quality, current and resistance The boot very cool, very good quality and finishes. The problem is that it was for a gift and the girl that was going to use had to return since the leg of the boot was too wide for her ankle</v>
      </c>
    </row>
    <row r="4372">
      <c r="A4372" s="1">
        <v>4.0</v>
      </c>
      <c r="B4372" s="1" t="s">
        <v>4351</v>
      </c>
      <c r="C4372" t="str">
        <f>IFERROR(__xludf.DUMMYFUNCTION("GOOGLETRANSLATE(B4372, ""es"", ""en"")"),"Product quality is simple and does not cure pad relieves pain but perfectly and is a good choice and value for money is correct")</f>
        <v>Product quality is simple and does not cure pad relieves pain but perfectly and is a good choice and value for money is correct</v>
      </c>
    </row>
    <row r="4373">
      <c r="A4373" s="1">
        <v>4.0</v>
      </c>
      <c r="B4373" s="1" t="s">
        <v>4352</v>
      </c>
      <c r="C4373" t="str">
        <f>IFERROR(__xludf.DUMMYFUNCTION("GOOGLETRANSLATE(B4373, ""es"", ""en"")"),"Good product I give just a 4stars because we have not yet used it is a gift, at first glance looks pretty good for a child 9y.o. and I will tell you, only I can tell you that came to me the other day ordering and is in good condition")</f>
        <v>Good product I give just a 4stars because we have not yet used it is a gift, at first glance looks pretty good for a child 9y.o. and I will tell you, only I can tell you that came to me the other day ordering and is in good condition</v>
      </c>
    </row>
    <row r="4374">
      <c r="A4374" s="1">
        <v>5.0</v>
      </c>
      <c r="B4374" s="1" t="s">
        <v>4353</v>
      </c>
      <c r="C4374" t="str">
        <f>IFERROR(__xludf.DUMMYFUNCTION("GOOGLETRANSLATE(B4374, ""es"", ""en"")"),"Clock good article according to my wishes, thank you!")</f>
        <v>Clock good article according to my wishes, thank you!</v>
      </c>
    </row>
    <row r="4375">
      <c r="A4375" s="1">
        <v>5.0</v>
      </c>
      <c r="B4375" s="1" t="s">
        <v>4354</v>
      </c>
      <c r="C4375" t="str">
        <f>IFERROR(__xludf.DUMMYFUNCTION("GOOGLETRANSLATE(B4375, ""es"", ""en"")"),"Good quality / price ratio Very good quality / price. The product meets expectations.")</f>
        <v>Good quality / price ratio Very good quality / price. The product meets expectations.</v>
      </c>
    </row>
    <row r="4376">
      <c r="A4376" s="1">
        <v>5.0</v>
      </c>
      <c r="B4376" s="1" t="s">
        <v>4355</v>
      </c>
      <c r="C4376" t="str">
        <f>IFERROR(__xludf.DUMMYFUNCTION("GOOGLETRANSLATE(B4376, ""es"", ""en"")"),"elegant quality is very complete, and the finish is very good. Accessory to resize, it's great, I had to take a link and has been very, very easy. I am very happy with the result, to see what hard, and CO.O ages.")</f>
        <v>elegant quality is very complete, and the finish is very good. Accessory to resize, it's great, I had to take a link and has been very, very easy. I am very happy with the result, to see what hard, and CO.O ages.</v>
      </c>
    </row>
    <row r="4377">
      <c r="A4377" s="1">
        <v>5.0</v>
      </c>
      <c r="B4377" s="1" t="s">
        <v>4356</v>
      </c>
      <c r="C4377" t="str">
        <f>IFERROR(__xludf.DUMMYFUNCTION("GOOGLETRANSLATE(B4377, ""es"", ""en"")"),"A very nice album esteemed for its price. Comes with protector on each sheet and photos are perfectly just stuck with glue stick. Looks good, and with white letritas looks a lot.")</f>
        <v>A very nice album esteemed for its price. Comes with protector on each sheet and photos are perfectly just stuck with glue stick. Looks good, and with white letritas looks a lot.</v>
      </c>
    </row>
    <row r="4378">
      <c r="A4378" s="1">
        <v>5.0</v>
      </c>
      <c r="B4378" s="1" t="s">
        <v>4357</v>
      </c>
      <c r="C4378" t="str">
        <f>IFERROR(__xludf.DUMMYFUNCTION("GOOGLETRANSLATE(B4378, ""es"", ""en"")"),"Precious Precious ideal for a gift of silver and are an ideal size for the price they can not ask for more I congratulate Amazon for his work on delivery and always send all right")</f>
        <v>Precious Precious ideal for a gift of silver and are an ideal size for the price they can not ask for more I congratulate Amazon for his work on delivery and always send all right</v>
      </c>
    </row>
    <row r="4379">
      <c r="A4379" s="1">
        <v>5.0</v>
      </c>
      <c r="B4379" s="1" t="s">
        <v>4358</v>
      </c>
      <c r="C4379" t="str">
        <f>IFERROR(__xludf.DUMMYFUNCTION("GOOGLETRANSLATE(B4379, ""es"", ""en"")"),"I LIKE YOUR EFFICIENCY After trying some vacuum cleaners for home and disappoint quite (including a very expensive one that was falling and did not aspire), this've finally found what I needed, ""aspiring"" ... does the job very well and I am very happy. "&amp;"I recommend it without question. He arrived well and without problems of distribution.")</f>
        <v>I LIKE YOUR EFFICIENCY After trying some vacuum cleaners for home and disappoint quite (including a very expensive one that was falling and did not aspire), this've finally found what I needed, "aspiring" ... does the job very well and I am very happy. I recommend it without question. He arrived well and without problems of distribution.</v>
      </c>
    </row>
    <row r="4380">
      <c r="A4380" s="1">
        <v>5.0</v>
      </c>
      <c r="B4380" s="1" t="s">
        <v>4359</v>
      </c>
      <c r="C4380" t="str">
        <f>IFERROR(__xludf.DUMMYFUNCTION("GOOGLETRANSLATE(B4380, ""es"", ""en"")"),"Fast and good design. The truth is that for the price it is great. You heat a liter of water and keeps you in temperature.")</f>
        <v>Fast and good design. The truth is that for the price it is great. You heat a liter of water and keeps you in temperature.</v>
      </c>
    </row>
    <row r="4381">
      <c r="A4381" s="1">
        <v>5.0</v>
      </c>
      <c r="B4381" s="1" t="s">
        <v>4360</v>
      </c>
      <c r="C4381" t="str">
        <f>IFERROR(__xludf.DUMMYFUNCTION("GOOGLETRANSLATE(B4381, ""es"", ""en"")"),"Crocs of the whole life I gave my partner and is happy with them. The number corresponds to European size 45-46 I chose 45 because it uses commonly and generally can say I am happy with them. As is the pictures and description. In less than a month has ta"&amp;"ken off the back as they passed has more people. I have carried the shoemaker, has stuck and time are right, because you glue home I did not work, so I recommend bring the shoemaker, but I do not seem normal to peel off like that and less with some uses f"&amp;"ew simply ..")</f>
        <v>Crocs of the whole life I gave my partner and is happy with them. The number corresponds to European size 45-46 I chose 45 because it uses commonly and generally can say I am happy with them. As is the pictures and description. In less than a month has taken off the back as they passed has more people. I have carried the shoemaker, has stuck and time are right, because you glue home I did not work, so I recommend bring the shoemaker, but I do not seem normal to peel off like that and less with some uses few simply ..</v>
      </c>
    </row>
    <row r="4382">
      <c r="A4382" s="1">
        <v>5.0</v>
      </c>
      <c r="B4382" s="1" t="s">
        <v>4361</v>
      </c>
      <c r="C4382" t="str">
        <f>IFERROR(__xludf.DUMMYFUNCTION("GOOGLETRANSLATE(B4382, ""es"", ""en"")"),"Recommended The pendant is very nice. The color is exactly like the image, light green. It give you to my sister and she is very happy. The sound is like a rattlesnake")</f>
        <v>Recommended The pendant is very nice. The color is exactly like the image, light green. It give you to my sister and she is very happy. The sound is like a rattlesnake</v>
      </c>
    </row>
    <row r="4383">
      <c r="A4383" s="1">
        <v>5.0</v>
      </c>
      <c r="B4383" s="1" t="s">
        <v>4362</v>
      </c>
      <c r="C4383" t="str">
        <f>IFERROR(__xludf.DUMMYFUNCTION("GOOGLETRANSLATE(B4383, ""es"", ""en"")"),"Fantastic!!! Highly recommended !!! It is a fantastic product !!! My mother had shoulder pain following a fall as had bought a similar one in Colombia ... I bought the small boat to try !! And we again repeat ... now with the big jackpot because it is fan"&amp;"tastically good !!!")</f>
        <v>Fantastic!!! Highly recommended !!! It is a fantastic product !!! My mother had shoulder pain following a fall as had bought a similar one in Colombia ... I bought the small boat to try !! And we again repeat ... now with the big jackpot because it is fantastically good !!!</v>
      </c>
    </row>
    <row r="4384">
      <c r="A4384" s="1">
        <v>5.0</v>
      </c>
      <c r="B4384" s="1" t="s">
        <v>4363</v>
      </c>
      <c r="C4384" t="str">
        <f>IFERROR(__xludf.DUMMYFUNCTION("GOOGLETRANSLATE(B4384, ""es"", ""en"")"),"A finding Since coming home, are indispensable for their massage in the evening before the TV before bedtime, and car trips (for those who do not go driving, that is) with its cable making the lighter. It leaves you again when you come home with cervical "&amp;"problems; You can choose massage with or without heat, and is silent.")</f>
        <v>A finding Since coming home, are indispensable for their massage in the evening before the TV before bedtime, and car trips (for those who do not go driving, that is) with its cable making the lighter. It leaves you again when you come home with cervical problems; You can choose massage with or without heat, and is silent.</v>
      </c>
    </row>
    <row r="4385">
      <c r="A4385" s="1">
        <v>5.0</v>
      </c>
      <c r="B4385" s="1" t="s">
        <v>4364</v>
      </c>
      <c r="C4385" t="str">
        <f>IFERROR(__xludf.DUMMYFUNCTION("GOOGLETRANSLATE(B4385, ""es"", ""en"")"),"Original Tous card comes in the box Tous, and her pink gift bag and original stamp. Very nice and elegant. For 22 euros perfect as a gift")</f>
        <v>Original Tous card comes in the box Tous, and her pink gift bag and original stamp. Very nice and elegant. For 22 euros perfect as a gift</v>
      </c>
    </row>
    <row r="4386">
      <c r="A4386" s="1">
        <v>5.0</v>
      </c>
      <c r="B4386" s="1" t="s">
        <v>4365</v>
      </c>
      <c r="C4386" t="str">
        <f>IFERROR(__xludf.DUMMYFUNCTION("GOOGLETRANSLATE(B4386, ""es"", ""en"")"),"Perfect corresponds exactly to the description, including action and the heat is enough to notice through clothes (shirt and sweatshirt). At the wrap is very nice feeling. The quality is great: very soft care finish .... It's a good buy. Oh, and very fast"&amp;" delivery!")</f>
        <v>Perfect corresponds exactly to the description, including action and the heat is enough to notice through clothes (shirt and sweatshirt). At the wrap is very nice feeling. The quality is great: very soft care finish .... It's a good buy. Oh, and very fast delivery!</v>
      </c>
    </row>
    <row r="4387">
      <c r="A4387" s="1">
        <v>5.0</v>
      </c>
      <c r="B4387" s="1" t="s">
        <v>4366</v>
      </c>
      <c r="C4387" t="str">
        <f>IFERROR(__xludf.DUMMYFUNCTION("GOOGLETRANSLATE(B4387, ""es"", ""en"")"),"resistant materials Aesthetically have loved me, are more expensive than they are sound alike is another contribution on headphones taking into account the size and price, it does not sound as canned as other headphones of this type, which already is a br"&amp;"eakthrough, summarize the value for me it is fantastic.")</f>
        <v>resistant materials Aesthetically have loved me, are more expensive than they are sound alike is another contribution on headphones taking into account the size and price, it does not sound as canned as other headphones of this type, which already is a breakthrough, summarize the value for me it is fantastic.</v>
      </c>
    </row>
    <row r="4388">
      <c r="A4388" s="1">
        <v>5.0</v>
      </c>
      <c r="B4388" s="1" t="s">
        <v>4367</v>
      </c>
      <c r="C4388" t="str">
        <f>IFERROR(__xludf.DUMMYFUNCTION("GOOGLETRANSLATE(B4388, ""es"", ""en"")"),"Good value for money Honestly, I'm not going to lie, they are what they are, do not wait, better than the Chinese in the neighborhood and worse than about 30 euros, but we are paying a lot less for them and also come with a bag gift and interchangeable an"&amp;"d adjustable almoadillas to the ear. Medium and high normal, but strong bass, these headphones are the rcomendaria people who like hip hop or regaeton")</f>
        <v>Good value for money Honestly, I'm not going to lie, they are what they are, do not wait, better than the Chinese in the neighborhood and worse than about 30 euros, but we are paying a lot less for them and also come with a bag gift and interchangeable and adjustable almoadillas to the ear. Medium and high normal, but strong bass, these headphones are the rcomendaria people who like hip hop or regaeton</v>
      </c>
    </row>
    <row r="4389">
      <c r="A4389" s="1">
        <v>5.0</v>
      </c>
      <c r="B4389" s="1" t="s">
        <v>4368</v>
      </c>
      <c r="C4389" t="str">
        <f>IFERROR(__xludf.DUMMYFUNCTION("GOOGLETRANSLATE(B4389, ""es"", ""en"")"),"Highly recommended very nice and comfortable. Carve large, so I recommend buying one size smaller than usual.")</f>
        <v>Highly recommended very nice and comfortable. Carve large, so I recommend buying one size smaller than usual.</v>
      </c>
    </row>
    <row r="4390">
      <c r="A4390" s="1">
        <v>5.0</v>
      </c>
      <c r="B4390" s="1" t="s">
        <v>4369</v>
      </c>
      <c r="C4390" t="str">
        <f>IFERROR(__xludf.DUMMYFUNCTION("GOOGLETRANSLATE(B4390, ""es"", ""en"")"),"Although very comfortable shoes are not for me, they were for my wife, she is fully satisfied with them because they are super comfortable and made with high quality materials")</f>
        <v>Although very comfortable shoes are not for me, they were for my wife, she is fully satisfied with them because they are super comfortable and made with high quality materials</v>
      </c>
    </row>
    <row r="4391">
      <c r="A4391" s="1">
        <v>5.0</v>
      </c>
      <c r="B4391" s="1" t="s">
        <v>4370</v>
      </c>
      <c r="C4391" t="str">
        <f>IFERROR(__xludf.DUMMYFUNCTION("GOOGLETRANSLATE(B4391, ""es"", ""en"")"),"Comfortable and very practical. I have come to love the experience, they are very comfortable and all types of terrain. They are goretex is great. I recommend them.")</f>
        <v>Comfortable and very practical. I have come to love the experience, they are very comfortable and all types of terrain. They are goretex is great. I recommend them.</v>
      </c>
    </row>
    <row r="4392">
      <c r="A4392" s="1">
        <v>5.0</v>
      </c>
      <c r="B4392" s="1" t="s">
        <v>4371</v>
      </c>
      <c r="C4392" t="str">
        <f>IFERROR(__xludf.DUMMYFUNCTION("GOOGLETRANSLATE(B4392, ""es"", ""en"")"),"Very pretty perfect")</f>
        <v>Very pretty perfect</v>
      </c>
    </row>
    <row r="4393">
      <c r="A4393" s="1">
        <v>2.0</v>
      </c>
      <c r="B4393" s="1" t="s">
        <v>3099</v>
      </c>
      <c r="C4393" t="str">
        <f>IFERROR(__xludf.DUMMYFUNCTION("GOOGLETRANSLATE(B4393, ""es"", ""en"")"),"Average Not bad")</f>
        <v>Average Not bad</v>
      </c>
    </row>
    <row r="4394">
      <c r="A4394" s="1">
        <v>3.0</v>
      </c>
      <c r="B4394" s="1" t="s">
        <v>4372</v>
      </c>
      <c r="C4394" t="str">
        <f>IFERROR(__xludf.DUMMYFUNCTION("GOOGLETRANSLATE(B4394, ""es"", ""en"")"),"The expected clock works well with enough features and is easy to use if you are used to this kind of watches. For the fan of gshock say that is a little smaller than you expect, I had previously read so I was not surprised. I would say even the belt is s"&amp;"mall because usually buttoned in the third - fourth hole and in this I have to go to the seventh.")</f>
        <v>The expected clock works well with enough features and is easy to use if you are used to this kind of watches. For the fan of gshock say that is a little smaller than you expect, I had previously read so I was not surprised. I would say even the belt is small because usually buttoned in the third - fourth hole and in this I have to go to the seventh.</v>
      </c>
    </row>
    <row r="4395">
      <c r="A4395" s="1">
        <v>3.0</v>
      </c>
      <c r="B4395" s="1" t="s">
        <v>4373</v>
      </c>
      <c r="C4395" t="str">
        <f>IFERROR(__xludf.DUMMYFUNCTION("GOOGLETRANSLATE(B4395, ""es"", ""en"")"),"Easy grip, milk is easy to hold the hollow parent but leaves milk residues between the container and the teat that make it have to overturn completely vertical bottle to finish")</f>
        <v>Easy grip, milk is easy to hold the hollow parent but leaves milk residues between the container and the teat that make it have to overturn completely vertical bottle to finish</v>
      </c>
    </row>
    <row r="4396">
      <c r="A4396" s="1">
        <v>3.0</v>
      </c>
      <c r="B4396" s="1" t="s">
        <v>4374</v>
      </c>
      <c r="C4396" t="str">
        <f>IFERROR(__xludf.DUMMYFUNCTION("GOOGLETRANSLATE(B4396, ""es"", ""en"")"),"Load only through mobile Good sound, comfortable and easy to use. However, they can only be loaded via mobile.")</f>
        <v>Load only through mobile Good sound, comfortable and easy to use. However, they can only be loaded via mobile.</v>
      </c>
    </row>
    <row r="4397">
      <c r="A4397" s="1">
        <v>1.0</v>
      </c>
      <c r="B4397" s="1" t="s">
        <v>4375</v>
      </c>
      <c r="C4397" t="str">
        <f>IFERROR(__xludf.DUMMYFUNCTION("GOOGLETRANSLATE(B4397, ""es"", ""en"")"),"Good product, shipping exaggerated Watch is great, you can upload music, routes, pay with. Good buy to get started in this little world, this no problem. I would buy without hesitation. However, despite being Amazon Prime, I was charged 25 eurazos for shi"&amp;"pping ... Very bad.")</f>
        <v>Good product, shipping exaggerated Watch is great, you can upload music, routes, pay with. Good buy to get started in this little world, this no problem. I would buy without hesitation. However, despite being Amazon Prime, I was charged 25 eurazos for shipping ... Very bad.</v>
      </c>
    </row>
    <row r="4398">
      <c r="A4398" s="1">
        <v>4.0</v>
      </c>
      <c r="B4398" s="1" t="s">
        <v>4376</v>
      </c>
      <c r="C4398" t="str">
        <f>IFERROR(__xludf.DUMMYFUNCTION("GOOGLETRANSLATE(B4398, ""es"", ""en"")"),"Quality and value. Solomon is Solomon Very happy")</f>
        <v>Quality and value. Solomon is Solomon Very happy</v>
      </c>
    </row>
    <row r="4399">
      <c r="A4399" s="1">
        <v>4.0</v>
      </c>
      <c r="B4399" s="1" t="s">
        <v>4377</v>
      </c>
      <c r="C4399" t="str">
        <f>IFERROR(__xludf.DUMMYFUNCTION("GOOGLETRANSLATE(B4399, ""es"", ""en"")"),"José Luis Alvarez. Very good. At the beginning regret not having bought the screw crown, but it turned out that this perfectly resists water.")</f>
        <v>José Luis Alvarez. Very good. At the beginning regret not having bought the screw crown, but it turned out that this perfectly resists water.</v>
      </c>
    </row>
    <row r="4400">
      <c r="A4400" s="1">
        <v>4.0</v>
      </c>
      <c r="B4400" s="1" t="s">
        <v>4378</v>
      </c>
      <c r="C4400" t="str">
        <f>IFERROR(__xludf.DUMMYFUNCTION("GOOGLETRANSLATE(B4400, ""es"", ""en"")"),"A little heat just right, but not very powerful, even in the State three notes excessive heat, but it's better than nothing.")</f>
        <v>A little heat just right, but not very powerful, even in the State three notes excessive heat, but it's better than nothing.</v>
      </c>
    </row>
    <row r="4401">
      <c r="A4401" s="1">
        <v>4.0</v>
      </c>
      <c r="B4401" s="1" t="s">
        <v>4379</v>
      </c>
      <c r="C4401" t="str">
        <f>IFERROR(__xludf.DUMMYFUNCTION("GOOGLETRANSLATE(B4401, ""es"", ""en"")"),"Is Indestructible, is Casio, is Japanese. An old, reliable like no other, indestructible as any, time passes by and looks new, I take where I go, I will not if I do not carry it in free TIMP at work (plumbing), fishing, I do not separate myself from I got"&amp;" up to go to bed. Personally I do not think there's a watch more resistant than steel are not like the G-Shock. Recomiedo what all the gentlemen who have a doll to the least median. A beautiful watch. Paste it unique it is that the excellent quality of di"&amp;"gital time clock can not see very well and analog otherwise. 9 to watch!")</f>
        <v>Is Indestructible, is Casio, is Japanese. An old, reliable like no other, indestructible as any, time passes by and looks new, I take where I go, I will not if I do not carry it in free TIMP at work (plumbing), fishing, I do not separate myself from I got up to go to bed. Personally I do not think there's a watch more resistant than steel are not like the G-Shock. Recomiedo what all the gentlemen who have a doll to the least median. A beautiful watch. Paste it unique it is that the excellent quality of digital time clock can not see very well and analog otherwise. 9 to watch!</v>
      </c>
    </row>
    <row r="4402">
      <c r="A4402" s="1">
        <v>4.0</v>
      </c>
      <c r="B4402" s="1" t="s">
        <v>4380</v>
      </c>
      <c r="C4402" t="str">
        <f>IFERROR(__xludf.DUMMYFUNCTION("GOOGLETRANSLATE(B4402, ""es"", ""en"")"),"USB 3.0 32GB pendrive I like this product, my fault I did not notice the color chosen opened the silver, more masculine, less evil that seems a copper color")</f>
        <v>USB 3.0 32GB pendrive I like this product, my fault I did not notice the color chosen opened the silver, more masculine, less evil that seems a copper color</v>
      </c>
    </row>
    <row r="4403">
      <c r="A4403" s="1">
        <v>5.0</v>
      </c>
      <c r="B4403" s="1" t="s">
        <v>4381</v>
      </c>
      <c r="C4403" t="str">
        <f>IFERROR(__xludf.DUMMYFUNCTION("GOOGLETRANSLATE(B4403, ""es"", ""en"")"),"It gives many options. Price quality 👌👍 you can not ask for more. Delicious coffee and cream. Perfect for all types of coffee, black coffee, cut, chocolate, cappuccino, etc. It gives you the ability to do whatever you want, even a latte macchiato.")</f>
        <v>It gives many options. Price quality 👌👍 you can not ask for more. Delicious coffee and cream. Perfect for all types of coffee, black coffee, cut, chocolate, cappuccino, etc. It gives you the ability to do whatever you want, even a latte macchiato.</v>
      </c>
    </row>
    <row r="4404">
      <c r="A4404" s="1">
        <v>5.0</v>
      </c>
      <c r="B4404" s="1" t="s">
        <v>4382</v>
      </c>
      <c r="C4404" t="str">
        <f>IFERROR(__xludf.DUMMYFUNCTION("GOOGLETRANSLATE(B4404, ""es"", ""en"")"),"Bracelet Pandora pandora I bought and found to be small by their 18 cms. It was returned the same day without any problems and very clear instructions. The money was also returned at 2, 3 days.")</f>
        <v>Bracelet Pandora pandora I bought and found to be small by their 18 cms. It was returned the same day without any problems and very clear instructions. The money was also returned at 2, 3 days.</v>
      </c>
    </row>
    <row r="4405">
      <c r="A4405" s="1">
        <v>5.0</v>
      </c>
      <c r="B4405" s="1" t="s">
        <v>4383</v>
      </c>
      <c r="C4405" t="str">
        <f>IFERROR(__xludf.DUMMYFUNCTION("GOOGLETRANSLATE(B4405, ""es"", ""en"")"),"Pin slides for presentations I am dedicated to teaching, and this pin slides suits me very well for classes, as looking for ways to make the most entertaining classes and interactive through the use of the computer lost a lot of time having to go constant"&amp;"ly at the table of the computer to scroll through slides. It comes with a laser, an element that can come in handy for any occasion. Weighs very little, it works with a battery and does not cost much. I hope the students enjoy it to the same as me.")</f>
        <v>Pin slides for presentations I am dedicated to teaching, and this pin slides suits me very well for classes, as looking for ways to make the most entertaining classes and interactive through the use of the computer lost a lot of time having to go constantly at the table of the computer to scroll through slides. It comes with a laser, an element that can come in handy for any occasion. Weighs very little, it works with a battery and does not cost much. I hope the students enjoy it to the same as me.</v>
      </c>
    </row>
    <row r="4406">
      <c r="A4406" s="1">
        <v>5.0</v>
      </c>
      <c r="B4406" s="1" t="s">
        <v>4384</v>
      </c>
      <c r="C4406" t="str">
        <f>IFERROR(__xludf.DUMMYFUNCTION("GOOGLETRANSLATE(B4406, ""es"", ""en"")"),"Comfort comfort. There is a good quality price relation")</f>
        <v>Comfort comfort. There is a good quality price relation</v>
      </c>
    </row>
    <row r="4407">
      <c r="A4407" s="1">
        <v>5.0</v>
      </c>
      <c r="B4407" s="1" t="s">
        <v>4385</v>
      </c>
      <c r="C4407" t="str">
        <f>IFERROR(__xludf.DUMMYFUNCTION("GOOGLETRANSLATE(B4407, ""es"", ""en"")"),"Very good watch good quality watch very buen.precio, barometric altimeter is therefore fluctuates greatly depending on weather conditions, is the only thing I did not like")</f>
        <v>Very good watch good quality watch very buen.precio, barometric altimeter is therefore fluctuates greatly depending on weather conditions, is the only thing I did not like</v>
      </c>
    </row>
    <row r="4408">
      <c r="A4408" s="1">
        <v>5.0</v>
      </c>
      <c r="B4408" s="1" t="s">
        <v>4386</v>
      </c>
      <c r="C4408" t="str">
        <f>IFERROR(__xludf.DUMMYFUNCTION("GOOGLETRANSLATE(B4408, ""es"", ""en"")"),"very comfortable for fall / winter great for all, I work out, even the field for its sport sole 5/5")</f>
        <v>very comfortable for fall / winter great for all, I work out, even the field for its sport sole 5/5</v>
      </c>
    </row>
    <row r="4409">
      <c r="A4409" s="1">
        <v>5.0</v>
      </c>
      <c r="B4409" s="1" t="s">
        <v>4387</v>
      </c>
      <c r="C4409" t="str">
        <f>IFERROR(__xludf.DUMMYFUNCTION("GOOGLETRANSLATE(B4409, ""es"", ""en"")"),"comfortable and light are my first Bluetooth headsets are lightweight and comfortable, two minutes you forget you're wearing. They have very good sound and are very easy to connect with mobile and laptop. A subject having behind the ear do not pierce the "&amp;"ear like button.")</f>
        <v>comfortable and light are my first Bluetooth headsets are lightweight and comfortable, two minutes you forget you're wearing. They have very good sound and are very easy to connect with mobile and laptop. A subject having behind the ear do not pierce the ear like button.</v>
      </c>
    </row>
    <row r="4410">
      <c r="A4410" s="1">
        <v>5.0</v>
      </c>
      <c r="B4410" s="1" t="s">
        <v>4388</v>
      </c>
      <c r="C4410" t="str">
        <f>IFERROR(__xludf.DUMMYFUNCTION("GOOGLETRANSLATE(B4410, ""es"", ""en"")"),"Caparelle Good buy. It's nice and I use it daily. Very good stuff. I recommend it without question. For my taste maybe the belt should be a little closer. But the design of the bag is correct and elegant.")</f>
        <v>Caparelle Good buy. It's nice and I use it daily. Very good stuff. I recommend it without question. For my taste maybe the belt should be a little closer. But the design of the bag is correct and elegant.</v>
      </c>
    </row>
    <row r="4411">
      <c r="A4411" s="1">
        <v>5.0</v>
      </c>
      <c r="B4411" s="1" t="s">
        <v>4389</v>
      </c>
      <c r="C4411" t="str">
        <f>IFERROR(__xludf.DUMMYFUNCTION("GOOGLETRANSLATE(B4411, ""es"", ""en"")"),"Happy with it the moment we are happy with the choice. Creams, milkshakes, pie crusts, smoothies, ice crushing ... All super fast and super fine! The texture is leaving he wanted. The engine holds a lot of work without difficulty, Tritan glass is very lig"&amp;"ht and easy to clean.")</f>
        <v>Happy with it the moment we are happy with the choice. Creams, milkshakes, pie crusts, smoothies, ice crushing ... All super fast and super fine! The texture is leaving he wanted. The engine holds a lot of work without difficulty, Tritan glass is very light and easy to clean.</v>
      </c>
    </row>
    <row r="4412">
      <c r="A4412" s="1">
        <v>5.0</v>
      </c>
      <c r="B4412" s="1" t="s">
        <v>4390</v>
      </c>
      <c r="C4412" t="str">
        <f>IFERROR(__xludf.DUMMYFUNCTION("GOOGLETRANSLATE(B4412, ""es"", ""en"")"),"Great! I love!!! Just what i was looking for...")</f>
        <v>Great! I love!!! Just what i was looking for...</v>
      </c>
    </row>
    <row r="4413">
      <c r="A4413" s="1">
        <v>5.0</v>
      </c>
      <c r="B4413" s="1" t="s">
        <v>4391</v>
      </c>
      <c r="C4413" t="str">
        <f>IFERROR(__xludf.DUMMYFUNCTION("GOOGLETRANSLATE(B4413, ""es"", ""en"")"),"very good better than expected bootie both mountain and road. It is very comfortable to wear and good grip")</f>
        <v>very good better than expected bootie both mountain and road. It is very comfortable to wear and good grip</v>
      </c>
    </row>
    <row r="4414">
      <c r="A4414" s="1">
        <v>5.0</v>
      </c>
      <c r="B4414" s="1" t="s">
        <v>4392</v>
      </c>
      <c r="C4414" t="str">
        <f>IFERROR(__xludf.DUMMYFUNCTION("GOOGLETRANSLATE(B4414, ""es"", ""en"")"),"The perfect use every day, warm as it should and even goes to 180 min (sometimes slightly less) stays warm all night, excellent buy Preci relationship quality, would buy without hesitation.")</f>
        <v>The perfect use every day, warm as it should and even goes to 180 min (sometimes slightly less) stays warm all night, excellent buy Preci relationship quality, would buy without hesitation.</v>
      </c>
    </row>
    <row r="4415">
      <c r="A4415" s="1">
        <v>5.0</v>
      </c>
      <c r="B4415" s="1" t="s">
        <v>4393</v>
      </c>
      <c r="C4415" t="str">
        <f>IFERROR(__xludf.DUMMYFUNCTION("GOOGLETRANSLATE(B4415, ""es"", ""en"")"),"comfortable but comfortable carry with socks pq q rub")</f>
        <v>comfortable but comfortable carry with socks pq q rub</v>
      </c>
    </row>
    <row r="4416">
      <c r="A4416" s="1">
        <v>5.0</v>
      </c>
      <c r="B4416" s="1" t="s">
        <v>4394</v>
      </c>
      <c r="C4416" t="str">
        <f>IFERROR(__xludf.DUMMYFUNCTION("GOOGLETRANSLATE(B4416, ""es"", ""en"")"),"A G Shock that does not disappoint. A G Shock makes the difference with other comparable models. The design is nice and different to all other boxes. It is perfectly legible under all circumstances and the lighting is better than in hands, have a GA 110 a"&amp;"nd this much better light. What alarms and regressive features vibration is great and very configurable. Certainly a great watch and good buy.")</f>
        <v>A G Shock that does not disappoint. A G Shock makes the difference with other comparable models. The design is nice and different to all other boxes. It is perfectly legible under all circumstances and the lighting is better than in hands, have a GA 110 and this much better light. What alarms and regressive features vibration is great and very configurable. Certainly a great watch and good buy.</v>
      </c>
    </row>
    <row r="4417">
      <c r="A4417" s="1">
        <v>5.0</v>
      </c>
      <c r="B4417" s="1" t="s">
        <v>4395</v>
      </c>
      <c r="C4417" t="str">
        <f>IFERROR(__xludf.DUMMYFUNCTION("GOOGLETRANSLATE(B4417, ""es"", ""en"")"),"Great product highly recommended")</f>
        <v>Great product highly recommended</v>
      </c>
    </row>
    <row r="4418">
      <c r="A4418" s="1">
        <v>5.0</v>
      </c>
      <c r="B4418" s="1" t="s">
        <v>4396</v>
      </c>
      <c r="C4418" t="str">
        <f>IFERROR(__xludf.DUMMYFUNCTION("GOOGLETRANSLATE(B4418, ""es"", ""en"")"),"buy the best thing we did !! We love! It is one of the best purchases we've made. A great help for the home, especially when there is no time. Leaves everything very clean. In addition to tell you when and how to clean from the phone is very comfortable. "&amp;"There is only to have to deal with limpito for home use and collection to clean better.")</f>
        <v>buy the best thing we did !! We love! It is one of the best purchases we've made. A great help for the home, especially when there is no time. Leaves everything very clean. In addition to tell you when and how to clean from the phone is very comfortable. There is only to have to deal with limpito for home use and collection to clean better.</v>
      </c>
    </row>
    <row r="4419">
      <c r="A4419" s="1">
        <v>5.0</v>
      </c>
      <c r="B4419" s="1" t="s">
        <v>4397</v>
      </c>
      <c r="C4419" t="str">
        <f>IFERROR(__xludf.DUMMYFUNCTION("GOOGLETRANSLATE(B4419, ""es"", ""en"")"),"Raul Merida Highly recommended is very nice and my wife is fine with it Encatada to put a medal and looks great")</f>
        <v>Raul Merida Highly recommended is very nice and my wife is fine with it Encatada to put a medal and looks great</v>
      </c>
    </row>
    <row r="4420">
      <c r="A4420" s="1">
        <v>5.0</v>
      </c>
      <c r="B4420" s="1" t="s">
        <v>4398</v>
      </c>
      <c r="C4420" t="str">
        <f>IFERROR(__xludf.DUMMYFUNCTION("GOOGLETRANSLATE(B4420, ""es"", ""en"")"),"Quality good price quality, price and warranty is what we offer with this Casio watch. I was surprised very positively, both the clock and the belt, something that adds value to the machine. Good buy and, as usual, good service delivery Amazon.")</f>
        <v>Quality good price quality, price and warranty is what we offer with this Casio watch. I was surprised very positively, both the clock and the belt, something that adds value to the machine. Good buy and, as usual, good service delivery Amazon.</v>
      </c>
    </row>
    <row r="4421">
      <c r="A4421" s="1">
        <v>5.0</v>
      </c>
      <c r="B4421" s="1" t="s">
        <v>4399</v>
      </c>
      <c r="C4421" t="str">
        <f>IFERROR(__xludf.DUMMYFUNCTION("GOOGLETRANSLATE(B4421, ""es"", ""en"")"),"I love Very satisfied")</f>
        <v>I love Very satisfied</v>
      </c>
    </row>
    <row r="4422">
      <c r="A4422" s="1">
        <v>2.0</v>
      </c>
      <c r="B4422" s="1" t="s">
        <v>4400</v>
      </c>
      <c r="C4422" t="str">
        <f>IFERROR(__xludf.DUMMYFUNCTION("GOOGLETRANSLATE(B4422, ""es"", ""en"")"),"All would be well if USB meets describes it, good for android")</f>
        <v>All would be well if USB meets describes it, good for android</v>
      </c>
    </row>
    <row r="4423">
      <c r="A4423" s="1">
        <v>3.0</v>
      </c>
      <c r="B4423" s="1" t="s">
        <v>4401</v>
      </c>
      <c r="C4423" t="str">
        <f>IFERROR(__xludf.DUMMYFUNCTION("GOOGLETRANSLATE(B4423, ""es"", ""en"")"),"Not good quality I bought my granddaughter ... loved the color and everything else and not so much these headphones headset are propitious for children as nothing enters the quality oídos..pero not it is what is desired in these headphones ...")</f>
        <v>Not good quality I bought my granddaughter ... loved the color and everything else and not so much these headphones headset are propitious for children as nothing enters the quality oídos..pero not it is what is desired in these headphones ...</v>
      </c>
    </row>
    <row r="4424">
      <c r="A4424" s="1">
        <v>1.0</v>
      </c>
      <c r="B4424" s="1" t="s">
        <v>4402</v>
      </c>
      <c r="C4424" t="str">
        <f>IFERROR(__xludf.DUMMYFUNCTION("GOOGLETRANSLATE(B4424, ""es"", ""en"")"),"A disappointment a shoe of each color, a rose as shown in the photo and the other pink / beige worn.")</f>
        <v>A disappointment a shoe of each color, a rose as shown in the photo and the other pink / beige worn.</v>
      </c>
    </row>
    <row r="4425">
      <c r="A4425" s="1">
        <v>1.0</v>
      </c>
      <c r="B4425" s="1" t="s">
        <v>4403</v>
      </c>
      <c r="C4425" t="str">
        <f>IFERROR(__xludf.DUMMYFUNCTION("GOOGLETRANSLATE(B4425, ""es"", ""en"")"),"Disappointment. I saw an ad and bought it. Not clean as advertised. I feel duped. No longer the typical red brush life that our mothers used to remove fluffs on the jackets.")</f>
        <v>Disappointment. I saw an ad and bought it. Not clean as advertised. I feel duped. No longer the typical red brush life that our mothers used to remove fluffs on the jackets.</v>
      </c>
    </row>
    <row r="4426">
      <c r="A4426" s="1">
        <v>1.0</v>
      </c>
      <c r="B4426" s="1" t="s">
        <v>4404</v>
      </c>
      <c r="C4426" t="str">
        <f>IFERROR(__xludf.DUMMYFUNCTION("GOOGLETRANSLATE(B4426, ""es"", ""en"")"),"bad buy At 14 months I stopped working")</f>
        <v>bad buy At 14 months I stopped working</v>
      </c>
    </row>
    <row r="4427">
      <c r="A4427" s="1">
        <v>4.0</v>
      </c>
      <c r="B4427" s="1" t="s">
        <v>4405</v>
      </c>
      <c r="C4427" t="str">
        <f>IFERROR(__xludf.DUMMYFUNCTION("GOOGLETRANSLATE(B4427, ""es"", ""en"")"),"The almost perfect delivery to specified time, the quality of the undisputed and which is described as clock. U to beauty. Too bad the box that comes with the watch came with a mark or point deeper than the truth to those who are lovers of watches, leaves"&amp;" a good aftertaste. No I give 5 * for that detail. The perfect rest")</f>
        <v>The almost perfect delivery to specified time, the quality of the undisputed and which is described as clock. U to beauty. Too bad the box that comes with the watch came with a mark or point deeper than the truth to those who are lovers of watches, leaves a good aftertaste. No I give 5 * for that detail. The perfect rest</v>
      </c>
    </row>
    <row r="4428">
      <c r="A4428" s="1">
        <v>4.0</v>
      </c>
      <c r="B4428" s="1" t="s">
        <v>4406</v>
      </c>
      <c r="C4428" t="str">
        <f>IFERROR(__xludf.DUMMYFUNCTION("GOOGLETRANSLATE(B4428, ""es"", ""en"")"),"Perfect size Hello moment I liked everything, size, color and looks good. He did not give it five stars because I have to check that the hard zippers etc ..")</f>
        <v>Perfect size Hello moment I liked everything, size, color and looks good. He did not give it five stars because I have to check that the hard zippers etc ..</v>
      </c>
    </row>
    <row r="4429">
      <c r="A4429" s="1">
        <v>4.0</v>
      </c>
      <c r="B4429" s="1" t="s">
        <v>4407</v>
      </c>
      <c r="C4429" t="str">
        <f>IFERROR(__xludf.DUMMYFUNCTION("GOOGLETRANSLATE(B4429, ""es"", ""en"")"),"The perfect shoe perfect, skin, but carved a little big. 37.5 size measures 24 CMS.")</f>
        <v>The perfect shoe perfect, skin, but carved a little big. 37.5 size measures 24 CMS.</v>
      </c>
    </row>
    <row r="4430">
      <c r="A4430" s="1">
        <v>4.0</v>
      </c>
      <c r="B4430" s="1" t="s">
        <v>4408</v>
      </c>
      <c r="C4430" t="str">
        <f>IFERROR(__xludf.DUMMYFUNCTION("GOOGLETRANSLATE(B4430, ""es"", ""en"")"),"Very nice and good quality. Half price. &lt;Div id = ""video-block-R34RVO1W62LHPS"" class = ""section a-a-a-spacing-small spacing-top-video mini-block""&gt; &lt;div tabindex = ""0"" class = ""airy airy-svg vmin- supported airy-skin-beacon ""style ="" background-co"&amp;"lor: rgb (0, 0, 0) position: relative; width: 100%; height: 100%; font-size: 0px; overflow: hidden; outline: none ; ""&gt; &lt;div class ="" airy-renderer-container ""style ="" position: relative; height: 100%; width: 100%; ""&gt; &lt;video id ="" 7 ""preload ="" aut"&amp;"o ""src ="" https: //images-eu.ssl-images-amazon.com/images/I/D1Mzza91-3S.mp4 ""style ="" position: absolute; left: 0px; top: 0px; overflow: hidden; height: 1px; width: 1px ; ""&gt; &lt;/ video&gt; &lt;/ div&gt; &lt;div id ="" airy-slate-preload ""style ="" background-colo"&amp;"r: rgb (0, 0, 0); background-image: url (&amp; quot; https: // images-eu.ssl-images-amazon.com/images/I/919+CMIQm3S.png&amp;quot;); background-size: Contain; background-position: center center; background-repeat: no-repeat; position: absolute; top : 0px; left: 0p"&amp;"x; visibility: visible; width: 100%; height: 100%; ""&gt; &lt;/ div&gt; &lt;iframe scrolling ="" no ""frameborder = ""0"" src = ""about: blank"" style = ""display: none;""&gt; &lt;/ iframe&gt; &lt;div tabindex = ""- 1"" class = ""airy-controls-container"" style = ""opacity: 0; v"&amp;"isibility: hidden; ""&gt; &lt;div tabindex ="" - 1 ""class ="" airy-screen-size-toggle airy-fullscreen ""&gt; &lt;/ div&gt; &lt;div tabindex ="" - 1 ""class ="" airy-container-bottom "" &gt; &lt;div tabindex = ""- 1"" class = ""airy-track-bar-spacer-left"" style = ""width: 11px;"&amp;"""&gt; &lt;/ div&gt; &lt;div tabindex = ""- 1"" class = ""airy-play- airy toggle-play ""style ="" width: 12px; margin-right: 12px; ""&gt; &lt;/ div&gt; &lt;div tabindex ="" - 1 ""class ="" airy-audio-elements ""style ="" float: right; width: 34px; ""&gt; &lt;div tabindex ="" - 1 ""cla"&amp;"ss ="" airy-audio-toggle airy-on ""&gt; &lt;/ div&gt; &lt;div tabindex ="" - 1 ""class ="" airy-audio-container ""style = ""opacity: 0; visibility: hidden; ""&gt; &lt;div tabindex ="" - 1 ""class ="" airy-audio-track-bar ""style ="" height: 80%; ""&gt; &lt;div tabindex ="" - 1 "&amp;"""class ="" airy-audio- Scrubber-bar ""style ="" height: 85%; ""&gt; &lt;/ div&gt; &lt;div tabindex ="" - 1 ""class ="" airy-audio-scrubber ""style ="" height: 12px; bottom 85% ""&gt; &lt;/ div&gt; &lt;/ div&gt; &lt;/ div&gt; &lt;/ div&gt; &lt;div tabindex ="" - 1 ""class ="" airy-duration-label "&amp;"""style ="" float: right; width: 26px; margin-right: 4px; text-align: center; ""&gt; 0:00 &lt;/ div&gt; &lt;div tabindex ="" - 1 ""class ="" airy-track-bar-spacer-right ""style ="" float: right; width: 11px; ""&gt; &lt;/ div&gt; &lt;div tabindex ="" - 1 ""class ="" airy-track-ba"&amp;"r-container ""style ="" margin-left: 35px; margin-right: 75px; ""&gt; &lt;div tabindex ="" - 1 ""class ="" airy-airy-track-bar vertically-centering-table ""&gt; &lt;div tabindex ="" - 1 ""class ="" airy-Vertical-centering- table-cell ""&gt; &lt;div tabindex ="" - 1 ""class"&amp;" ="" airy-track-bar-elements ""&gt; &lt;div tabindex ="" - 1 ""class ="" airy-progress-bar ""&gt; &lt;/ div&gt; &lt;div tabindex = ""- 1"" class = ""airy-scrubber-bar""&gt; &lt;/ div&gt; &lt;div tabindex = ""- 1"" class = ""airy-scrubber""&gt; &lt;div tabindex = ""- 1"" class = ""airy-scrub"&amp;"ber- icon ""&gt; &lt;/ div&gt; &lt;div tabindex ="" - 1 ""class ="" airy-adjusted-AUI-tooltip ""style ="" opacity: 0; visibility: hidden; ""&gt; &lt;div tabindex ="" - 1 ""class ="" airy-adjusted-aui-tooltip-inner ""&gt; &lt;div tabindex ="" - 1 ""class ="" airy-current-time-lab"&amp;"el ""&gt; 0: 00 &lt;/ div&gt; &lt;/ div&gt; &lt;div tabindex = ""- 1"" class = ""airy-adjusted-AUI-arrow-border""&gt; &lt;div tabindex = ""- 1"" class = ""airy-adjusted-AUI-arrow"" &gt; &lt;/ div&gt; &lt;/ div&gt; &lt;/ div&gt; &lt;/ div&gt; &lt;/ div&gt; &lt;/ div&gt; &lt;/ div&gt; &lt;/ div&gt; &lt;/ div&gt; &lt;/ div&gt; &lt;div tabindex = "&amp;"""- 1"" class = ""airy-age-gate airy-stage airy-Vertical-centering-table airy-dialog"" style = ""opacity: 0; visibility: hidden; ""&gt; &lt;div tabindex ="" - 1 ""class ="" airy-age-gate-Vertical-centering-table-cell airy-Vertical-centering-table-cell ""&gt; &lt;div "&amp;"tabindex ="" - 1 ""class = ""airy-Vertical-centering-wrapper airy-age-gate-elements-wrapper""&gt; &lt;div tabindex = ""- 1"" class = ""airy-age-gate-elements airy-dialog-elements""&gt; &lt;div tabindex = "" -1 ""class ="" airy-age-gate-prompt ""&gt; This video is not In"&amp;"tended for all audiences What date were you born &lt;/ div&gt; &lt;div tabindex =.?"" - 1 ""class ="" airy-age-gate -inputs airy-dialog-inner-elements ""&gt; &lt;select tabindex ="" - 1 ""class ="" airy-age-gate-month ""&gt; &lt;option value ="" 1 ""&gt; January &lt;/ option&gt; &lt;opti"&amp;"on value ="" 2 ""&gt; February &lt;/ option&gt; &lt;option value ="" 3 ""&gt; March &lt;/ option&gt; &lt;option value ="" 4 ""&gt; April &lt;/ option&gt; &lt;option value ="" 5 ""&gt; May &lt;/ option&gt; &lt;option value = ""6""&gt; June &lt;/ option&gt; &lt;option value = ""7""&gt; July &lt;/ option&gt; &lt;option value = "&amp;"""8""&gt; August &lt;/ option&gt; &lt;option value = ""9""&gt; September &lt;/ option&gt; &lt;option value = ""10""&gt; October &lt;/ option&gt; &lt;option value = ""11""&gt; November &lt;/ option&gt; &lt;option value = ""12""&gt; December &lt;/ option&gt; &lt;/ select&gt; &lt;select tabindex = ""- 1"" class = ""airy-ag"&amp;"e-gate-day""&gt; &lt;opti on value = ""1""&gt; 1 &lt;/ option&gt; &lt;option value = ""2""&gt; 2 &lt;/ option&gt; &lt;option value = ""3""&gt; 3 &lt;/ option&gt; &lt;option value = ""4""&gt; 4 &lt;/ option &gt; &lt;option value = ""5""&gt; 5 &lt;/ option&gt; &lt;option value = ""6""&gt; 6 &lt;/ option&gt; &lt;option value = ""7""&gt; "&amp;"7 &lt;/ option&gt; &lt;option value = ""8""&gt; 8 &lt; / option&gt; &lt;option value = ""9""&gt; 9 &lt;/ option&gt; &lt;option value = ""10""&gt; 10 &lt;/ option&gt; &lt;option value = ""11""&gt; 11 &lt;/ option&gt; &lt;option value = ""12""&gt; 12 &lt;/ option&gt; &lt;option value = ""13""&gt; 13 &lt;/ option&gt; &lt;option value = "&amp;"""14""&gt; 14 &lt;/ option&gt; &lt;option value = ""15""&gt; 15 &lt;/ option&gt; &lt;option value = ""16 ""&gt; 16 &lt;/ option&gt; &lt;option value ="" 17 ""&gt; 17 &lt;/ option&gt; &lt;option value ="" 18 ""&gt; 18 &lt;/ option&gt; &lt;option value ="" 19 ""&gt; 19 &lt;/ option&gt; &lt;option value = ""20""&gt; 20 &lt;/ option&gt; &lt;"&amp;"option value = ""21""&gt; 21 &lt;/ option&gt; &lt;option value = ""22""&gt; 22 &lt;/ option&gt; &lt;option value = ""23""&gt; 23 &lt;/ option&gt; &lt;option value = ""24""&gt; 24 &lt;/ option&gt; &lt;option value = ""25""&gt; 25 &lt;/ option&gt; &lt;option value = ""26""&gt; 26 &lt;/ option&gt; &lt;option value = ""27""&gt; 27 &lt;"&amp;"/ option&gt; &lt;option value = ""28""&gt; 28 &lt;/ option&gt; &lt;option value = ""29""&gt; 29 &lt;/ option&gt; &lt;option value = ""30""&gt; 30 &lt;/ option&gt; &lt;option value = ""31""&gt; 31 &lt;/ option&gt; &lt;/ select&gt; &lt;select tabindex = ""- 1"" class = ""airy-age-gate-year""&gt; &lt;option value = ""2019"&amp;"""&gt; 2019 &lt;/ option&gt; &lt; option value = ""2018""&gt; 2018 &lt;/ option&gt; &lt;option value = ""2017""&gt; 2017 &lt;/ option&gt; &lt;option value = ""2016""&gt; ​​2016 &lt;/ option&gt; &lt;option value = ""2015""&gt; 2015 &lt;/ option &gt; &lt;option value = ""2014""&gt; 2014 &lt;/ option&gt; &lt;option value = ""201"&amp;"3""&gt; 2013 &lt;/ option&gt; &lt;option value = ""2012""&gt; 2012 &lt;/ option&gt; &lt;option value = ""2011""&gt; 2011 &lt; / option&gt; &lt;option value = ""2010""&gt; 2010 &lt;/ option&gt; &lt;option value = ""2009""&gt; 2009 &lt;/ option&gt; &lt;option value = ""2008""&gt; 2008 &lt;/ option&gt; &lt;option value = ""2007"&amp;"""&gt; 2007 &lt;/ option&gt; &lt;option value = ""2006""&gt; 2006 &lt;/ option&gt; &lt;option value = ""2005""&gt; 2005 &lt;/ option&gt; &lt;option value = ""2004""&gt; 2004 &lt;/ option&gt; &lt;option value = ""2003 ""&gt; 2003 &lt;/ option&gt; &lt;option value ="" 2002 ""&gt; 2002 &lt;/ option&gt; &lt;option value ="" 2001 "&amp;"""&gt; 2001 &lt;/ option&gt; &lt;option value ="" 2000 ""&gt; 2000 &lt;/ option&gt; &lt;option value = ""1999""&gt; 1999 &lt;/ option&gt; &lt;option value = ""1998""&gt; 1998 &lt;/ option&gt; &lt;option value = ""1997""&gt; 1997 &lt;/ option&gt; &lt;option value = ""1996""&gt; 1996 &lt;/ option&gt; &lt;option value = ""1995"""&amp;"&gt; 1995 &lt;/ option&gt; &lt;option value = ""1994""&gt; 1994 &lt;/ option&gt; &lt;option value = ""1993""&gt; 1993 &lt;/ option&gt; &lt;option value = ""1992""&gt; 1992 &lt;/ option&gt; &lt;option value = ""1991""&gt; 1991 &lt;/ option&gt; &lt;option value = ""1990""&gt; 1990 &lt;/ option&gt; &lt;option value = "" 1989 ""&gt;"&amp;" 1989 &lt;/ option&gt; &lt;option value ="" 1988 ""&gt; 1988 &lt;/ option&gt; &lt;option value ="" 1987 ""&gt; 1987 &lt;/ option&gt; &lt;option value ="" 1986 ""&gt; 1986 &lt;/ option&gt; &lt;value option = ""1985""&gt; 1985 &lt;/ option&gt; &lt;option value = ""1984""&gt; 1984 &lt;/ option&gt; &lt;option value = ""1983""&gt;"&amp;" 1983 &lt;/ option&gt; &lt;option value = ""1982""&gt; 1982 &lt;/ option&gt; &lt; option value = ""1981""&gt; 1981 &lt;/ option&gt; &lt;option value = ""1980""&gt; 1980 &lt;/ option&gt; &lt;option value = ""1979""&gt; 1979 &lt;/ option&gt; &lt;option value = ""1978""&gt; 1978 &lt;/ option &gt; &lt;option value = ""1977""&gt; "&amp;"1977 &lt;/ option&gt; &lt;option value = ""1976""&gt; 1976 &lt;/ option&gt; &lt;option value = ""1975""&gt; 1975 &lt;/ option&gt; &lt;option value = ""1974""&gt; 1974 &lt; / option&gt; &lt;option value = ""1973""&gt; 1973 &lt;/ option&gt; &lt;option value = ""1972""&gt; 1972 &lt;/ option&gt; &lt;option value = ""1971""&gt; 19"&amp;"71 &lt;/ option&gt; &lt;option value = ""1970""&gt; 1970 &lt;/ option&gt; &lt;option value = ""1969""&gt; 1969 &lt;/ option&gt; &lt;option value = ""1968""&gt; 1968 &lt;/ option&gt; &lt;option value = ""1967""&gt; 1967 &lt;/ option&gt; &lt;option value = ""1966 ""&gt; 1966 &lt;/ option&gt; &lt;option value ="" 1965 ""&gt; 196"&amp;"5 &lt;/ option&gt; &lt;option value ="" 1964 ""&gt; 1964 &lt;/ option&gt; &lt;option value ="" 1963 ""&gt; 1963 &lt;/ option&gt; &lt;option value = ""1962""&gt; 1962 &lt;/ option&gt; &lt;option value = ""1961""&gt; 1961 &lt;/ option&gt; &lt;option value = ""1960""&gt; 1960 &lt;/ op tion&gt; &lt;option value = ""1959""&gt; 195"&amp;"9 &lt;/ option&gt; &lt;option value = ""1958""&gt; 1958 &lt;/ option&gt; &lt;option value = ""1957""&gt; 1957 &lt;/ option&gt; &lt;option value = ""1956""&gt; 1956 &lt;/ option&gt; &lt;option value = ""1955""&gt; 1955 &lt;/ option&gt; &lt;option value = ""1954""&gt; 1954 &lt;/ option&gt; &lt;option value = ""1953""&gt; 1953 &lt;"&amp;"/ option&gt; &lt;option value = ""1952"" &gt; 1952 &lt;/ option&gt; &lt;option value = ""1951""&gt; 1951 &lt;/ option&gt; &lt;option value = ""1950""&gt; 1950 &lt;/ option&gt; &lt;option value = ""1949""&gt; 1949 &lt;/ option&gt; &lt;option value = "" 1948 ""&gt; 1948 &lt;/ option&gt; &lt;option value ="" 1947 ""&gt; 1947 "&amp;"&lt;/ option&gt; &lt;option value ="" 1946 ""&gt; 1946 &lt;/ option&gt; &lt;option value ="" 1945 ""&gt; 1945 &lt;/ option&gt; &lt;value option = ""1944""&gt; 1944 &lt;/ option&gt; &lt;option value = ""1943""&gt; 1943 &lt;/ option&gt; &lt;option value = ""1942""&gt; 1942 &lt;/ option&gt; &lt;option value = ""1941""&gt; 1941 &lt;"&amp;"/ option&gt; &lt; option value = ""1940""&gt; 1940 &lt;/ option&gt; &lt;option value = ""1939""&gt; 1939 &lt;/ option&gt; &lt;option value = ""1938""&gt; 1938 &lt;/ option&gt; &lt;option value = ""1937""&gt; 1937 &lt;/ option &gt; &lt;option value = ""1936""&gt; 1936 &lt;/ option&gt; &lt;option value = ""1935""&gt; 1935 &lt;/"&amp;" option&gt; &lt;option value = ""1934""&gt; 1934 &lt;/ option&gt; &lt;option value = ""1933""&gt; 1933 &lt; / option&gt; &lt;option value = ""1932""&gt; 1932 &lt;/ option&gt; &lt;option value = ""1931""&gt; 1931 &lt;/ option&gt; &lt;option v alue = ""1930""&gt; 1930 &lt;/ option&gt; &lt;option value = ""1929""&gt; 1929 &lt;/ "&amp;"option&gt; &lt;option value = ""1928""&gt; 1928 &lt;/ option&gt; &lt;option value = ""1927""&gt; 1927 &lt;/ option&gt; &lt;option value = ""1926""&gt; 1926 &lt;/ option&gt; &lt;option value = ""1925""&gt; 1925 &lt;/ option&gt; &lt;option value = ""1924""&gt; 1924 &lt;/ option&gt; &lt;option value = ""1923""&gt; 1923 &lt;/ opt"&amp;"ion&gt; &lt;option value = ""1922""&gt; 1922 &lt;/ option&gt; &lt;option value = ""1921""&gt; 1921 &lt;/ option&gt; &lt;option value = ""1920""&gt; 1920 &lt;/ option&gt; &lt;option value = ""1919""&gt; 1919 &lt;/ option&gt; &lt;option value = ""1918""&gt; 1918 &lt;/ option&gt; &lt;option value = ""1917""&gt; 1917 &lt;/ option"&amp;"&gt; &lt;option value = ""1916""&gt; 1916 &lt;/ option&gt; &lt;option value = ""1915"" &gt; 1915 &lt;/ option&gt; &lt;option value = ""1914""&gt; 1914 &lt;/ option&gt; &lt;option value = ""1913""&gt; 1913 &lt;/ option&gt; &lt;option value = ""1912""&gt; 1912 &lt;/ option&gt; &lt;option value = "" 1911 ""&gt; 1911 &lt;/ option"&amp;"&gt; &lt;option value ="" 1910 ""&gt; 1910 &lt;/ option&gt; &lt;option value ="" 1909 ""&gt; 1909 &lt;/ option&gt; &lt;option value ="" 1908 ""&gt; 1908 &lt;/ option&gt; &lt;value option = ""1907""&gt; 1907 &lt;/ option&gt; &lt;option value = ""1906""&gt; 1906 &lt;/ option&gt; &lt;option value = ""1905""&gt; 1905 &lt;/ option"&amp;"&gt; &lt;option value = ""1904""&gt; 1904 &lt;/ option&gt; &lt; option value = ""1903""&gt; 1903 &lt;/ option&gt; &lt;option value = ""1902""&gt; 1902 &lt;/ option&gt; &lt;option value = ""1901""&gt; 19 01 &lt;/ option&gt; &lt;option value = ""1900""&gt; 1900 &lt;/ option&gt; &lt;/ select&gt; &lt;div tabindex = ""- 1"" class "&amp;"= ""airy-age-gate-submit airy-submit-button airy airy-submit- disabled ""&gt; Submit &lt;/ div&gt; &lt;/ div&gt; &lt;/ div&gt; &lt;/ div&gt; &lt;/ div&gt; &lt;/ div&gt; &lt;div tabindex ="" - 1 ""class ="" airy-install-flash-dialog airy-stage airy -vertical-centering-table-dialog airy airy-denied"&amp;" ""style ="" opacity: 0; visibility: hidden; ""&gt; &lt;div tabindex ="" - 1 ""class ="" airy-install-flash-Vertical-centering-table-cell airy-Vertical-centering-table-cell ""&gt; &lt;div tabindex ="" - 1 ""class = ""airy-Vertical-centering-wrapper airy-install-flash"&amp;"-elements-wrapper""&gt; &lt;div tabindex = ""- 1"" class = ""airy-install-flash-elements airy-dialog-elements""&gt; &lt;div tabindex = "" -1 ""class ="" airy-install-flash-prompt ""&gt; Adobe Flash Player is required to watch this video &lt;/ div&gt; &lt;div tabindex =."" - 1 """&amp;"class ="" airy-install-flash-button-wrapper airy -dialog-inner-elements ""&gt; &lt;div tabindex ="" - 1 ""class ="" airy-install-flash-button airy-button ""&gt; install Flash Player &lt;/ div&gt; &lt;/ div&gt; &lt;/ div&gt; &lt;/ div&gt; &lt;/ div&gt; &lt;/ div&gt; &lt;div tabindex = ""- 1"" class = """&amp;"airy-video-unsupported-dialog airy-stage airy-Vertical-centering-table airy-dialog airy-denied"" style = ""opacity: 0; visibility: hidden; ""&gt; &lt;div tabindex ="" - 1 ""class ="" airy-video-unsupported-Vertical-centering-table-cell airy-Vertical-centering-t"&amp;"able-cell ""&gt; &lt;div tabindex ="" - 1 ""class = ""airy-Vertical-centering-wrapper airy-video-unsupported-elements-wrapper""&gt; &lt;div tabindex = ""- 1"" class = ""airy-video-unsupported-elements airy-dialog-elements""&gt; &lt;div tabindex = "" -1 ""class ="" airy-vid"&amp;"eo-unsupported-prompt ""&gt; &lt;/ div&gt; &lt;/ div&gt; &lt;/ div&gt; &lt;/ div&gt; &lt;/ div&gt; &lt;div tabindex ="" - 1 ""class ="" airy-loading- spinner-stage airy-stage ""&gt; &lt;div tabindex ="" - 1 ""class ="" airy-loading-spinner-Vertical-centering-table-cell airy-Vertical-centering-tab"&amp;"le-cell ""&gt; &lt;div tabindex ="" - 1 ""class ="" airy-loading-spinner-container airy-scalable-hint-container ""&gt; &lt;div tabindex ="" - 1 ""class ="" airy-loading-spinner-dummy airy-scalable-dummy ""&gt; &lt;/ div&gt; &lt; div tabindex = ""- 1"" class = ""airy-loading-spin"&amp;"ner airy-hint"" style = ""visibility: hidden;""&gt; &lt;/ div&gt; &lt;/ div&gt; &lt;/ div&gt; &lt;/ div&gt; &lt;div tabindex = ""- 1 ""class ="" airy-ads-screen-size-toggle airy-screen-size-toggle-fullscreen airy ""style ="" visibility: hidden; ""&gt; &lt;/ div&gt; &lt;div tabindex = ""-1"" class"&amp;" = ""airy-ad-prompt-container"" style = ""visibility: hidden;""&gt; &lt;div tabindex = ""- 1"" class = ""airy-ad-prompt-Vertical-centering-table-vertically airy centering-table ""&gt; &lt;div tabindex ="" - 1 ""class ="" airy-ad-prompt-Vertical-centering-table-cell a"&amp;"iry-Vertical-centering-table-cell ""&gt; &lt;div tabindex ="" - 1 ""class = ""airy-ad-prompt-label""&gt; &lt;/ div&gt; &lt;/ div&gt; &lt;/ div&gt; &lt;/ div&gt; &lt;div tabindex = ""- 1"" class = ""airy-ads-controls-container"" style = ""visibility: hidden; ""&gt; &lt;div tabindex ="" - 1 ""class"&amp;" ="" airy-ads-audio-toggle airy-audio-toggle airy-on ""style ="" visibility: hidden; ""&gt; &lt;/ div&gt; &lt;div tabindex ="" - 1 ""class ="" airy-time-remaining-label-container ""&gt; &lt;div tabindex ="" - 1 ""class ="" airy-time-remaining-Vertical-centering-table airy-"&amp;"Vertical-centering-table ""&gt; &lt;div tabindex = ""- 1"" class = ""airy-time-remaining-Vertical-centering-table-cell airy-Vertical-centering-table-cell""&gt; &lt;div tabindex = ""- 1"" class = ""airy-Vertical-centering-wrapper airy-time-remaining-label-wrapper ""&gt; "&amp;"&lt;div tabindex ="" - 1 ""class ="" airy-time-remaining-label ""style ="" visibility: hidden; ""&gt; &lt;/ div&gt; &lt;div tabi ndex = ""- 1"" class = ""airy-ad-skip"" style = ""visibility: hidden;""&gt; &lt;/ div&gt; &lt;div tabindex = ""- 1"" class = ""airy-ad-end"" style = ""vi"&amp;"sibility: hidden ""&gt; &lt;/ div&gt; &lt;/ div&gt; &lt;/ div&gt; &lt;/ div&gt; &lt;/ div&gt; &lt;div tabindex ="" - 1 ""class ="" airy-learn-more ""style ="" visibility: hidden; ""&gt; &lt;/ div&gt; &lt;/ div&gt; &lt;div tabindex = ""- 1"" class = ""airy-play-toggle-hint-stage airy-stage airy-cursor""&gt; &lt;div"&amp;" tabindex = ""- 1"" class = ""airy-play -toggle-hint-Vertical-centering-table-cell airy-Vertical-centering-table-cell airy-cursor ""&gt; &lt;div tabindex ="" - 1 ""class ="" airy-play-toggle-hint-container airy-scalable- Hint-container ""&gt; &lt;div tabindex ="" - 1"&amp;" ""class ="" airy-play-toggle-hint-dummy airy-scalable-dummy ""&gt; &lt;/ div&gt; &lt;div tabindex ="" - 1 ""class ="" airy-play -toggle-hint hint airy-airy-play-hint ""style ="" opacity: 1; visibility: visible; ""&gt; &lt;/ div&gt; &lt;/ div&gt; &lt;/ div&gt; &lt;/ div&gt; &lt;div tabindex ="" -"&amp;" 1 ""class ="" airy-replay-hint-stage airy-stage ""style ="" visibility: hidden ; ""&gt; &lt;div tabindex ="" - 1 ""class ="" airy-replay-hint-Vertical-centering-table-cell airy-Vertical-centering-table-cell airy-cursor ""&gt; &lt;div tabindex ="" - 1 ""class = ""air"&amp;"y-replay-hint-container airy-scalable-hint-container""&gt; &lt;div tabindex = ""- 1"" class = ""airy-replay-hint-dummy airy-scalable-dummy""&gt; &lt;/ div&gt; &lt;div tabindex = ""- 1"" class = ""airy-replay-hint airy-hint""&gt; &lt;/ div&gt; &lt;/ div&gt; &lt;/ div&gt; &lt;/ div&gt; &lt;div tabindex ="&amp;" ""- 1"" class = ""airy-autoplay-hint -stage airy-stage ""style ="" visibility: hidden; ""&gt; &lt;div tabindex ="" - 1 ""class ="" airy-autoplay-hint-Vertical-centering-table-cell airy-Vertical-centering-table-cell airy- cursor ""&gt; &lt;div tabindex ="" - 1 ""clas"&amp;"s ="" autoplay airy-airy-hint-container-scalable-hint-container ""&gt; &lt;div tabindex ="" - 1 ""class ="" airy-autoplay-hint-dummy airy- scalable-dummy ""&gt; &lt;/ div&gt; &lt;/ div&gt; &lt;/ div&gt; &lt;/ div&gt; &lt;/ div&gt; &lt;/ div&gt; &lt;input type ="" hidden ""name ="" ""value ="" https: //"&amp;" images-eu .ssl-images-amazon.com / images / I / D1Mzza91-3S.mp4 ""Class ="" video-url ""&gt; &lt;input type ="" hidden ""name ="" ""value ="" https://images-eu.ssl-images-amazon.com/images/I/919+CMIQm3S.png ""class = ""video-slate-img-url""&gt; &amp; nbsp; I liked th"&amp;"e design and quality of the housing of the engine is very nice and polished steel. In addition when you turn the buttons are backlit by blue LED, and has a very modern look and design. The engine has 1200 watts, enough for home use. Generally it has good "&amp;"details and good finishes, power and fucniones more than sufienciente. It dismantles well to clean and has nothing strange. I have not gustadovarias things. It has details that are too plastic, such as the safety switch of the attachment of the glass vess"&amp;"el is a plastic clip with a spring, seemingly fragile. The blades are made of steel, although not the best for this type of mixer, there are other types of blades of higher quality. Resumiento. The quality is good, and enough power for domestic use is not"&amp;" intended for professional or intensive use. For that there are other machines with more power and quality. Value: Well, I think it is expensive. Simply put in the search box Amazón ""blender cup 1200"". After everyone has to decide what you want to buy. "&amp;"Given the guarantee and experience offered by each brand.")</f>
        <v>Very nice and good quality. Half price. &lt;Div id = "video-block-R34RVO1W62LHPS" class = "section a-a-a-spacing-small spacing-top-video mini-block"&gt; &lt;div tabindex = "0" class = "airy airy-svg vmin- supported airy-skin-beacon "style =" background-color: rgb (0, 0, 0) position: relative; width: 100%; height: 100%; font-size: 0px; overflow: hidden; outline: none ; "&gt; &lt;div class =" airy-renderer-container "style =" position: relative; height: 100%; width: 100%; "&gt; &lt;video id =" 7 "preload =" auto "src =" https: //images-eu.ssl-images-amazon.com/images/I/D1Mzza91-3S.mp4 "style =" position: absolute; left: 0px; top: 0px; overflow: hidden; height: 1px; width: 1px ; "&gt; &lt;/ video&gt; &lt;/ div&gt; &lt;div id =" airy-slate-preload "style =" background-color: rgb (0, 0, 0); background-image: url (&amp; quot; https: // images-eu.ssl-images-amazon.com/images/I/919+CMIQm3S.png&amp;quot;); background-size: Contain; background-position: center center; background-repeat: no-repeat; position: absolute; top : 0px; left: 0px; visibility: visible; width: 100%; height: 100%; "&gt; &lt;/ div&gt; &lt;iframe scrolling =" no "frameborder = "0" src = "about: blank" style = "display: none;"&gt; &lt;/ iframe&gt; &lt;div tabindex = "- 1" class = "airy-controls-container" style = "opacity: 0; visibility: hidden; "&gt; &lt;div tabindex =" - 1 "class =" airy-screen-size-toggle airy-fullscreen "&gt; &lt;/ div&gt; &lt;div tabindex =" - 1 "class =" airy-container-bottom " &gt; &lt;div tabindex = "- 1" class = "airy-track-bar-spacer-left" style = "width: 11px;"&gt; &lt;/ div&gt; &lt;div tabindex = "- 1" class = "airy-play- airy toggle-play "style =" width: 12px; margin-right: 12px; "&gt; &lt;/ div&gt; &lt;div tabindex =" - 1 "class =" airy-audio-elements "style =" float: right; width: 34px; "&gt; &lt;div tabindex =" - 1 "class =" airy-audio-toggle airy-on "&gt; &lt;/ div&gt; &lt;div tabindex =" - 1 "class =" airy-audio-container "style = "opacity: 0; visibility: hidden; "&gt; &lt;div tabindex =" - 1 "class =" airy-audio-track-bar "style =" height: 80%; "&gt; &lt;div tabindex =" - 1 "class =" airy-audio- Scrubber-bar "style =" height: 85%; "&gt; &lt;/ div&gt; &lt;div tabindex =" - 1 "class =" airy-audio-scrubber "style =" height: 12px; bottom 85% "&gt; &lt;/ div&gt; &lt;/ div&gt; &lt;/ div&gt; &lt;/ div&gt; &lt;div tabindex =" - 1 "class =" airy-duration-label "style =" float: right; width: 26px; margin-right: 4px; text-align: center; "&gt; 0:00 &lt;/ div&gt; &lt;div tabindex =" - 1 "class =" airy-track-bar-spacer-right "style =" float: right; width: 11px; "&gt; &lt;/ div&gt; &lt;div tabindex =" - 1 "class =" airy-track-bar-container "style =" margin-left: 35px; margin-right: 75px; "&gt; &lt;div tabindex =" - 1 "class =" airy-airy-track-bar vertically-centering-table "&gt; &lt;div tabindex =" - 1 "class =" airy-Vertical-centering- table-cell "&gt; &lt;div tabindex =" - 1 "class =" airy-track-bar-elements "&gt; &lt;div tabindex =" - 1 "class =" airy-progress-bar "&gt; &lt;/ div&gt; &lt;div tabindex = "- 1" class = "airy-scrubber-bar"&gt; &lt;/ div&gt; &lt;div tabindex = "- 1" class = "airy-scrubber"&gt; &lt;div tabindex = "- 1" class = "airy-scrubber- icon "&gt; &lt;/ div&gt; &lt;div tabindex =" - 1 "class =" airy-adjusted-AUI-tooltip "style =" opacity: 0; visibility: hidden; "&gt; &lt;div tabindex =" - 1 "class =" airy-adjusted-aui-tooltip-inner "&gt; &lt;div tabindex =" - 1 "class =" airy-current-time-label "&gt; 0: 00 &lt;/ div&gt; &lt;/ div&gt; &lt;div tabindex = "- 1" class = "airy-adjusted-AUI-arrow-border"&gt; &lt;div tabindex = "- 1" class = "airy-adjusted-AUI-arrow" &gt; &lt;/ div&gt; &lt;/ div&gt; &lt;/ div&gt; &lt;/ div&gt; &lt;/ div&gt; &lt;/ div&gt; &lt;/ div&gt; &lt;/ div&gt; &lt;/ div&gt; &lt;/ div&gt; &lt;div tabindex = "- 1" class = "airy-age-gate airy-stage airy-Vertical-centering-table airy-dialog" style = "opacity: 0; visibility: hidden; "&gt; &lt;div tabindex =" - 1 "class =" airy-age-gate-Vertical-centering-table-cell airy-Vertical-centering-table-cell "&gt; &lt;div tabindex =" - 1 "class = "airy-Vertical-centering-wrapper airy-age-gate-elements-wrapper"&gt; &lt;div tabindex = "- 1" class = "airy-age-gate-elements airy-dialog-elements"&gt; &lt;div tabindex = " -1 "class =" airy-age-gate-prompt "&gt; This video is not Intended for all audiences What date were you born &lt;/ div&gt; &lt;div tabindex =.?" - 1 "class =" airy-age-gate -inputs airy-dialog-inner-elements "&gt; &lt;select tabindex =" - 1 "class =" airy-age-gate-month "&gt; &lt;option value =" 1 "&gt; January &lt;/ option&gt; &lt;option value =" 2 "&gt; February &lt;/ option&gt; &lt;option value =" 3 "&gt; March &lt;/ option&gt; &lt;option value =" 4 "&gt; April &lt;/ option&gt; &lt;option value =" 5 "&gt; May &lt;/ option&gt; &lt;option value = "6"&gt; June &lt;/ option&gt; &lt;option value = "7"&gt; July &lt;/ option&gt; &lt;option value = "8"&gt; August &lt;/ option&gt; &lt;option value = "9"&gt; September &lt;/ option&gt; &lt;option value = "10"&gt; October &lt;/ option&gt; &lt;option value = "11"&gt; November &lt;/ option&gt; &lt;option value = "12"&gt; December &lt;/ option&gt; &lt;/ select&gt; &lt;select tabindex = "- 1" class = "airy-age-gate-day"&gt; &lt;opti on value = "1"&gt; 1 &lt;/ option&gt; &lt;option value = "2"&gt; 2 &lt;/ option&gt; &lt;option value = "3"&gt; 3 &lt;/ option&gt; &lt;option value = "4"&gt; 4 &lt;/ option &gt; &lt;option value = "5"&gt; 5 &lt;/ option&gt; &lt;option value = "6"&gt; 6 &lt;/ option&gt; &lt;option value = "7"&gt; 7 &lt;/ option&gt; &lt;option value = "8"&gt; 8 &lt; / option&gt; &lt;option value = "9"&gt; 9 &lt;/ option&gt; &lt;option value = "10"&gt; 10 &lt;/ option&gt; &lt;option value = "11"&gt; 11 &lt;/ option&gt; &lt;option value = "12"&gt; 12 &lt;/ option&gt; &lt;option value = "13"&gt; 13 &lt;/ option&gt; &lt;option value = "14"&gt; 14 &lt;/ option&gt; &lt;option value = "15"&gt; 15 &lt;/ option&gt; &lt;option value = "16 "&gt; 16 &lt;/ option&gt; &lt;option value =" 17 "&gt; 17 &lt;/ option&gt; &lt;option value =" 18 "&gt; 18 &lt;/ option&gt; &lt;option value =" 19 "&gt; 19 &lt;/ option&gt; &lt;option value = "20"&gt; 20 &lt;/ option&gt; &lt;option value = "21"&gt; 21 &lt;/ option&gt; &lt;option value = "22"&gt; 22 &lt;/ option&gt; &lt;option value = "23"&gt; 23 &lt;/ option&gt; &lt;option value = "24"&gt; 24 &lt;/ option&gt; &lt;option value = "25"&gt; 25 &lt;/ option&gt; &lt;option value = "26"&gt; 26 &lt;/ option&gt; &lt;option value = "27"&gt; 27 &lt;/ option&gt; &lt;option value = "28"&gt; 28 &lt;/ option&gt; &lt;option value = "29"&gt; 29 &lt;/ option&gt; &lt;option value = "30"&gt; 30 &lt;/ option&gt; &lt;option value = "31"&gt; 31 &lt;/ option&gt; &lt;/ select&gt; &lt;select tabindex = "- 1" class = "airy-age-gate-year"&gt; &lt;option value = "2019"&gt; 2019 &lt;/ option&gt; &lt; option value = "2018"&gt; 2018 &lt;/ option&gt; &lt;option value = "2017"&gt; 2017 &lt;/ option&gt; &lt;option value = "2016"&gt; ​​2016 &lt;/ option&gt; &lt;option value = "2015"&gt; 2015 &lt;/ option &gt; &lt;option value = "2014"&gt; 2014 &lt;/ option&gt; &lt;option value = "2013"&gt; 2013 &lt;/ option&gt; &lt;option value = "2012"&gt; 2012 &lt;/ option&gt; &lt;option value = "2011"&gt; 2011 &lt; / option&gt; &lt;option value = "2010"&gt; 2010 &lt;/ option&gt; &lt;option value = "2009"&gt; 2009 &lt;/ option&gt; &lt;option value = "2008"&gt; 2008 &lt;/ option&gt; &lt;option value = "2007"&gt; 2007 &lt;/ option&gt; &lt;option value = "2006"&gt; 2006 &lt;/ option&gt; &lt;option value = "2005"&gt; 2005 &lt;/ option&gt; &lt;option value = "2004"&gt; 2004 &lt;/ option&gt; &lt;option value = "2003 "&gt; 2003 &lt;/ option&gt; &lt;option value =" 2002 "&gt; 2002 &lt;/ option&gt; &lt;option value =" 2001 "&gt; 2001 &lt;/ option&gt; &lt;option value =" 2000 "&gt; 2000 &lt;/ option&gt; &lt;option value = "1999"&gt; 1999 &lt;/ option&gt; &lt;option value = "1998"&gt; 1998 &lt;/ option&gt; &lt;option value = "1997"&gt; 1997 &lt;/ option&gt; &lt;option value = "1996"&gt; 1996 &lt;/ option&gt; &lt;option value = "1995"&gt; 1995 &lt;/ option&gt; &lt;option value = "1994"&gt; 1994 &lt;/ option&gt; &lt;option value = "1993"&gt; 1993 &lt;/ option&gt; &lt;option value = "1992"&gt; 1992 &lt;/ option&gt; &lt;option value = "1991"&gt; 1991 &lt;/ option&gt; &lt;option value = "1990"&gt; 1990 &lt;/ option&gt; &lt;option value = " 1989 "&gt; 1989 &lt;/ option&gt; &lt;option value =" 1988 "&gt; 1988 &lt;/ option&gt; &lt;option value =" 1987 "&gt; 1987 &lt;/ option&gt; &lt;option value =" 1986 "&gt; 1986 &lt;/ option&gt; &lt;value option = "1985"&gt; 1985 &lt;/ option&gt; &lt;option value = "1984"&gt; 1984 &lt;/ option&gt; &lt;option value = "1983"&gt; 1983 &lt;/ option&gt; &lt;option value = "1982"&gt; 1982 &lt;/ option&gt; &lt; option value = "1981"&gt; 1981 &lt;/ option&gt; &lt;option value = "1980"&gt; 1980 &lt;/ option&gt; &lt;option value = "1979"&gt; 1979 &lt;/ option&gt; &lt;option value = "1978"&gt; 1978 &lt;/ option &gt; &lt;option value = "1977"&gt; 1977 &lt;/ option&gt; &lt;option value = "1976"&gt; 1976 &lt;/ option&gt; &lt;option value = "1975"&gt; 1975 &lt;/ option&gt; &lt;option value = "1974"&gt; 1974 &lt; / option&gt; &lt;option value = "1973"&gt; 1973 &lt;/ option&gt; &lt;option value = "1972"&gt; 1972 &lt;/ option&gt; &lt;option value = "1971"&gt; 1971 &lt;/ option&gt; &lt;option value = "1970"&gt; 1970 &lt;/ option&gt; &lt;option value = "1969"&gt; 1969 &lt;/ option&gt; &lt;option value = "1968"&gt; 1968 &lt;/ option&gt; &lt;option value = "1967"&gt; 1967 &lt;/ option&gt; &lt;option value = "1966 "&gt; 1966 &lt;/ option&gt; &lt;option value =" 1965 "&gt; 1965 &lt;/ option&gt; &lt;option value =" 1964 "&gt; 1964 &lt;/ option&gt; &lt;option value =" 1963 "&gt; 1963 &lt;/ option&gt; &lt;option value = "1962"&gt; 1962 &lt;/ option&gt; &lt;option value = "1961"&gt; 1961 &lt;/ option&gt; &lt;option value = "1960"&gt; 1960 &lt;/ op tion&gt; &lt;option value = "1959"&gt; 1959 &lt;/ option&gt; &lt;option value = "1958"&gt; 1958 &lt;/ option&gt; &lt;option value = "1957"&gt; 1957 &lt;/ option&gt; &lt;option value = "1956"&gt; 1956 &lt;/ option&gt; &lt;option value = "1955"&gt; 1955 &lt;/ option&gt; &lt;option value = "1954"&gt; 1954 &lt;/ option&gt; &lt;option value = "1953"&gt; 1953 &lt;/ option&gt; &lt;option value = "1952" &gt; 1952 &lt;/ option&gt; &lt;option value = "1951"&gt; 1951 &lt;/ option&gt; &lt;option value = "1950"&gt; 1950 &lt;/ option&gt; &lt;option value = "1949"&gt; 1949 &lt;/ option&gt; &lt;option value = " 1948 "&gt; 1948 &lt;/ option&gt; &lt;option value =" 1947 "&gt; 1947 &lt;/ option&gt; &lt;option value =" 1946 "&gt; 1946 &lt;/ option&gt; &lt;option value =" 1945 "&gt; 1945 &lt;/ option&gt; &lt;value option = "1944"&gt; 1944 &lt;/ option&gt; &lt;option value = "1943"&gt; 1943 &lt;/ option&gt; &lt;option value = "1942"&gt; 1942 &lt;/ option&gt; &lt;option value = "1941"&gt; 1941 &lt;/ option&gt; &lt; option value = "1940"&gt; 1940 &lt;/ option&gt; &lt;option value = "1939"&gt; 1939 &lt;/ option&gt; &lt;option value = "1938"&gt; 1938 &lt;/ option&gt; &lt;option value = "1937"&gt; 1937 &lt;/ option &gt; &lt;option value = "1936"&gt; 1936 &lt;/ option&gt; &lt;option value = "1935"&gt; 1935 &lt;/ option&gt; &lt;option value = "1934"&gt; 1934 &lt;/ option&gt; &lt;option value = "1933"&gt; 1933 &lt; / option&gt; &lt;option value = "1932"&gt; 1932 &lt;/ option&gt; &lt;option value = "1931"&gt; 1931 &lt;/ option&gt; &lt;option v alue = "1930"&gt; 1930 &lt;/ option&gt; &lt;option value = "1929"&gt; 1929 &lt;/ option&gt; &lt;option value = "1928"&gt; 1928 &lt;/ option&gt; &lt;option value = "1927"&gt; 1927 &lt;/ option&gt; &lt;option value = "1926"&gt; 1926 &lt;/ option&gt; &lt;option value = "1925"&gt; 1925 &lt;/ option&gt; &lt;option value = "1924"&gt; 1924 &lt;/ option&gt; &lt;option value = "1923"&gt; 1923 &lt;/ option&gt; &lt;option value = "1922"&gt; 1922 &lt;/ option&gt; &lt;option value = "1921"&gt; 1921 &lt;/ option&gt; &lt;option value = "1920"&gt; 1920 &lt;/ option&gt; &lt;option value = "1919"&gt; 1919 &lt;/ option&gt; &lt;option value = "1918"&gt; 1918 &lt;/ option&gt; &lt;option value = "1917"&gt; 1917 &lt;/ option&gt; &lt;option value = "1916"&gt; 1916 &lt;/ option&gt; &lt;option value = "1915" &gt; 1915 &lt;/ option&gt; &lt;option value = "1914"&gt; 1914 &lt;/ option&gt; &lt;option value = "1913"&gt; 1913 &lt;/ option&gt; &lt;option value = "1912"&gt; 1912 &lt;/ option&gt; &lt;option value = " 1911 "&gt; 1911 &lt;/ option&gt; &lt;option value =" 1910 "&gt; 1910 &lt;/ option&gt; &lt;option value =" 1909 "&gt; 1909 &lt;/ option&gt; &lt;option value =" 1908 "&gt; 1908 &lt;/ option&gt; &lt;value option = "1907"&gt; 1907 &lt;/ option&gt; &lt;option value = "1906"&gt; 1906 &lt;/ option&gt; &lt;option value = "1905"&gt; 1905 &lt;/ option&gt; &lt;option value = "1904"&gt; 1904 &lt;/ option&gt; &lt; option value = "1903"&gt; 1903 &lt;/ option&gt; &lt;option value = "1902"&gt; 1902 &lt;/ option&gt; &lt;option value = "1901"&gt; 19 01 &lt;/ option&gt; &lt;option value = "1900"&gt; 1900 &lt;/ option&gt; &lt;/ select&gt; &lt;div tabindex = "- 1" class = "airy-age-gate-submit airy-submit-button airy airy-submit- disabled "&gt; Submit &lt;/ div&gt; &lt;/ div&gt; &lt;/ div&gt; &lt;/ div&gt; &lt;/ div&gt; &lt;/ div&gt; &lt;div tabindex =" - 1 "class =" airy-install-flash-dialog airy-stage airy -vertical-centering-table-dialog airy airy-denied "style =" opacity: 0; visibility: hidden; "&gt; &lt;div tabindex =" - 1 "class =" airy-install-flash-Vertical-centering-table-cell airy-Vertical-centering-table-cell "&gt; &lt;div tabindex =" - 1 "class = "airy-Vertical-centering-wrapper airy-install-flash-elements-wrapper"&gt; &lt;div tabindex = "- 1" class = "airy-install-flash-elements airy-dialog-elements"&gt; &lt;div tabindex = " -1 "class =" airy-install-flash-prompt "&gt; Adobe Flash Player is required to watch this video &lt;/ div&gt; &lt;div tabindex =." - 1 "class =" airy-install-flash-button-wrapper airy -dialog-inner-elements "&gt; &lt;div tabindex =" - 1 "class =" airy-install-flash-button airy-button "&gt; install Flash Player &lt;/ div&gt; &lt;/ div&gt; &lt;/ div&gt; &lt;/ div&gt; &lt;/ div&gt; &lt;/ div&gt; &lt;div tabindex = "- 1" class = "airy-video-unsupported-dialog airy-stage airy-Vertical-centering-table airy-dialog airy-denied" style = "opacity: 0; visibility: hidden; "&gt; &lt;div tabindex =" - 1 "class =" airy-video-unsupported-Vertical-centering-table-cell airy-Vertical-centering-table-cell "&gt; &lt;div tabindex =" - 1 "class = "airy-Vertical-centering-wrapper airy-video-unsupported-elements-wrapper"&gt; &lt;div tabindex = "- 1" class = "airy-video-unsupported-elements airy-dialog-elements"&gt; &lt;div tabindex = " -1 "class =" airy-video-unsupported-prompt "&gt; &lt;/ div&gt; &lt;/ div&gt; &lt;/ div&gt; &lt;/ div&gt; &lt;/ div&gt; &lt;div tabindex =" - 1 "class =" airy-loading- spinner-stage airy-stage "&gt; &lt;div tabindex =" - 1 "class =" airy-loading-spinner-Vertical-centering-table-cell airy-Vertical-centering-table-cell "&gt; &lt;div tabindex =" - 1 "class =" airy-loading-spinner-container airy-scalable-hint-container "&gt; &lt;div tabindex =" - 1 "class =" airy-loading-spinner-dummy airy-scalable-dummy "&gt; &lt;/ div&gt; &lt; div tabindex = "- 1" class = "airy-loading-spinner airy-hint" style = "visibility: hidden;"&gt; &lt;/ div&gt; &lt;/ div&gt; &lt;/ div&gt; &lt;/ div&gt; &lt;div tabindex = "- 1 "class =" airy-ads-screen-size-toggle airy-screen-size-toggle-fullscreen airy "style =" visibility: hidden; "&gt; &lt;/ div&gt; &lt;div tabindex = "-1" class = "airy-ad-prompt-container" style = "visibility: hidden;"&gt; &lt;div tabindex = "- 1" class = "airy-ad-prompt-Vertical-centering-table-vertically airy centering-table "&gt; &lt;div tabindex =" - 1 "class =" airy-ad-prompt-Vertical-centering-table-cell airy-Vertical-centering-table-cell "&gt; &lt;div tabindex =" - 1 "class = "airy-ad-prompt-label"&gt; &lt;/ div&gt; &lt;/ div&gt; &lt;/ div&gt; &lt;/ div&gt; &lt;div tabindex = "- 1" class = "airy-ads-controls-container" style = "visibility: hidden; "&gt; &lt;div tabindex =" - 1 "class =" airy-ads-audio-toggle airy-audio-toggle airy-on "style =" visibility: hidden; "&gt; &lt;/ div&gt; &lt;div tabindex =" - 1 "class =" airy-time-remaining-label-container "&gt; &lt;div tabindex =" - 1 "class =" airy-time-remaining-Vertical-centering-table airy-Vertical-centering-table "&gt; &lt;div tabindex = "- 1" class = "airy-time-remaining-Vertical-centering-table-cell airy-Vertical-centering-table-cell"&gt; &lt;div tabindex = "- 1" class = "airy-Vertical-centering-wrapper airy-time-remaining-label-wrapper "&gt; &lt;div tabindex =" - 1 "class =" airy-time-remaining-label "style =" visibility: hidden; "&gt; &lt;/ div&gt; &lt;div tabi ndex = "- 1" class = "airy-ad-skip" style = "visibility: hidden;"&gt; &lt;/ div&gt; &lt;div tabindex = "- 1" class = "airy-ad-end" style = "visibility: hidden "&gt; &lt;/ div&gt; &lt;/ div&gt; &lt;/ div&gt; &lt;/ div&gt; &lt;/ div&gt; &lt;div tabindex =" - 1 "class =" airy-learn-more "style =" visibility: hidden; "&gt; &lt;/ div&gt; &lt;/ div&gt; &lt;div tabindex = "- 1" class = "airy-play-toggle-hint-stage airy-stage airy-cursor"&gt; &lt;div tabindex = "- 1" class = "airy-play -toggle-hint-Vertical-centering-table-cell airy-Vertical-centering-table-cell airy-cursor "&gt; &lt;div tabindex =" - 1 "class =" airy-play-toggle-hint-container airy-scalable- Hint-container "&gt; &lt;div tabindex =" - 1 "class =" airy-play-toggle-hint-dummy airy-scalable-dummy "&gt; &lt;/ div&gt; &lt;div tabindex =" - 1 "class =" airy-play -toggle-hint hint airy-airy-play-hint "style =" opacity: 1; visibility: visible; "&gt; &lt;/ div&gt; &lt;/ div&gt; &lt;/ div&gt; &lt;/ div&gt; &lt;div tabindex =" - 1 "class =" airy-replay-hint-stage airy-stage "style =" visibility: hidden ; "&gt; &lt;div tabindex =" - 1 "class =" airy-replay-hint-Vertical-centering-table-cell airy-Vertical-centering-table-cell airy-cursor "&gt; &lt;div tabindex =" - 1 "class = "airy-replay-hint-container airy-scalable-hint-container"&gt; &lt;div tabindex = "- 1" class = "airy-replay-hint-dummy airy-scalable-dummy"&gt; &lt;/ div&gt; &lt;div tabindex = "- 1" class = "airy-replay-hint airy-hint"&gt; &lt;/ div&gt; &lt;/ div&gt; &lt;/ div&gt; &lt;/ div&gt; &lt;div tabindex = "- 1" class = "airy-autoplay-hint -stage airy-stage "style =" visibility: hidden; "&gt; &lt;div tabindex =" - 1 "class =" airy-autoplay-hint-Vertical-centering-table-cell airy-Vertical-centering-table-cell airy- cursor "&gt; &lt;div tabindex =" - 1 "class =" autoplay airy-airy-hint-container-scalable-hint-container "&gt; &lt;div tabindex =" - 1 "class =" airy-autoplay-hint-dummy airy- scalable-dummy "&gt; &lt;/ div&gt; &lt;/ div&gt; &lt;/ div&gt; &lt;/ div&gt; &lt;/ div&gt; &lt;/ div&gt; &lt;input type =" hidden "name =" "value =" https: // images-eu .ssl-images-amazon.com / images / I / D1Mzza91-3S.mp4 "Class =" video-url "&gt; &lt;input type =" hidden "name =" "value =" https://images-eu.ssl-images-amazon.com/images/I/919+CMIQm3S.png "class = "video-slate-img-url"&gt; &amp; nbsp; I liked the design and quality of the housing of the engine is very nice and polished steel. In addition when you turn the buttons are backlit by blue LED, and has a very modern look and design. The engine has 1200 watts, enough for home use. Generally it has good details and good finishes, power and fucniones more than sufienciente. It dismantles well to clean and has nothing strange. I have not gustadovarias things. It has details that are too plastic, such as the safety switch of the attachment of the glass vessel is a plastic clip with a spring, seemingly fragile. The blades are made of steel, although not the best for this type of mixer, there are other types of blades of higher quality. Resumiento. The quality is good, and enough power for domestic use is not intended for professional or intensive use. For that there are other machines with more power and quality. Value: Well, I think it is expensive. Simply put in the search box Amazón "blender cup 1200". After everyone has to decide what you want to buy. Given the guarantee and experience offered by each brand.</v>
      </c>
    </row>
    <row r="4431">
      <c r="A4431" s="1">
        <v>4.0</v>
      </c>
      <c r="B4431" s="1" t="s">
        <v>4409</v>
      </c>
      <c r="C4431" t="str">
        <f>IFERROR(__xludf.DUMMYFUNCTION("GOOGLETRANSLATE(B4431, ""es"", ""en"")"),"Very good value for money are a bit hard and difficult to accustom the ankle to the beginning but warm and waterproof. Very cool design.")</f>
        <v>Very good value for money are a bit hard and difficult to accustom the ankle to the beginning but warm and waterproof. Very cool design.</v>
      </c>
    </row>
    <row r="4432">
      <c r="A4432" s="1">
        <v>5.0</v>
      </c>
      <c r="B4432" s="1" t="s">
        <v>4410</v>
      </c>
      <c r="C4432" t="str">
        <f>IFERROR(__xludf.DUMMYFUNCTION("GOOGLETRANSLATE(B4432, ""es"", ""en"")"),"This small compact USB Memory is small and has great capacity (32 gigas), ideal to take her key ring. It is compact and rugged. It connects seamlessly and quickly Ali computer. I'm very satisfied with the shopping.")</f>
        <v>This small compact USB Memory is small and has great capacity (32 gigas), ideal to take her key ring. It is compact and rugged. It connects seamlessly and quickly Ali computer. I'm very satisfied with the shopping.</v>
      </c>
    </row>
    <row r="4433">
      <c r="A4433" s="1">
        <v>5.0</v>
      </c>
      <c r="B4433" s="1" t="s">
        <v>4411</v>
      </c>
      <c r="C4433" t="str">
        <f>IFERROR(__xludf.DUMMYFUNCTION("GOOGLETRANSLATE(B4433, ""es"", ""en"")"),"Very good resultones.Bonito regalo.Un little pequeños.Todo well including delivery")</f>
        <v>Very good resultones.Bonito regalo.Un little pequeños.Todo well including delivery</v>
      </c>
    </row>
    <row r="4434">
      <c r="A4434" s="1">
        <v>5.0</v>
      </c>
      <c r="B4434" s="1" t="s">
        <v>4412</v>
      </c>
      <c r="C4434" t="str">
        <f>IFERROR(__xludf.DUMMYFUNCTION("GOOGLETRANSLATE(B4434, ""es"", ""en"")"),"A precious gift I love the album, the theme of Up and above everything included to customize. A gift of 10 for any family / partner / friend. Highly recommended, very good quality. BEAUTIFUL.")</f>
        <v>A precious gift I love the album, the theme of Up and above everything included to customize. A gift of 10 for any family / partner / friend. Highly recommended, very good quality. BEAUTIFUL.</v>
      </c>
    </row>
    <row r="4435">
      <c r="A4435" s="1">
        <v>5.0</v>
      </c>
      <c r="B4435" s="1" t="s">
        <v>4413</v>
      </c>
      <c r="C4435" t="str">
        <f>IFERROR(__xludf.DUMMYFUNCTION("GOOGLETRANSLATE(B4435, ""es"", ""en"")"),"Very txulas !!! Perfect !! The golden color is more beautiful to the natural, it is softer. Size, like other as Adidas sneakers. everything OK")</f>
        <v>Very txulas !!! Perfect !! The golden color is more beautiful to the natural, it is softer. Size, like other as Adidas sneakers. everything OK</v>
      </c>
    </row>
    <row r="4436">
      <c r="A4436" s="1">
        <v>5.0</v>
      </c>
      <c r="B4436" s="1" t="s">
        <v>4414</v>
      </c>
      <c r="C4436" t="str">
        <f>IFERROR(__xludf.DUMMYFUNCTION("GOOGLETRANSLATE(B4436, ""es"", ""en"")"),"Useful and practical Just what I was looking for. Not very big, the design is lovely to have in the kitchen. Squeezing oranges well and without any effort, it is also very quiet. Wears a dust cap also very easy to remove and wash.")</f>
        <v>Useful and practical Just what I was looking for. Not very big, the design is lovely to have in the kitchen. Squeezing oranges well and without any effort, it is also very quiet. Wears a dust cap also very easy to remove and wash.</v>
      </c>
    </row>
    <row r="4437">
      <c r="A4437" s="1">
        <v>5.0</v>
      </c>
      <c r="B4437" s="1" t="s">
        <v>4415</v>
      </c>
      <c r="C4437" t="str">
        <f>IFERROR(__xludf.DUMMYFUNCTION("GOOGLETRANSLATE(B4437, ""es"", ""en"")"),"price good quality comfortable")</f>
        <v>price good quality comfortable</v>
      </c>
    </row>
    <row r="4438">
      <c r="A4438" s="1">
        <v>5.0</v>
      </c>
      <c r="B4438" s="1" t="s">
        <v>4416</v>
      </c>
      <c r="C4438" t="str">
        <f>IFERROR(__xludf.DUMMYFUNCTION("GOOGLETRANSLATE(B4438, ""es"", ""en"")"),"Good comfortable and durable, highly recommended price")</f>
        <v>Good comfortable and durable, highly recommended price</v>
      </c>
    </row>
    <row r="4439">
      <c r="A4439" s="1">
        <v>5.0</v>
      </c>
      <c r="B4439" s="1" t="s">
        <v>4417</v>
      </c>
      <c r="C4439" t="str">
        <f>IFERROR(__xludf.DUMMYFUNCTION("GOOGLETRANSLATE(B4439, ""es"", ""en"")"),"Excellent product, reliable and accurate have excellent finishes and is very accurate. It is compact and saves very little space in the USB connector (q could be much smaller).")</f>
        <v>Excellent product, reliable and accurate have excellent finishes and is very accurate. It is compact and saves very little space in the USB connector (q could be much smaller).</v>
      </c>
    </row>
    <row r="4440">
      <c r="A4440" s="1">
        <v>5.0</v>
      </c>
      <c r="B4440" s="1" t="s">
        <v>4418</v>
      </c>
      <c r="C4440" t="str">
        <f>IFERROR(__xludf.DUMMYFUNCTION("GOOGLETRANSLATE(B4440, ""es"", ""en"")"),"Tascam I can not be happier with this recorder. I've always heard very good things and I decided to buy it, I can record audio, also has line input (which is the main reason why I bought it) has a very good range and also can be connected via USB and has "&amp;"a sound card to record directly to the Mac !! Amazing. I miss the USB cable, could be included in the package, otherwise a 10.")</f>
        <v>Tascam I can not be happier with this recorder. I've always heard very good things and I decided to buy it, I can record audio, also has line input (which is the main reason why I bought it) has a very good range and also can be connected via USB and has a sound card to record directly to the Mac !! Amazing. I miss the USB cable, could be included in the package, otherwise a 10.</v>
      </c>
    </row>
    <row r="4441">
      <c r="A4441" s="1">
        <v>5.0</v>
      </c>
      <c r="B4441" s="1" t="s">
        <v>1425</v>
      </c>
      <c r="C4441" t="str">
        <f>IFERROR(__xludf.DUMMYFUNCTION("GOOGLETRANSLATE(B4441, ""es"", ""en"")"),"perfect perfect")</f>
        <v>perfect perfect</v>
      </c>
    </row>
    <row r="4442">
      <c r="A4442" s="1">
        <v>5.0</v>
      </c>
      <c r="B4442" s="1" t="s">
        <v>4419</v>
      </c>
      <c r="C4442" t="str">
        <f>IFERROR(__xludf.DUMMYFUNCTION("GOOGLETRANSLATE(B4442, ""es"", ""en"")"),"My best buy is nice, elegant, easy to set up with your phone, I am very happy with my smartwatch")</f>
        <v>My best buy is nice, elegant, easy to set up with your phone, I am very happy with my smartwatch</v>
      </c>
    </row>
    <row r="4443">
      <c r="A4443" s="1">
        <v>5.0</v>
      </c>
      <c r="B4443" s="1" t="s">
        <v>4420</v>
      </c>
      <c r="C4443" t="str">
        <f>IFERROR(__xludf.DUMMYFUNCTION("GOOGLETRANSLATE(B4443, ""es"", ""en"")"),"Incredible !! They are spectacular! Small, super comfortable and you can even sleep with them that are not nailed or they'll hurt you! They are very nice 😊")</f>
        <v>Incredible !! They are spectacular! Small, super comfortable and you can even sleep with them that are not nailed or they'll hurt you! They are very nice 😊</v>
      </c>
    </row>
    <row r="4444">
      <c r="A4444" s="1">
        <v>5.0</v>
      </c>
      <c r="B4444" s="1" t="s">
        <v>4421</v>
      </c>
      <c r="C4444" t="str">
        <f>IFERROR(__xludf.DUMMYFUNCTION("GOOGLETRANSLATE(B4444, ""es"", ""en"")"),"Very convenient and fast. Incredibly fast. Not enough time to prepare the cup when water is beginning to boil, with this kettle is not too lazy to prepare a tea or infusion and avoids the dangers of heating water in the microwave.")</f>
        <v>Very convenient and fast. Incredibly fast. Not enough time to prepare the cup when water is beginning to boil, with this kettle is not too lazy to prepare a tea or infusion and avoids the dangers of heating water in the microwave.</v>
      </c>
    </row>
    <row r="4445">
      <c r="A4445" s="1">
        <v>5.0</v>
      </c>
      <c r="B4445" s="1" t="s">
        <v>4422</v>
      </c>
      <c r="C4445" t="str">
        <f>IFERROR(__xludf.DUMMYFUNCTION("GOOGLETRANSLATE(B4445, ""es"", ""en"")"),"Excellent They arrived ahead of schedule. I were perfect, very comfortable!")</f>
        <v>Excellent They arrived ahead of schedule. I were perfect, very comfortable!</v>
      </c>
    </row>
    <row r="4446">
      <c r="A4446" s="1">
        <v>5.0</v>
      </c>
      <c r="B4446" s="1" t="s">
        <v>4423</v>
      </c>
      <c r="C4446" t="str">
        <f>IFERROR(__xludf.DUMMYFUNCTION("GOOGLETRANSLATE(B4446, ""es"", ""en"")"),"Use shoes number 38 and saw new balance 38.5 carved very fair comments, I coji 39 and great. I recommend it to you")</f>
        <v>Use shoes number 38 and saw new balance 38.5 carved very fair comments, I coji 39 and great. I recommend it to you</v>
      </c>
    </row>
    <row r="4447">
      <c r="A4447" s="1">
        <v>5.0</v>
      </c>
      <c r="B4447" s="1" t="s">
        <v>4424</v>
      </c>
      <c r="C4447" t="str">
        <f>IFERROR(__xludf.DUMMYFUNCTION("GOOGLETRANSLATE(B4447, ""es"", ""en"")"),"1TB of storage at a quality / price exceptional 1TB SSD ideal for expanding or replacing a mechanical storage unit. In my case I am replacing an old hard drive 1 Tb. The only downside I can poenrse is the QLC technology that having more layers than previo"&amp;"us technologies make the life is less, however, without this technology could not be adjusted as the price.")</f>
        <v>1TB of storage at a quality / price exceptional 1TB SSD ideal for expanding or replacing a mechanical storage unit. In my case I am replacing an old hard drive 1 Tb. The only downside I can poenrse is the QLC technology that having more layers than previous technologies make the life is less, however, without this technology could not be adjusted as the price.</v>
      </c>
    </row>
    <row r="4448">
      <c r="A4448" s="1">
        <v>5.0</v>
      </c>
      <c r="B4448" s="1" t="s">
        <v>4425</v>
      </c>
      <c r="C4448" t="str">
        <f>IFERROR(__xludf.DUMMYFUNCTION("GOOGLETRANSLATE(B4448, ""es"", ""en"")"),"Handy for excursions and outings Very convenient and practical.")</f>
        <v>Handy for excursions and outings Very convenient and practical.</v>
      </c>
    </row>
    <row r="4449">
      <c r="A4449" s="1">
        <v>5.0</v>
      </c>
      <c r="B4449" s="1" t="s">
        <v>4426</v>
      </c>
      <c r="C4449" t="str">
        <f>IFERROR(__xludf.DUMMYFUNCTION("GOOGLETRANSLATE(B4449, ""es"", ""en"")"),"Perfect for occasional use and sporadic cable carries about 5 or 6 meters. I prefer it because use is very punctual and battery fast or I spoiled the day you need are downloaded. With add-ons that can bring Use it in small spaces, such as inside the car o"&amp;"r do all the house. It is powerful and clean well, not as last, if it is tough.")</f>
        <v>Perfect for occasional use and sporadic cable carries about 5 or 6 meters. I prefer it because use is very punctual and battery fast or I spoiled the day you need are downloaded. With add-ons that can bring Use it in small spaces, such as inside the car or do all the house. It is powerful and clean well, not as last, if it is tough.</v>
      </c>
    </row>
    <row r="4450">
      <c r="A4450" s="1">
        <v>2.0</v>
      </c>
      <c r="B4450" s="1" t="s">
        <v>4427</v>
      </c>
      <c r="C4450" t="str">
        <f>IFERROR(__xludf.DUMMYFUNCTION("GOOGLETRANSLATE(B4450, ""es"", ""en"")"),"too big pants are very good quality, good finish but usually using a medium size have asked the xs to know that Erann outsize, do not return it because usare as pajama bottoms but would have to ask two less PstS sizes to go out street, shame")</f>
        <v>too big pants are very good quality, good finish but usually using a medium size have asked the xs to know that Erann outsize, do not return it because usare as pajama bottoms but would have to ask two less PstS sizes to go out street, shame</v>
      </c>
    </row>
    <row r="4451">
      <c r="A4451" s="1">
        <v>3.0</v>
      </c>
      <c r="B4451" s="1" t="s">
        <v>4428</v>
      </c>
      <c r="C4451" t="str">
        <f>IFERROR(__xludf.DUMMYFUNCTION("GOOGLETRANSLATE(B4451, ""es"", ""en"")"),"It is very difficult bonito.Tiene very poor light and very difficult to change the time")</f>
        <v>It is very difficult bonito.Tiene very poor light and very difficult to change the time</v>
      </c>
    </row>
    <row r="4452">
      <c r="A4452" s="1">
        <v>3.0</v>
      </c>
      <c r="B4452" s="1" t="s">
        <v>4429</v>
      </c>
      <c r="C4452" t="str">
        <f>IFERROR(__xludf.DUMMYFUNCTION("GOOGLETRANSLATE(B4452, ""es"", ""en"")"),"Orma narrow Footwear is nice as most Tommy products, peeeero the ORMA is very narrow. So if you have a foot wide forget.")</f>
        <v>Orma narrow Footwear is nice as most Tommy products, peeeero the ORMA is very narrow. So if you have a foot wide forget.</v>
      </c>
    </row>
    <row r="4453">
      <c r="A4453" s="1">
        <v>1.0</v>
      </c>
      <c r="B4453" s="1" t="s">
        <v>4430</v>
      </c>
      <c r="C4453" t="str">
        <f>IFERROR(__xludf.DUMMYFUNCTION("GOOGLETRANSLATE(B4453, ""es"", ""en"")"),"IPhone not serve matchmaking system does not work iOs Each handset has its own system does not allow connection and 2 at a time. You have to choose between right or left")</f>
        <v>IPhone not serve matchmaking system does not work iOs Each handset has its own system does not allow connection and 2 at a time. You have to choose between right or left</v>
      </c>
    </row>
    <row r="4454">
      <c r="A4454" s="1">
        <v>1.0</v>
      </c>
      <c r="B4454" s="1" t="s">
        <v>4431</v>
      </c>
      <c r="C4454" t="str">
        <f>IFERROR(__xludf.DUMMYFUNCTION("GOOGLETRANSLATE(B4454, ""es"", ""en"")"),"They weigh too heavy")</f>
        <v>They weigh too heavy</v>
      </c>
    </row>
    <row r="4455">
      <c r="A4455" s="1">
        <v>4.0</v>
      </c>
      <c r="B4455" s="1" t="s">
        <v>4432</v>
      </c>
      <c r="C4455" t="str">
        <f>IFERROR(__xludf.DUMMYFUNCTION("GOOGLETRANSLATE(B4455, ""es"", ""en"")"),"Just what i was looking for! I needed to make cuts crafts and graphic design elements such as design bookmarks, stationery, etc. and what he wanted. Short perfectly all that if you have an eye for loading paper and cut the line just looking. Good working "&amp;"tool")</f>
        <v>Just what i was looking for! I needed to make cuts crafts and graphic design elements such as design bookmarks, stationery, etc. and what he wanted. Short perfectly all that if you have an eye for loading paper and cut the line just looking. Good working tool</v>
      </c>
    </row>
    <row r="4456">
      <c r="A4456" s="1">
        <v>4.0</v>
      </c>
      <c r="B4456" s="1" t="s">
        <v>4433</v>
      </c>
      <c r="C4456" t="str">
        <f>IFERROR(__xludf.DUMMYFUNCTION("GOOGLETRANSLATE(B4456, ""es"", ""en"")"),"Commode Exercise")</f>
        <v>Commode Exercise</v>
      </c>
    </row>
    <row r="4457">
      <c r="A4457" s="1">
        <v>4.0</v>
      </c>
      <c r="B4457" s="1" t="s">
        <v>4434</v>
      </c>
      <c r="C4457" t="str">
        <f>IFERROR(__xludf.DUMMYFUNCTION("GOOGLETRANSLATE(B4457, ""es"", ""en"")"),"Great all very well !!!")</f>
        <v>Great all very well !!!</v>
      </c>
    </row>
    <row r="4458">
      <c r="A4458" s="1">
        <v>4.0</v>
      </c>
      <c r="B4458" s="1" t="s">
        <v>4435</v>
      </c>
      <c r="C4458" t="str">
        <f>IFERROR(__xludf.DUMMYFUNCTION("GOOGLETRANSLATE(B4458, ""es"", ""en"")"),"described it is what I think the ability should cost less, but what happens when you intend to use old equipment")</f>
        <v>described it is what I think the ability should cost less, but what happens when you intend to use old equipment</v>
      </c>
    </row>
    <row r="4459">
      <c r="A4459" s="1">
        <v>4.0</v>
      </c>
      <c r="B4459" s="1" t="s">
        <v>4436</v>
      </c>
      <c r="C4459" t="str">
        <f>IFERROR(__xludf.DUMMYFUNCTION("GOOGLETRANSLATE(B4459, ""es"", ""en"")"),"It seems just enough sturdy and comfortable. I bought it for my daughter to put the book while studying and doing homework and is very convenient and practical")</f>
        <v>It seems just enough sturdy and comfortable. I bought it for my daughter to put the book while studying and doing homework and is very convenient and practical</v>
      </c>
    </row>
    <row r="4460">
      <c r="A4460" s="1">
        <v>5.0</v>
      </c>
      <c r="B4460" s="1" t="s">
        <v>4437</v>
      </c>
      <c r="C4460" t="str">
        <f>IFERROR(__xludf.DUMMYFUNCTION("GOOGLETRANSLATE(B4460, ""es"", ""en"")"),"Very good Good covers")</f>
        <v>Very good Good covers</v>
      </c>
    </row>
    <row r="4461">
      <c r="A4461" s="1">
        <v>5.0</v>
      </c>
      <c r="B4461" s="1" t="s">
        <v>4438</v>
      </c>
      <c r="C4461" t="str">
        <f>IFERROR(__xludf.DUMMYFUNCTION("GOOGLETRANSLATE(B4461, ""es"", ""en"")"),"Quality was excellent price for a gift ... he was very happy")</f>
        <v>Quality was excellent price for a gift ... he was very happy</v>
      </c>
    </row>
    <row r="4462">
      <c r="A4462" s="1">
        <v>5.0</v>
      </c>
      <c r="B4462" s="1" t="s">
        <v>4439</v>
      </c>
      <c r="C4462" t="str">
        <f>IFERROR(__xludf.DUMMYFUNCTION("GOOGLETRANSLATE(B4462, ""es"", ""en"")"),"a purchase very successful The product met all my expectations is strong good not great material, but not tiny fits perfectly tablet key documents etc and so very comfortable that same bag in the market I walked out twice as much money I liked")</f>
        <v>a purchase very successful The product met all my expectations is strong good not great material, but not tiny fits perfectly tablet key documents etc and so very comfortable that same bag in the market I walked out twice as much money I liked</v>
      </c>
    </row>
    <row r="4463">
      <c r="A4463" s="1">
        <v>5.0</v>
      </c>
      <c r="B4463" s="1" t="s">
        <v>4440</v>
      </c>
      <c r="C4463" t="str">
        <f>IFERROR(__xludf.DUMMYFUNCTION("GOOGLETRANSLATE(B4463, ""es"", ""en"")"),"Right My daughter loved. Entertains enough.")</f>
        <v>Right My daughter loved. Entertains enough.</v>
      </c>
    </row>
    <row r="4464">
      <c r="A4464" s="1">
        <v>5.0</v>
      </c>
      <c r="B4464" s="1" t="s">
        <v>4441</v>
      </c>
      <c r="C4464" t="str">
        <f>IFERROR(__xludf.DUMMYFUNCTION("GOOGLETRANSLATE(B4464, ""es"", ""en"")"),"Smells great, lemon freshly cut &lt;div id = ""video-block-R2PZXWF86GVD80"" class = ""a-section a-spacing-small a-spacing-top mini video-block""&gt; &lt;/ div&gt; &lt;input type = ""hidden"" name = """" value = ""https://images-eu.ssl-images-amazon.com/images/I/A1bIZMAq"&amp;"pxS.mp4"" class = ""video-url""&gt; &lt;input type = ""hidden"" name = """" value = ""https://images-eu.ssl-images-amazon.com/images/I/81+i8CxyYsS.png"" class = ""video-slate-img-url""&gt; &amp; nbsp; I'm a fan of incenses and essences. But he had never tasted the sce"&amp;"nt of lemongrass and is very similar to that of a geranium plant type I have in my yard to ward off mosquitoes called citronella. This essence I like it because with a couple of drops and smells wonderful. I have a diffuser aroma humidificador- near the p"&amp;"c because I like to smell scents that control my nerves and my focus. In this case this essence does its job. It's like you can cut a lemon in half and you put it next to you. Although somewhat cooler, like most field. I love its aroma and definitely repe"&amp;"at.")</f>
        <v>Smells great, lemon freshly cut &lt;div id = "video-block-R2PZXWF86GVD80" class = "a-section a-spacing-small a-spacing-top mini video-block"&gt; &lt;/ div&gt; &lt;input type = "hidden" name = "" value = "https://images-eu.ssl-images-amazon.com/images/I/A1bIZMAqpxS.mp4" class = "video-url"&gt; &lt;input type = "hidden" name = "" value = "https://images-eu.ssl-images-amazon.com/images/I/81+i8CxyYsS.png" class = "video-slate-img-url"&gt; &amp; nbsp; I'm a fan of incenses and essences. But he had never tasted the scent of lemongrass and is very similar to that of a geranium plant type I have in my yard to ward off mosquitoes called citronella. This essence I like it because with a couple of drops and smells wonderful. I have a diffuser aroma humidificador- near the pc because I like to smell scents that control my nerves and my focus. In this case this essence does its job. It's like you can cut a lemon in half and you put it next to you. Although somewhat cooler, like most field. I love its aroma and definitely repeat.</v>
      </c>
    </row>
    <row r="4465">
      <c r="A4465" s="1">
        <v>5.0</v>
      </c>
      <c r="B4465" s="1" t="s">
        <v>4442</v>
      </c>
      <c r="C4465" t="str">
        <f>IFERROR(__xludf.DUMMYFUNCTION("GOOGLETRANSLATE(B4465, ""es"", ""en"")"),"Good pretty and cheap. And great service The microphone came very quickly and works perfectly, nothing to envy with more expensive appliances. After a few uses micro I desemparejó of the receiver but the service was impressive. I sent the instructions to "&amp;"pair it again and pledged to change the microphone, free of charge, if it did not work.")</f>
        <v>Good pretty and cheap. And great service The microphone came very quickly and works perfectly, nothing to envy with more expensive appliances. After a few uses micro I desemparejó of the receiver but the service was impressive. I sent the instructions to pair it again and pledged to change the microphone, free of charge, if it did not work.</v>
      </c>
    </row>
    <row r="4466">
      <c r="A4466" s="1">
        <v>5.0</v>
      </c>
      <c r="B4466" s="1" t="s">
        <v>4443</v>
      </c>
      <c r="C4466" t="str">
        <f>IFERROR(__xludf.DUMMYFUNCTION("GOOGLETRANSLATE(B4466, ""es"", ""en"")"),"Thank you expected and received something good and something better. Petite shoes are put osti .......... ....... q joy to stunning run")</f>
        <v>Thank you expected and received something good and something better. Petite shoes are put osti .......... ....... q joy to stunning run</v>
      </c>
    </row>
    <row r="4467">
      <c r="A4467" s="1">
        <v>5.0</v>
      </c>
      <c r="B4467" s="1" t="s">
        <v>4444</v>
      </c>
      <c r="C4467" t="str">
        <f>IFERROR(__xludf.DUMMYFUNCTION("GOOGLETRANSLATE(B4467, ""es"", ""en"")"),"I love The use every day! It was the best purchase I've made in Amazon, heated in 10 little minutes and heat is maintained for several hours. The fabric is very nice and perfect for warm, it is especially useful to warm hands and feet. You friolero if you"&amp;" should buy this product. Also I use it to relieve back pain and I think it helps.")</f>
        <v>I love The use every day! It was the best purchase I've made in Amazon, heated in 10 little minutes and heat is maintained for several hours. The fabric is very nice and perfect for warm, it is especially useful to warm hands and feet. You friolero if you should buy this product. Also I use it to relieve back pain and I think it helps.</v>
      </c>
    </row>
    <row r="4468">
      <c r="A4468" s="1">
        <v>5.0</v>
      </c>
      <c r="B4468" s="1" t="s">
        <v>4445</v>
      </c>
      <c r="C4468" t="str">
        <f>IFERROR(__xludf.DUMMYFUNCTION("GOOGLETRANSLATE(B4468, ""es"", ""en"")"),"Love is a perfect product such that as seen in the picture all that size remains a bit small I asked my size 37 but really just have to ask more medium in size. But very nice and good product no complaints")</f>
        <v>Love is a perfect product such that as seen in the picture all that size remains a bit small I asked my size 37 but really just have to ask more medium in size. But very nice and good product no complaints</v>
      </c>
    </row>
    <row r="4469">
      <c r="A4469" s="1">
        <v>5.0</v>
      </c>
      <c r="B4469" s="1" t="s">
        <v>4446</v>
      </c>
      <c r="C4469" t="str">
        <f>IFERROR(__xludf.DUMMYFUNCTION("GOOGLETRANSLATE(B4469, ""es"", ""en"")"),"Gigas amount of money unit narrowly practical and portable storage")</f>
        <v>Gigas amount of money unit narrowly practical and portable storage</v>
      </c>
    </row>
    <row r="4470">
      <c r="A4470" s="1">
        <v>5.0</v>
      </c>
      <c r="B4470" s="1" t="s">
        <v>4447</v>
      </c>
      <c r="C4470" t="str">
        <f>IFERROR(__xludf.DUMMYFUNCTION("GOOGLETRANSLATE(B4470, ""es"", ""en"")"),"Great quality and good price is a blender with quality material (stainless steel, plastic good), powerful, super performance and easy to handle; to see if it is durable")</f>
        <v>Great quality and good price is a blender with quality material (stainless steel, plastic good), powerful, super performance and easy to handle; to see if it is durable</v>
      </c>
    </row>
    <row r="4471">
      <c r="A4471" s="1">
        <v>5.0</v>
      </c>
      <c r="B4471" s="1" t="s">
        <v>4448</v>
      </c>
      <c r="C4471" t="str">
        <f>IFERROR(__xludf.DUMMYFUNCTION("GOOGLETRANSLATE(B4471, ""es"", ""en"")"),"Superb fantastic. Easy to assemble. Solid and robust at the same light. Worth investing in a product with this quality and performance. Wonderful design. We are delighted. We use it a lot. Thank you very much.")</f>
        <v>Superb fantastic. Easy to assemble. Solid and robust at the same light. Worth investing in a product with this quality and performance. Wonderful design. We are delighted. We use it a lot. Thank you very much.</v>
      </c>
    </row>
    <row r="4472">
      <c r="A4472" s="1">
        <v>5.0</v>
      </c>
      <c r="B4472" s="1" t="s">
        <v>4449</v>
      </c>
      <c r="C4472" t="str">
        <f>IFERROR(__xludf.DUMMYFUNCTION("GOOGLETRANSLATE(B4472, ""es"", ""en"")"),"QUALITY OF MATERIALS very good first thing that catches your attention is the quality of the materials, it's really good. To use it you have to put on each microphone 2 AA batteries and connect the base to light and to an amplifier. The quality of the aud"&amp;"io emitted is really good.")</f>
        <v>QUALITY OF MATERIALS very good first thing that catches your attention is the quality of the materials, it's really good. To use it you have to put on each microphone 2 AA batteries and connect the base to light and to an amplifier. The quality of the audio emitted is really good.</v>
      </c>
    </row>
    <row r="4473">
      <c r="A4473" s="1">
        <v>5.0</v>
      </c>
      <c r="B4473" s="1" t="s">
        <v>4450</v>
      </c>
      <c r="C4473" t="str">
        <f>IFERROR(__xludf.DUMMYFUNCTION("GOOGLETRANSLATE(B4473, ""es"", ""en"")"),"Excellent seller excellent magnifying glass. Very quickly on shipping.")</f>
        <v>Excellent seller excellent magnifying glass. Very quickly on shipping.</v>
      </c>
    </row>
    <row r="4474">
      <c r="A4474" s="1">
        <v>5.0</v>
      </c>
      <c r="B4474" s="1" t="s">
        <v>4451</v>
      </c>
      <c r="C4474" t="str">
        <f>IFERROR(__xludf.DUMMYFUNCTION("GOOGLETRANSLATE(B4474, ""es"", ""en"")"),"Better than I thought. They've been about 6 washer and are still the same as when I bought ... good value ... recommended. Would buy them.")</f>
        <v>Better than I thought. They've been about 6 washer and are still the same as when I bought ... good value ... recommended. Would buy them.</v>
      </c>
    </row>
    <row r="4475">
      <c r="A4475" s="1">
        <v>5.0</v>
      </c>
      <c r="B4475" s="1" t="s">
        <v>4452</v>
      </c>
      <c r="C4475" t="str">
        <f>IFERROR(__xludf.DUMMYFUNCTION("GOOGLETRANSLATE(B4475, ""es"", ""en"")"),"Good quality Ideal for me thanks")</f>
        <v>Good quality Ideal for me thanks</v>
      </c>
    </row>
    <row r="4476">
      <c r="A4476" s="1">
        <v>5.0</v>
      </c>
      <c r="B4476" s="1" t="s">
        <v>4453</v>
      </c>
      <c r="C4476" t="str">
        <f>IFERROR(__xludf.DUMMYFUNCTION("GOOGLETRANSLATE(B4476, ""es"", ""en"")"),"Good product. I'm not sure if it's new or recycled in any case is in perfect condition and works very well. I use it as a backup disk, somewhat slow compared to today's perfect but for that application that automatically develops in Windows 10.")</f>
        <v>Good product. I'm not sure if it's new or recycled in any case is in perfect condition and works very well. I use it as a backup disk, somewhat slow compared to today's perfect but for that application that automatically develops in Windows 10.</v>
      </c>
    </row>
    <row r="4477">
      <c r="A4477" s="1">
        <v>5.0</v>
      </c>
      <c r="B4477" s="1" t="s">
        <v>4454</v>
      </c>
      <c r="C4477" t="str">
        <f>IFERROR(__xludf.DUMMYFUNCTION("GOOGLETRANSLATE(B4477, ""es"", ""en"")"),"Complies with the description has a perfect weight, there is neither too soft nor too stiff. I use it for plasticizing school supplies. Markings indicating how to enter the laminator are very helpful and once you put it disappear completely laminating mac"&amp;"hine.")</f>
        <v>Complies with the description has a perfect weight, there is neither too soft nor too stiff. I use it for plasticizing school supplies. Markings indicating how to enter the laminator are very helpful and once you put it disappear completely laminating machine.</v>
      </c>
    </row>
    <row r="4478">
      <c r="A4478" s="1">
        <v>5.0</v>
      </c>
      <c r="B4478" s="1" t="s">
        <v>4455</v>
      </c>
      <c r="C4478" t="str">
        <f>IFERROR(__xludf.DUMMYFUNCTION("GOOGLETRANSLATE(B4478, ""es"", ""en"")"),"Good quality good holding pictures perfectly, would buy certainly worth hanging pictures and things ora lightweight wall")</f>
        <v>Good quality good holding pictures perfectly, would buy certainly worth hanging pictures and things ora lightweight wall</v>
      </c>
    </row>
    <row r="4479">
      <c r="A4479" s="1">
        <v>2.0</v>
      </c>
      <c r="B4479" s="1" t="s">
        <v>4456</v>
      </c>
      <c r="C4479" t="str">
        <f>IFERROR(__xludf.DUMMYFUNCTION("GOOGLETRANSLATE(B4479, ""es"", ""en"")"),"well Loose")</f>
        <v>well Loose</v>
      </c>
    </row>
    <row r="4480">
      <c r="A4480" s="1">
        <v>3.0</v>
      </c>
      <c r="B4480" s="1" t="s">
        <v>4457</v>
      </c>
      <c r="C4480" t="str">
        <f>IFERROR(__xludf.DUMMYFUNCTION("GOOGLETRANSLATE(B4480, ""es"", ""en"")"),"It's what I wanted but insufficient light I like and I'll stay but the light is not very good, instead of illuminating the entire area of ​​the clock is out of a point and if the needles of the clock are far not look too good.")</f>
        <v>It's what I wanted but insufficient light I like and I'll stay but the light is not very good, instead of illuminating the entire area of ​​the clock is out of a point and if the needles of the clock are far not look too good.</v>
      </c>
    </row>
    <row r="4481">
      <c r="A4481" s="1">
        <v>3.0</v>
      </c>
      <c r="B4481" s="1" t="s">
        <v>4458</v>
      </c>
      <c r="C4481" t="str">
        <f>IFERROR(__xludf.DUMMYFUNCTION("GOOGLETRANSLATE(B4481, ""es"", ""en"")"),"Good product but somewhat uncomfortable good product in terms of material quality battery sonido.La surprised me greatly because hard enough. Even thinking it's a good product there are a couple of things that did not like me, one of them is that they are"&amp;" not at all comfortable, as the head pillow is something hard and how much have you just put tienpo doliendo.Tambien I think the weight of the product also favors him because that too quite uncomfortable head.")</f>
        <v>Good product but somewhat uncomfortable good product in terms of material quality battery sonido.La surprised me greatly because hard enough. Even thinking it's a good product there are a couple of things that did not like me, one of them is that they are not at all comfortable, as the head pillow is something hard and how much have you just put tienpo doliendo.Tambien I think the weight of the product also favors him because that too quite uncomfortable head.</v>
      </c>
    </row>
    <row r="4482">
      <c r="A4482" s="1">
        <v>1.0</v>
      </c>
      <c r="B4482" s="1" t="s">
        <v>4459</v>
      </c>
      <c r="C4482" t="str">
        <f>IFERROR(__xludf.DUMMYFUNCTION("GOOGLETRANSLATE(B4482, ""es"", ""en"")"),"Gloomy Searching the Internet is the average price of 20-30 euros so not that this discount is 60 euros. Apart from the very poor quality of the material, the sound is acceptable (better to see a movie and not to listen to music). But after three days the"&amp;"y were blocked or were extinguished or lit, there is no manual to solve problems and the manufacture or Internet, however I have read that many people did the same. I put them in making (even light is lampeando), and tomorrow I will return.")</f>
        <v>Gloomy Searching the Internet is the average price of 20-30 euros so not that this discount is 60 euros. Apart from the very poor quality of the material, the sound is acceptable (better to see a movie and not to listen to music). But after three days they were blocked or were extinguished or lit, there is no manual to solve problems and the manufacture or Internet, however I have read that many people did the same. I put them in making (even light is lampeando), and tomorrow I will return.</v>
      </c>
    </row>
    <row r="4483">
      <c r="A4483" s="1">
        <v>1.0</v>
      </c>
      <c r="B4483" s="1" t="s">
        <v>4460</v>
      </c>
      <c r="C4483" t="str">
        <f>IFERROR(__xludf.DUMMYFUNCTION("GOOGLETRANSLATE(B4483, ""es"", ""en"")"),"I did not like makes a foam that will not hold the Second .. nothing foam")</f>
        <v>I did not like makes a foam that will not hold the Second .. nothing foam</v>
      </c>
    </row>
    <row r="4484">
      <c r="A4484" s="1">
        <v>4.0</v>
      </c>
      <c r="B4484" s="1" t="s">
        <v>4461</v>
      </c>
      <c r="C4484" t="str">
        <f>IFERROR(__xludf.DUMMYFUNCTION("GOOGLETRANSLATE(B4484, ""es"", ""en"")"),"A classic ... but something is missing ... A classic, same performance, same aesthetic that I had in the 90s, but strangely I keep the ""real"" but unfortunately it does not work. Lacks modern? sencillmente for the touch of the quality of what has been do"&amp;"ne before, without the ""mass production"" obsession of what was done in China. The box looks more rigid, as best or better quality finished ... but good for the price can not ask for more. Vintage 1800 pesetas cost, so at 9 euros out the cheapest modern "&amp;"... I said it a classic adapted to the times that I hope will last, since I am not so stupid as in the 90s ....")</f>
        <v>A classic ... but something is missing ... A classic, same performance, same aesthetic that I had in the 90s, but strangely I keep the "real" but unfortunately it does not work. Lacks modern? sencillmente for the touch of the quality of what has been done before, without the "mass production" obsession of what was done in China. The box looks more rigid, as best or better quality finished ... but good for the price can not ask for more. Vintage 1800 pesetas cost, so at 9 euros out the cheapest modern ... I said it a classic adapted to the times that I hope will last, since I am not so stupid as in the 90s ....</v>
      </c>
    </row>
    <row r="4485">
      <c r="A4485" s="1">
        <v>4.0</v>
      </c>
      <c r="B4485" s="1" t="s">
        <v>4462</v>
      </c>
      <c r="C4485" t="str">
        <f>IFERROR(__xludf.DUMMYFUNCTION("GOOGLETRANSLATE(B4485, ""es"", ""en"")"),"They are too big bigger than I expected. I do not like too much left because the stars are quite large and I like children. Otherwise they are easy to apply and remove. It has good image because the material is well")</f>
        <v>They are too big bigger than I expected. I do not like too much left because the stars are quite large and I like children. Otherwise they are easy to apply and remove. It has good image because the material is well</v>
      </c>
    </row>
    <row r="4486">
      <c r="A4486" s="1">
        <v>4.0</v>
      </c>
      <c r="B4486" s="1" t="s">
        <v>4463</v>
      </c>
      <c r="C4486" t="str">
        <f>IFERROR(__xludf.DUMMYFUNCTION("GOOGLETRANSLATE(B4486, ""es"", ""en"")"),"Figured Very cool but carved huge")</f>
        <v>Figured Very cool but carved huge</v>
      </c>
    </row>
    <row r="4487">
      <c r="A4487" s="1">
        <v>4.0</v>
      </c>
      <c r="B4487" s="1" t="s">
        <v>4464</v>
      </c>
      <c r="C4487" t="str">
        <f>IFERROR(__xludf.DUMMYFUNCTION("GOOGLETRANSLATE(B4487, ""es"", ""en"")"),"Versatile and comfortable with a good product fails. Tab top adjustment of poor quality, in the 2nd set was broken by the part that is sewn to the shoe. No. somewhat adjusted (43) in my case.")</f>
        <v>Versatile and comfortable with a good product fails. Tab top adjustment of poor quality, in the 2nd set was broken by the part that is sewn to the shoe. No. somewhat adjusted (43) in my case.</v>
      </c>
    </row>
    <row r="4488">
      <c r="A4488" s="1">
        <v>5.0</v>
      </c>
      <c r="B4488" s="1" t="s">
        <v>4465</v>
      </c>
      <c r="C4488" t="str">
        <f>IFERROR(__xludf.DUMMYFUNCTION("GOOGLETRANSLATE(B4488, ""es"", ""en"")"),"I feel comfortable with them. Xq bought the original left forgotten my S8 + on my vacation and really these are very similar. I do not notice the difference. I recommend")</f>
        <v>I feel comfortable with them. Xq bought the original left forgotten my S8 + on my vacation and really these are very similar. I do not notice the difference. I recommend</v>
      </c>
    </row>
    <row r="4489">
      <c r="A4489" s="1">
        <v>5.0</v>
      </c>
      <c r="B4489" s="1" t="s">
        <v>4466</v>
      </c>
      <c r="C4489" t="str">
        <f>IFERROR(__xludf.DUMMYFUNCTION("GOOGLETRANSLATE(B4489, ""es"", ""en"")"),"We ordered a lovely Friday and Monday and I arrived, that already seems incredible. The pendant is beautiful, I thought maybe it would be too bright or small but it seems perfect. It's to give away at Christmas and it seems perfect and super cheap")</f>
        <v>We ordered a lovely Friday and Monday and I arrived, that already seems incredible. The pendant is beautiful, I thought maybe it would be too bright or small but it seems perfect. It's to give away at Christmas and it seems perfect and super cheap</v>
      </c>
    </row>
    <row r="4490">
      <c r="A4490" s="1">
        <v>5.0</v>
      </c>
      <c r="B4490" s="1" t="s">
        <v>4467</v>
      </c>
      <c r="C4490" t="str">
        <f>IFERROR(__xludf.DUMMYFUNCTION("GOOGLETRANSLATE(B4490, ""es"", ""en"")"),"Lightweight and comfortable music sounds very good, very good connection, well adapted to the ear and not hurt. Very pleased with purchase price seen. MPOW is a brand that I really like and over time has proven to be very reliable, I have other bluetooth "&amp;"helmets of the same brand and am super happy. Thank you")</f>
        <v>Lightweight and comfortable music sounds very good, very good connection, well adapted to the ear and not hurt. Very pleased with purchase price seen. MPOW is a brand that I really like and over time has proven to be very reliable, I have other bluetooth helmets of the same brand and am super happy. Thank you</v>
      </c>
    </row>
    <row r="4491">
      <c r="A4491" s="1">
        <v>5.0</v>
      </c>
      <c r="B4491" s="1" t="s">
        <v>4468</v>
      </c>
      <c r="C4491" t="str">
        <f>IFERROR(__xludf.DUMMYFUNCTION("GOOGLETRANSLATE(B4491, ""es"", ""en"")"),"The expected. They were a gift, and I have loved.")</f>
        <v>The expected. They were a gift, and I have loved.</v>
      </c>
    </row>
    <row r="4492">
      <c r="A4492" s="1">
        <v>5.0</v>
      </c>
      <c r="B4492" s="1" t="s">
        <v>4469</v>
      </c>
      <c r="C4492" t="str">
        <f>IFERROR(__xludf.DUMMYFUNCTION("GOOGLETRANSLATE(B4492, ""es"", ""en"")"),"Very comfortable I used them to practice running and going great. They are very light and adapt fully to the ear. They are very light and you get to forget you're wearing them. The sound quality could be improved a bit but you can not ask for more for the"&amp;" price and good composition of materials you have.")</f>
        <v>Very comfortable I used them to practice running and going great. They are very light and adapt fully to the ear. They are very light and you get to forget you're wearing them. The sound quality could be improved a bit but you can not ask for more for the price and good composition of materials you have.</v>
      </c>
    </row>
    <row r="4493">
      <c r="A4493" s="1">
        <v>5.0</v>
      </c>
      <c r="B4493" s="1" t="s">
        <v>4470</v>
      </c>
      <c r="C4493" t="str">
        <f>IFERROR(__xludf.DUMMYFUNCTION("GOOGLETRANSLATE(B4493, ""es"", ""en"")"),"excellent quality blender appears to lack of test it, comes with accessories, perfect .Packing fast delivery, good mixer, high-end aesthetics, a matter of taste")</f>
        <v>excellent quality blender appears to lack of test it, comes with accessories, perfect .Packing fast delivery, good mixer, high-end aesthetics, a matter of taste</v>
      </c>
    </row>
    <row r="4494">
      <c r="A4494" s="1">
        <v>5.0</v>
      </c>
      <c r="B4494" s="1" t="s">
        <v>4471</v>
      </c>
      <c r="C4494" t="str">
        <f>IFERROR(__xludf.DUMMYFUNCTION("GOOGLETRANSLATE(B4494, ""es"", ""en"")"),"Comfortable and nice I bought to play beach volleyball and it's going great. I was right with the sizes and very pretty. If you for depending sport or wear it if you intend to be in the gym, I find it too low-cut. I think I will buy more.")</f>
        <v>Comfortable and nice I bought to play beach volleyball and it's going great. I was right with the sizes and very pretty. If you for depending sport or wear it if you intend to be in the gym, I find it too low-cut. I think I will buy more.</v>
      </c>
    </row>
    <row r="4495">
      <c r="A4495" s="1">
        <v>5.0</v>
      </c>
      <c r="B4495" s="1" t="s">
        <v>4472</v>
      </c>
      <c r="C4495" t="str">
        <f>IFERROR(__xludf.DUMMYFUNCTION("GOOGLETRANSLATE(B4495, ""es"", ""en"")"),"Beautiful, 100% are recommended for gift along with the pendant. Beautiful and quality.")</f>
        <v>Beautiful, 100% are recommended for gift along with the pendant. Beautiful and quality.</v>
      </c>
    </row>
    <row r="4496">
      <c r="A4496" s="1">
        <v>5.0</v>
      </c>
      <c r="B4496" s="1" t="s">
        <v>4473</v>
      </c>
      <c r="C4496" t="str">
        <f>IFERROR(__xludf.DUMMYFUNCTION("GOOGLETRANSLATE(B4496, ""es"", ""en"")"),"A good product good quality product, as shown in the pictures, size, colors, recommend your purchase.")</f>
        <v>A good product good quality product, as shown in the pictures, size, colors, recommend your purchase.</v>
      </c>
    </row>
    <row r="4497">
      <c r="A4497" s="1">
        <v>5.0</v>
      </c>
      <c r="B4497" s="1" t="s">
        <v>4474</v>
      </c>
      <c r="C4497" t="str">
        <f>IFERROR(__xludf.DUMMYFUNCTION("GOOGLETRANSLATE(B4497, ""es"", ""en"")"),"Very comfortable good quality, is somewhat loose and the portion of the collar is not snug as others, but is fine for jogging or playing sports")</f>
        <v>Very comfortable good quality, is somewhat loose and the portion of the collar is not snug as others, but is fine for jogging or playing sports</v>
      </c>
    </row>
    <row r="4498">
      <c r="A4498" s="1">
        <v>5.0</v>
      </c>
      <c r="B4498" s="1" t="s">
        <v>4475</v>
      </c>
      <c r="C4498" t="str">
        <f>IFERROR(__xludf.DUMMYFUNCTION("GOOGLETRANSLATE(B4498, ""es"", ""en"")"),"Like a glove Bonitos colored socks. Its a little elastic material makes it fit you like a glove, they are very comfortable and leave no marks or lint typical when new. I have washed a few times now and still like the first day. fully recommended")</f>
        <v>Like a glove Bonitos colored socks. Its a little elastic material makes it fit you like a glove, they are very comfortable and leave no marks or lint typical when new. I have washed a few times now and still like the first day. fully recommended</v>
      </c>
    </row>
    <row r="4499">
      <c r="A4499" s="1">
        <v>5.0</v>
      </c>
      <c r="B4499" s="1" t="s">
        <v>4476</v>
      </c>
      <c r="C4499" t="str">
        <f>IFERROR(__xludf.DUMMYFUNCTION("GOOGLETRANSLATE(B4499, ""es"", ""en"")"),"Valid for sport This well finished and reinforced stitching which is important for the GIM. Lacks leading sewing in the middle of the leg to the buttocks but good is not something I worry k since at the price you are not going to complain. It is very comf"&amp;"ortable and adapts well to the body. Soft cloth. Pictured fabric seemed tougher but I do not care. Important in this transpires not colored Jjjj I'll buy more colors;)")</f>
        <v>Valid for sport This well finished and reinforced stitching which is important for the GIM. Lacks leading sewing in the middle of the leg to the buttocks but good is not something I worry k since at the price you are not going to complain. It is very comfortable and adapts well to the body. Soft cloth. Pictured fabric seemed tougher but I do not care. Important in this transpires not colored Jjjj I'll buy more colors;)</v>
      </c>
    </row>
    <row r="4500">
      <c r="A4500" s="1">
        <v>5.0</v>
      </c>
      <c r="B4500" s="1" t="s">
        <v>4477</v>
      </c>
      <c r="C4500" t="str">
        <f>IFERROR(__xludf.DUMMYFUNCTION("GOOGLETRANSLATE(B4500, ""es"", ""en"")"),"Very comfortable and perfect shoes and fast shipping")</f>
        <v>Very comfortable and perfect shoes and fast shipping</v>
      </c>
    </row>
    <row r="4501">
      <c r="A4501" s="1">
        <v>5.0</v>
      </c>
      <c r="B4501" s="1" t="s">
        <v>4478</v>
      </c>
      <c r="C4501" t="str">
        <f>IFERROR(__xludf.DUMMYFUNCTION("GOOGLETRANSLATE(B4501, ""es"", ""en"")"),"Good product I liked")</f>
        <v>Good product I liked</v>
      </c>
    </row>
    <row r="4502">
      <c r="A4502" s="1">
        <v>5.0</v>
      </c>
      <c r="B4502" s="1" t="s">
        <v>4479</v>
      </c>
      <c r="C4502" t="str">
        <f>IFERROR(__xludf.DUMMYFUNCTION("GOOGLETRANSLATE(B4502, ""es"", ""en"")"),"Very nice quality and durability and shock resistant and water recommend")</f>
        <v>Very nice quality and durability and shock resistant and water recommend</v>
      </c>
    </row>
    <row r="4503">
      <c r="A4503" s="1">
        <v>5.0</v>
      </c>
      <c r="B4503" s="1" t="s">
        <v>4480</v>
      </c>
      <c r="C4503" t="str">
        <f>IFERROR(__xludf.DUMMYFUNCTION("GOOGLETRANSLATE(B4503, ""es"", ""en"")"),"Perfect Postage somewhat slow, the normal breastplate be a product of Germany. Very happy with the purchase is what he wanted.")</f>
        <v>Perfect Postage somewhat slow, the normal breastplate be a product of Germany. Very happy with the purchase is what he wanted.</v>
      </c>
    </row>
    <row r="4504">
      <c r="A4504" s="1">
        <v>5.0</v>
      </c>
      <c r="B4504" s="1" t="s">
        <v>4481</v>
      </c>
      <c r="C4504" t="str">
        <f>IFERROR(__xludf.DUMMYFUNCTION("GOOGLETRANSLATE(B4504, ""es"", ""en"")"),"It works well. I'm happy with it. I use a BQ and works perfectly. This brand has always given me very good results in memory cards and hard disks when I have doubts always turn to SanDisk.")</f>
        <v>It works well. I'm happy with it. I use a BQ and works perfectly. This brand has always given me very good results in memory cards and hard disks when I have doubts always turn to SanDisk.</v>
      </c>
    </row>
    <row r="4505">
      <c r="A4505" s="1">
        <v>5.0</v>
      </c>
      <c r="B4505" s="1" t="s">
        <v>4482</v>
      </c>
      <c r="C4505" t="str">
        <f>IFERROR(__xludf.DUMMYFUNCTION("GOOGLETRANSLATE(B4505, ""es"", ""en"")"),"Elegant and original never had had such original watch where you see through the glass inside ,, mechanism in elegant and of good quality and at a fairly reasonable price. Correa comfortable and can adjust to the size of your wrist, weighs a little.")</f>
        <v>Elegant and original never had had such original watch where you see through the glass inside ,, mechanism in elegant and of good quality and at a fairly reasonable price. Correa comfortable and can adjust to the size of your wrist, weighs a little.</v>
      </c>
    </row>
    <row r="4506">
      <c r="A4506" s="1">
        <v>5.0</v>
      </c>
      <c r="B4506" s="1" t="s">
        <v>4483</v>
      </c>
      <c r="C4506" t="str">
        <f>IFERROR(__xludf.DUMMYFUNCTION("GOOGLETRANSLATE(B4506, ""es"", ""en"")"),"Casual and comfortable. It is warm and soft, no pockets that's how I was needed. Q unless it loose lint d first. Value recommended")</f>
        <v>Casual and comfortable. It is warm and soft, no pockets that's how I was needed. Q unless it loose lint d first. Value recommended</v>
      </c>
    </row>
    <row r="4507">
      <c r="A4507" s="1">
        <v>2.0</v>
      </c>
      <c r="B4507" s="1" t="s">
        <v>4484</v>
      </c>
      <c r="C4507" t="str">
        <f>IFERROR(__xludf.DUMMYFUNCTION("GOOGLETRANSLATE(B4507, ""es"", ""en"")"),"At the beginning very well, but then he began to strip paint. At the beginning I loved, but when temperatures rose slightly began to stain with a kind of brown shoe polish. The truth is that I liked a lot, but paint peeling while not only clothes, but als"&amp;"o my hands. I will try to return.")</f>
        <v>At the beginning very well, but then he began to strip paint. At the beginning I loved, but when temperatures rose slightly began to stain with a kind of brown shoe polish. The truth is that I liked a lot, but paint peeling while not only clothes, but also my hands. I will try to return.</v>
      </c>
    </row>
    <row r="4508">
      <c r="A4508" s="1">
        <v>3.0</v>
      </c>
      <c r="B4508" s="1" t="s">
        <v>4485</v>
      </c>
      <c r="C4508" t="str">
        <f>IFERROR(__xludf.DUMMYFUNCTION("GOOGLETRANSLATE(B4508, ""es"", ""en"")"),"Working properly but the housing is plastic ""chinoso"" working properly, buy to fill it with movies and connect it to the TV lounge, recently I received him got into 1Tb movies and working properly, I put 3 stars because the housing is pint if you drop "&amp;"""chinoso"" shatters, it is plastic")</f>
        <v>Working properly but the housing is plastic "chinoso" working properly, buy to fill it with movies and connect it to the TV lounge, recently I received him got into 1Tb movies and working properly, I put 3 stars because the housing is pint if you drop "chinoso" shatters, it is plastic</v>
      </c>
    </row>
    <row r="4509">
      <c r="A4509" s="1">
        <v>1.0</v>
      </c>
      <c r="B4509" s="1" t="s">
        <v>4486</v>
      </c>
      <c r="C4509" t="str">
        <f>IFERROR(__xludf.DUMMYFUNCTION("GOOGLETRANSLATE(B4509, ""es"", ""en"")"),"My girlfriend did not like Lacks power to remove colocao with milk, do not ask him more ... To my parents yet bought them the same but with 600 W power and are very happy ... You yourselves. ..")</f>
        <v>My girlfriend did not like Lacks power to remove colocao with milk, do not ask him more ... To my parents yet bought them the same but with 600 W power and are very happy ... You yourselves. ..</v>
      </c>
    </row>
    <row r="4510">
      <c r="A4510" s="1">
        <v>1.0</v>
      </c>
      <c r="B4510" s="1" t="s">
        <v>4487</v>
      </c>
      <c r="C4510" t="str">
        <f>IFERROR(__xludf.DUMMYFUNCTION("GOOGLETRANSLATE(B4510, ""es"", ""en"")"),"Somewhat I Not liked it! Unhelpful, water flows jet has not liked not use it !! Sent succesfully")</f>
        <v>Somewhat I Not liked it! Unhelpful, water flows jet has not liked not use it !! Sent succesfully</v>
      </c>
    </row>
    <row r="4511">
      <c r="A4511" s="1">
        <v>4.0</v>
      </c>
      <c r="B4511" s="1" t="s">
        <v>4488</v>
      </c>
      <c r="C4511" t="str">
        <f>IFERROR(__xludf.DUMMYFUNCTION("GOOGLETRANSLATE(B4511, ""es"", ""en"")"),"Good quality / price Very good blender. It looks robust and very resistant. It has nothing to do with what I had before. I recommend it.")</f>
        <v>Good quality / price Very good blender. It looks robust and very resistant. It has nothing to do with what I had before. I recommend it.</v>
      </c>
    </row>
    <row r="4512">
      <c r="A4512" s="1">
        <v>4.0</v>
      </c>
      <c r="B4512" s="1" t="s">
        <v>4489</v>
      </c>
      <c r="C4512" t="str">
        <f>IFERROR(__xludf.DUMMYFUNCTION("GOOGLETRANSLATE(B4512, ""es"", ""en"")"),"Recommended've tried many facial masks and the truth that this has surprised me, I liked it.")</f>
        <v>Recommended've tried many facial masks and the truth that this has surprised me, I liked it.</v>
      </c>
    </row>
    <row r="4513">
      <c r="A4513" s="1">
        <v>4.0</v>
      </c>
      <c r="B4513" s="1" t="s">
        <v>4490</v>
      </c>
      <c r="C4513" t="str">
        <f>IFERROR(__xludf.DUMMYFUNCTION("GOOGLETRANSLATE(B4513, ""es"", ""en"")"),"Fulfills its function - good value No need to pay more, the APEX do a good job. If you need something thicker for some particular thing can always plasticize twice (or pay significantly more for thicker cases), I see them these good value")</f>
        <v>Fulfills its function - good value No need to pay more, the APEX do a good job. If you need something thicker for some particular thing can always plasticize twice (or pay significantly more for thicker cases), I see them these good value</v>
      </c>
    </row>
    <row r="4514">
      <c r="A4514" s="1">
        <v>4.0</v>
      </c>
      <c r="B4514" s="1" t="s">
        <v>4491</v>
      </c>
      <c r="C4514" t="str">
        <f>IFERROR(__xludf.DUMMYFUNCTION("GOOGLETRANSLATE(B4514, ""es"", ""en"")"),"its power for the price that has this very WAITER use with frozen fruit and truth that melts smoothly and it is fast and small and has a large glass of capacidad.me like")</f>
        <v>its power for the price that has this very WAITER use with frozen fruit and truth that melts smoothly and it is fast and small and has a large glass of capacidad.me like</v>
      </c>
    </row>
    <row r="4515">
      <c r="A4515" s="1">
        <v>4.0</v>
      </c>
      <c r="B4515" s="1" t="s">
        <v>4492</v>
      </c>
      <c r="C4515" t="str">
        <f>IFERROR(__xludf.DUMMYFUNCTION("GOOGLETRANSLATE(B4515, ""es"", ""en"")"),"Meets and short pretty clean. Does the job, I have not used too much to comment on what the sharp blade will last, but for now cuts the first pass and fairly clean cut. Do not expect a super professional quality but gets you out of trouble and will always"&amp;" be better than cutting with scissors. Bring a bar that moves to place the paper and cut into the desired angulation.")</f>
        <v>Meets and short pretty clean. Does the job, I have not used too much to comment on what the sharp blade will last, but for now cuts the first pass and fairly clean cut. Do not expect a super professional quality but gets you out of trouble and will always be better than cutting with scissors. Bring a bar that moves to place the paper and cut into the desired angulation.</v>
      </c>
    </row>
    <row r="4516">
      <c r="A4516" s="1">
        <v>5.0</v>
      </c>
      <c r="B4516" s="1" t="s">
        <v>4493</v>
      </c>
      <c r="C4516" t="str">
        <f>IFERROR(__xludf.DUMMYFUNCTION("GOOGLETRANSLATE(B4516, ""es"", ""en"")"),"Adrian Excellent service and product. He arrived before the expected time and properly packaged. Regarding the card must say that my first impression to the unpacking is that its design is beautiful, the coated metal and touch are very accomplished. After"&amp;" installing drivers (easily downloadable from the official website) and connect've been testing and works perfectly, quality more than suitable for the price of the card, and with very intuitive controls while responding to perfection. It also includes nu"&amp;"merous software and libraries worth some 80 euros. A recommended purchase for those who want to enter the world of production or already veterans who do not have excessive budget but require quality. I'm happy with my purchase and very satisfied with the "&amp;"company. Thank you.")</f>
        <v>Adrian Excellent service and product. He arrived before the expected time and properly packaged. Regarding the card must say that my first impression to the unpacking is that its design is beautiful, the coated metal and touch are very accomplished. After installing drivers (easily downloadable from the official website) and connect've been testing and works perfectly, quality more than suitable for the price of the card, and with very intuitive controls while responding to perfection. It also includes numerous software and libraries worth some 80 euros. A recommended purchase for those who want to enter the world of production or already veterans who do not have excessive budget but require quality. I'm happy with my purchase and very satisfied with the company. Thank you.</v>
      </c>
    </row>
    <row r="4517">
      <c r="A4517" s="1">
        <v>5.0</v>
      </c>
      <c r="B4517" s="1" t="s">
        <v>4494</v>
      </c>
      <c r="C4517" t="str">
        <f>IFERROR(__xludf.DUMMYFUNCTION("GOOGLETRANSLATE(B4517, ""es"", ""en"")"),"Well stimulation")</f>
        <v>Well stimulation</v>
      </c>
    </row>
    <row r="4518">
      <c r="A4518" s="1">
        <v>5.0</v>
      </c>
      <c r="B4518" s="1" t="s">
        <v>4495</v>
      </c>
      <c r="C4518" t="str">
        <f>IFERROR(__xludf.DUMMYFUNCTION("GOOGLETRANSLATE(B4518, ""es"", ""en"")"),"ENCHANTED well packaged and good presentation. Digital clock Tous-Bear steel 700350320 IP Pink Silicone Strap negra.Se I have sent my daughter as a gift. He liked it. I have not seen in person but sent me photos. He arrived on schedule. So far, so good. T"&amp;"hank you")</f>
        <v>ENCHANTED well packaged and good presentation. Digital clock Tous-Bear steel 700350320 IP Pink Silicone Strap negra.Se I have sent my daughter as a gift. He liked it. I have not seen in person but sent me photos. He arrived on schedule. So far, so good. Thank you</v>
      </c>
    </row>
    <row r="4519">
      <c r="A4519" s="1">
        <v>5.0</v>
      </c>
      <c r="B4519" s="1" t="s">
        <v>4496</v>
      </c>
      <c r="C4519" t="str">
        <f>IFERROR(__xludf.DUMMYFUNCTION("GOOGLETRANSLATE(B4519, ""es"", ""en"")"),"Unbeatable I recently bought a blender to make my fruit juices and liked it but then I have to remove it whole for cleaning and time, with this ahorrotiempo mixer it is very easy to clean and the quality of the juice is better because it makes better use "&amp;"of the fruit and also can take it in the same container where the fruit to beat it echo.")</f>
        <v>Unbeatable I recently bought a blender to make my fruit juices and liked it but then I have to remove it whole for cleaning and time, with this ahorrotiempo mixer it is very easy to clean and the quality of the juice is better because it makes better use of the fruit and also can take it in the same container where the fruit to beat it echo.</v>
      </c>
    </row>
    <row r="4520">
      <c r="A4520" s="1">
        <v>5.0</v>
      </c>
      <c r="B4520" s="1" t="s">
        <v>4497</v>
      </c>
      <c r="C4520" t="str">
        <f>IFERROR(__xludf.DUMMYFUNCTION("GOOGLETRANSLATE(B4520, ""es"", ""en"")"),"So comfortable Very comfortable, pity they have no protection in the heel, but otherwise a success. For what they are, there is nothing better.")</f>
        <v>So comfortable Very comfortable, pity they have no protection in the heel, but otherwise a success. For what they are, there is nothing better.</v>
      </c>
    </row>
    <row r="4521">
      <c r="A4521" s="1">
        <v>5.0</v>
      </c>
      <c r="B4521" s="1" t="s">
        <v>4498</v>
      </c>
      <c r="C4521" t="str">
        <f>IFERROR(__xludf.DUMMYFUNCTION("GOOGLETRANSLATE(B4521, ""es"", ""en"")"),"Washable. It has a very soft texture, it is heated very quickly. After 60 minutes of using it, it is automatically disconnected.")</f>
        <v>Washable. It has a very soft texture, it is heated very quickly. After 60 minutes of using it, it is automatically disconnected.</v>
      </c>
    </row>
    <row r="4522">
      <c r="A4522" s="1">
        <v>5.0</v>
      </c>
      <c r="B4522" s="1" t="s">
        <v>4499</v>
      </c>
      <c r="C4522" t="str">
        <f>IFERROR(__xludf.DUMMYFUNCTION("GOOGLETRANSLATE(B4522, ""es"", ""en"")"),"quality shoe've always worn shoe with toe iron with or without laces, to work in the kitchen, but after trying this, you feel more comfortable, it's like having air chamber, as in sports, noticeable k are quality, non-slip in oil and water, easy to clean,"&amp;" mangerazo the gun and ready, I recommend")</f>
        <v>quality shoe've always worn shoe with toe iron with or without laces, to work in the kitchen, but after trying this, you feel more comfortable, it's like having air chamber, as in sports, noticeable k are quality, non-slip in oil and water, easy to clean, mangerazo the gun and ready, I recommend</v>
      </c>
    </row>
    <row r="4523">
      <c r="A4523" s="1">
        <v>5.0</v>
      </c>
      <c r="B4523" s="1" t="s">
        <v>4500</v>
      </c>
      <c r="C4523" t="str">
        <f>IFERROR(__xludf.DUMMYFUNCTION("GOOGLETRANSLATE(B4523, ""es"", ""en"")"),"Very mild heat good calidad..Suave to the tacto.Comoda for use in hombros..los fully covers even much back and neck")</f>
        <v>Very mild heat good calidad..Suave to the tacto.Comoda for use in hombros..los fully covers even much back and neck</v>
      </c>
    </row>
    <row r="4524">
      <c r="A4524" s="1">
        <v>5.0</v>
      </c>
      <c r="B4524" s="1" t="s">
        <v>4501</v>
      </c>
      <c r="C4524" t="str">
        <f>IFERROR(__xludf.DUMMYFUNCTION("GOOGLETRANSLATE(B4524, ""es"", ""en"")"),"I already bought two pairs Very warm and suitable for older people because they avoid slipping")</f>
        <v>I already bought two pairs Very warm and suitable for older people because they avoid slipping</v>
      </c>
    </row>
    <row r="4525">
      <c r="A4525" s="1">
        <v>5.0</v>
      </c>
      <c r="B4525" s="1" t="s">
        <v>4502</v>
      </c>
      <c r="C4525" t="str">
        <f>IFERROR(__xludf.DUMMYFUNCTION("GOOGLETRANSLATE(B4525, ""es"", ""en"")"),"The would ask Cris are comfortable good quality of the fabric and one of the important points for me is will not show anything underwear good quality definitely")</f>
        <v>The would ask Cris are comfortable good quality of the fabric and one of the important points for me is will not show anything underwear good quality definitely</v>
      </c>
    </row>
    <row r="4526">
      <c r="A4526" s="1">
        <v>5.0</v>
      </c>
      <c r="B4526" s="1" t="s">
        <v>4503</v>
      </c>
      <c r="C4526" t="str">
        <f>IFERROR(__xludf.DUMMYFUNCTION("GOOGLETRANSLATE(B4526, ""es"", ""en"")"),"is an essential appliance in the kitchen is an essential appliance in the kitchen once you've already used can not leave it, yes yes yes yes")</f>
        <v>is an essential appliance in the kitchen is an essential appliance in the kitchen once you've already used can not leave it, yes yes yes yes</v>
      </c>
    </row>
    <row r="4527">
      <c r="A4527" s="1">
        <v>5.0</v>
      </c>
      <c r="B4527" s="1" t="s">
        <v>4504</v>
      </c>
      <c r="C4527" t="str">
        <f>IFERROR(__xludf.DUMMYFUNCTION("GOOGLETRANSLATE(B4527, ""es"", ""en"")"),"Perfect to moisturize hair I used it for hair, have always had the problem of dry hair and for the first time, I found a product that I really repairs hair. I put myself at night and I wash it in the morning twice a week.")</f>
        <v>Perfect to moisturize hair I used it for hair, have always had the problem of dry hair and for the first time, I found a product that I really repairs hair. I put myself at night and I wash it in the morning twice a week.</v>
      </c>
    </row>
    <row r="4528">
      <c r="A4528" s="1">
        <v>5.0</v>
      </c>
      <c r="B4528" s="1" t="s">
        <v>4505</v>
      </c>
      <c r="C4528" t="str">
        <f>IFERROR(__xludf.DUMMYFUNCTION("GOOGLETRANSLATE(B4528, ""es"", ""en"")"),"Recommended My 5 month old baby did not want any bottle during the weaning process. When tested with a bottle-spoon was our salvation. Now we give milk, cereals and fruit porridges with this.")</f>
        <v>Recommended My 5 month old baby did not want any bottle during the weaning process. When tested with a bottle-spoon was our salvation. Now we give milk, cereals and fruit porridges with this.</v>
      </c>
    </row>
    <row r="4529">
      <c r="A4529" s="1">
        <v>5.0</v>
      </c>
      <c r="B4529" s="1" t="s">
        <v>4506</v>
      </c>
      <c r="C4529" t="str">
        <f>IFERROR(__xludf.DUMMYFUNCTION("GOOGLETRANSLATE(B4529, ""es"", ""en"")"),"Very good very good. In one day I had at home.")</f>
        <v>Very good very good. In one day I had at home.</v>
      </c>
    </row>
    <row r="4530">
      <c r="A4530" s="1">
        <v>5.0</v>
      </c>
      <c r="B4530" s="1" t="s">
        <v>4507</v>
      </c>
      <c r="C4530" t="str">
        <f>IFERROR(__xludf.DUMMYFUNCTION("GOOGLETRANSLATE(B4530, ""es"", ""en"")"),"Delighted with purchase. The headphones are compatible with my Xiaomi and great sound is heard.")</f>
        <v>Delighted with purchase. The headphones are compatible with my Xiaomi and great sound is heard.</v>
      </c>
    </row>
    <row r="4531">
      <c r="A4531" s="1">
        <v>5.0</v>
      </c>
      <c r="B4531" s="1" t="s">
        <v>4508</v>
      </c>
      <c r="C4531" t="str">
        <f>IFERROR(__xludf.DUMMYFUNCTION("GOOGLETRANSLATE(B4531, ""es"", ""en"")"),"Very fast on large files, slashing performance indicating the manufacturer The fact that the performance that gives this to work well, especially with large files. It is a brand that knew before, but until today is working perfectly. The tests performed i"&amp;"ndicate a rate of 350.3 Mb / s reading and 81 Mb / s writing team tested a next-generation i7 quite powerful. He approaches the 400Mb / s and 100Mb / s writing given by the manufacturer. A 2gb file is copied played in 15 seconds. It is removed in 13 secon"&amp;"ds a file of 3.5 GB. The benchmark performed gives very good score in the SeqQ32T1, but in other performance tests is quite low, it penalizes much random access. What does this ?, because if you want to boot an operating system from the USB and use a live"&amp;" distribution will go very very slow, you either will work fine for running applications, but to bring files back and forth you go perfect. It has no light indicating whether working. Among the memories I've tried is the fastest, for the same price I have"&amp;" a sandisk not even reach 100 reading https://www.amazon.es/dp/B07855LJ99/ If a fault occurs with memory I'll update review of happy with it now.")</f>
        <v>Very fast on large files, slashing performance indicating the manufacturer The fact that the performance that gives this to work well, especially with large files. It is a brand that knew before, but until today is working perfectly. The tests performed indicate a rate of 350.3 Mb / s reading and 81 Mb / s writing team tested a next-generation i7 quite powerful. He approaches the 400Mb / s and 100Mb / s writing given by the manufacturer. A 2gb file is copied played in 15 seconds. It is removed in 13 seconds a file of 3.5 GB. The benchmark performed gives very good score in the SeqQ32T1, but in other performance tests is quite low, it penalizes much random access. What does this ?, because if you want to boot an operating system from the USB and use a live distribution will go very very slow, you either will work fine for running applications, but to bring files back and forth you go perfect. It has no light indicating whether working. Among the memories I've tried is the fastest, for the same price I have a sandisk not even reach 100 reading https://www.amazon.es/dp/B07855LJ99/ If a fault occurs with memory I'll update review of happy with it now.</v>
      </c>
    </row>
    <row r="4532">
      <c r="A4532" s="1">
        <v>5.0</v>
      </c>
      <c r="B4532" s="1" t="s">
        <v>4509</v>
      </c>
      <c r="C4532" t="str">
        <f>IFERROR(__xludf.DUMMYFUNCTION("GOOGLETRANSLATE(B4532, ""es"", ""en"")"),"It is a good quality and efficient protection. For work")</f>
        <v>It is a good quality and efficient protection. For work</v>
      </c>
    </row>
    <row r="4533">
      <c r="A4533" s="1">
        <v>5.0</v>
      </c>
      <c r="B4533" s="1" t="s">
        <v>4510</v>
      </c>
      <c r="C4533" t="str">
        <f>IFERROR(__xludf.DUMMYFUNCTION("GOOGLETRANSLATE(B4533, ""es"", ""en"")"),"Nice and super practical Spectacular am delighted with my mincer is very practical, and when cooking me greatly facilitates the preparation of food")</f>
        <v>Nice and super practical Spectacular am delighted with my mincer is very practical, and when cooking me greatly facilitates the preparation of food</v>
      </c>
    </row>
    <row r="4534">
      <c r="A4534" s="1">
        <v>2.0</v>
      </c>
      <c r="B4534" s="1" t="s">
        <v>4511</v>
      </c>
      <c r="C4534" t="str">
        <f>IFERROR(__xludf.DUMMYFUNCTION("GOOGLETRANSLATE(B4534, ""es"", ""en"")"),"Mal, let down badly refitted to price the battery is flawed or something barely day Early pense days q was for use inefficient But now barely a day when it rises or giaras wrist screen does not turn I have rotate several times or to strongly turn Estetica"&amp;"mente August 1")</f>
        <v>Mal, let down badly refitted to price the battery is flawed or something barely day Early pense days q was for use inefficient But now barely a day when it rises or giaras wrist screen does not turn I have rotate several times or to strongly turn Esteticamente August 1</v>
      </c>
    </row>
    <row r="4535">
      <c r="A4535" s="1">
        <v>3.0</v>
      </c>
      <c r="B4535" s="1" t="s">
        <v>4512</v>
      </c>
      <c r="C4535" t="str">
        <f>IFERROR(__xludf.DUMMYFUNCTION("GOOGLETRANSLATE(B4535, ""es"", ""en"")"),"Is very heavy and uncomfortable bucket dries very bad soil")</f>
        <v>Is very heavy and uncomfortable bucket dries very bad soil</v>
      </c>
    </row>
    <row r="4536">
      <c r="A4536" s="1">
        <v>3.0</v>
      </c>
      <c r="B4536" s="1" t="s">
        <v>4513</v>
      </c>
      <c r="C4536" t="str">
        <f>IFERROR(__xludf.DUMMYFUNCTION("GOOGLETRANSLATE(B4536, ""es"", ""en"")"),"Microphone stand microphone stand, okay")</f>
        <v>Microphone stand microphone stand, okay</v>
      </c>
    </row>
    <row r="4537">
      <c r="A4537" s="1">
        <v>1.0</v>
      </c>
      <c r="B4537" s="1" t="s">
        <v>4514</v>
      </c>
      <c r="C4537" t="str">
        <f>IFERROR(__xludf.DUMMYFUNCTION("GOOGLETRANSLATE(B4537, ""es"", ""en"")"),"I'm not happy because I would have liked to try this brand I'm not very happy with the shoes first the pedi 2x green and melas sent brown, I use a 42 but they were small yields little size Pedi 43 and was not comfortable 43.5 should have asked but tired I"&amp;" d much to ask and return.")</f>
        <v>I'm not happy because I would have liked to try this brand I'm not very happy with the shoes first the pedi 2x green and melas sent brown, I use a 42 but they were small yields little size Pedi 43 and was not comfortable 43.5 should have asked but tired I d much to ask and return.</v>
      </c>
    </row>
    <row r="4538">
      <c r="A4538" s="1">
        <v>1.0</v>
      </c>
      <c r="B4538" s="1" t="s">
        <v>4515</v>
      </c>
      <c r="C4538" t="str">
        <f>IFERROR(__xludf.DUMMYFUNCTION("GOOGLETRANSLATE(B4538, ""es"", ""en"")"),"Low-quality materials vanmuy loose fasteners")</f>
        <v>Low-quality materials vanmuy loose fasteners</v>
      </c>
    </row>
    <row r="4539">
      <c r="A4539" s="1">
        <v>1.0</v>
      </c>
      <c r="B4539" s="1" t="s">
        <v>4516</v>
      </c>
      <c r="C4539" t="str">
        <f>IFERROR(__xludf.DUMMYFUNCTION("GOOGLETRANSLATE(B4539, ""es"", ""en"")"),"Ad misleading The product is advertised with 6 pairs (= 6 pairs) and only Vinen 3!")</f>
        <v>Ad misleading The product is advertised with 6 pairs (= 6 pairs) and only Vinen 3!</v>
      </c>
    </row>
    <row r="4540">
      <c r="A4540" s="1">
        <v>4.0</v>
      </c>
      <c r="B4540" s="1" t="s">
        <v>4517</v>
      </c>
      <c r="C4540" t="str">
        <f>IFERROR(__xludf.DUMMYFUNCTION("GOOGLETRANSLATE(B4540, ""es"", ""en"")"),"good all good")</f>
        <v>good all good</v>
      </c>
    </row>
    <row r="4541">
      <c r="A4541" s="1">
        <v>4.0</v>
      </c>
      <c r="B4541" s="1" t="s">
        <v>4518</v>
      </c>
      <c r="C4541" t="str">
        <f>IFERROR(__xludf.DUMMYFUNCTION("GOOGLETRANSLATE(B4541, ""es"", ""en"")"),"comfort value")</f>
        <v>comfort value</v>
      </c>
    </row>
    <row r="4542">
      <c r="A4542" s="1">
        <v>4.0</v>
      </c>
      <c r="B4542" s="1" t="s">
        <v>4519</v>
      </c>
      <c r="C4542" t="str">
        <f>IFERROR(__xludf.DUMMYFUNCTION("GOOGLETRANSLATE(B4542, ""es"", ""en"")"),"As he expected as expected. The first time I put them made me a super nasty chafing in the heel .. I not yet have me relocated .. but imagine when they will give a little more comfortable")</f>
        <v>As he expected as expected. The first time I put them made me a super nasty chafing in the heel .. I not yet have me relocated .. but imagine when they will give a little more comfortable</v>
      </c>
    </row>
    <row r="4543">
      <c r="A4543" s="1">
        <v>4.0</v>
      </c>
      <c r="B4543" s="1" t="s">
        <v>4520</v>
      </c>
      <c r="C4543" t="str">
        <f>IFERROR(__xludf.DUMMYFUNCTION("GOOGLETRANSLATE(B4543, ""es"", ""en"")"),"Highly recommended purchase. Excellent workmanship and high quality material, giving it four stars because with a zipper to close the inside would have been 10.")</f>
        <v>Highly recommended purchase. Excellent workmanship and high quality material, giving it four stars because with a zipper to close the inside would have been 10.</v>
      </c>
    </row>
    <row r="4544">
      <c r="A4544" s="1">
        <v>4.0</v>
      </c>
      <c r="B4544" s="1" t="s">
        <v>4521</v>
      </c>
      <c r="C4544" t="str">
        <f>IFERROR(__xludf.DUMMYFUNCTION("GOOGLETRANSLATE(B4544, ""es"", ""en"")"),"Tiny and light as you can see in the picture size is very small which means that keepeth not lose anything important pq shortly. It has USB connection and C type I tested my phone and it works perfectly.")</f>
        <v>Tiny and light as you can see in the picture size is very small which means that keepeth not lose anything important pq shortly. It has USB connection and C type I tested my phone and it works perfectly.</v>
      </c>
    </row>
    <row r="4545">
      <c r="A4545" s="1">
        <v>5.0</v>
      </c>
      <c r="B4545" s="1" t="s">
        <v>4522</v>
      </c>
      <c r="C4545" t="str">
        <f>IFERROR(__xludf.DUMMYFUNCTION("GOOGLETRANSLATE(B4545, ""es"", ""en"")"),"Not change it for another. The truth is that is passed as clean. It has power to spare and the laser does not turn yourself silly as other ...")</f>
        <v>Not change it for another. The truth is that is passed as clean. It has power to spare and the laser does not turn yourself silly as other ...</v>
      </c>
    </row>
    <row r="4546">
      <c r="A4546" s="1">
        <v>5.0</v>
      </c>
      <c r="B4546" s="1" t="s">
        <v>4523</v>
      </c>
      <c r="C4546" t="str">
        <f>IFERROR(__xludf.DUMMYFUNCTION("GOOGLETRANSLATE(B4546, ""es"", ""en"")"),"Delighted with the purchase I loved the necklace, he arrived safely and on schedule")</f>
        <v>Delighted with the purchase I loved the necklace, he arrived safely and on schedule</v>
      </c>
    </row>
    <row r="4547">
      <c r="A4547" s="1">
        <v>5.0</v>
      </c>
      <c r="B4547" s="1" t="s">
        <v>4524</v>
      </c>
      <c r="C4547" t="str">
        <f>IFERROR(__xludf.DUMMYFUNCTION("GOOGLETRANSLATE(B4547, ""es"", ""en"")"),"100% recommended Great Value, 100% recommended")</f>
        <v>100% recommended Great Value, 100% recommended</v>
      </c>
    </row>
    <row r="4548">
      <c r="A4548" s="1">
        <v>5.0</v>
      </c>
      <c r="B4548" s="1" t="s">
        <v>4525</v>
      </c>
      <c r="C4548" t="str">
        <f>IFERROR(__xludf.DUMMYFUNCTION("GOOGLETRANSLATE(B4548, ""es"", ""en"")"),"Perfect price / quality I love. Light comfortable .. not sack me and look good with everything")</f>
        <v>Perfect price / quality I love. Light comfortable .. not sack me and look good with everything</v>
      </c>
    </row>
    <row r="4549">
      <c r="A4549" s="1">
        <v>5.0</v>
      </c>
      <c r="B4549" s="1" t="s">
        <v>748</v>
      </c>
      <c r="C4549" t="str">
        <f>IFERROR(__xludf.DUMMYFUNCTION("GOOGLETRANSLATE(B4549, ""es"", ""en"")"),"perfect Great")</f>
        <v>perfect Great</v>
      </c>
    </row>
    <row r="4550">
      <c r="A4550" s="1">
        <v>5.0</v>
      </c>
      <c r="B4550" s="1" t="s">
        <v>4526</v>
      </c>
      <c r="C4550" t="str">
        <f>IFERROR(__xludf.DUMMYFUNCTION("GOOGLETRANSLATE(B4550, ""es"", ""en"")"),"Genial very cool!")</f>
        <v>Genial very cool!</v>
      </c>
    </row>
    <row r="4551">
      <c r="A4551" s="1">
        <v>5.0</v>
      </c>
      <c r="B4551" s="1" t="s">
        <v>4527</v>
      </c>
      <c r="C4551" t="str">
        <f>IFERROR(__xludf.DUMMYFUNCTION("GOOGLETRANSLATE(B4551, ""es"", ""en"")"),"Good product quality and convenience, comfortable and good value for money clalidad")</f>
        <v>Good product quality and convenience, comfortable and good value for money clalidad</v>
      </c>
    </row>
    <row r="4552">
      <c r="A4552" s="1">
        <v>5.0</v>
      </c>
      <c r="B4552" s="1" t="s">
        <v>4528</v>
      </c>
      <c r="C4552" t="str">
        <f>IFERROR(__xludf.DUMMYFUNCTION("GOOGLETRANSLATE(B4552, ""es"", ""en"")"),"good typing speed card is pretty good ... has good typing speed ... I'm happy")</f>
        <v>good typing speed card is pretty good ... has good typing speed ... I'm happy</v>
      </c>
    </row>
    <row r="4553">
      <c r="A4553" s="1">
        <v>5.0</v>
      </c>
      <c r="B4553" s="1" t="s">
        <v>4529</v>
      </c>
      <c r="C4553" t="str">
        <f>IFERROR(__xludf.DUMMYFUNCTION("GOOGLETRANSLATE(B4553, ""es"", ""en"")"),"Very cool charm Me")</f>
        <v>Very cool charm Me</v>
      </c>
    </row>
    <row r="4554">
      <c r="A4554" s="1">
        <v>5.0</v>
      </c>
      <c r="B4554" s="1" t="s">
        <v>4530</v>
      </c>
      <c r="C4554" t="str">
        <f>IFERROR(__xludf.DUMMYFUNCTION("GOOGLETRANSLATE(B4554, ""es"", ""en"")"),"Child alarm many features with many functions, different alarm sounds, sounds pretty relaxing nature ... etc. Is an ideal gift for kids who are afraid of the dark, because it has different illumination colors and has a mode in which a smiley appears on th"&amp;"e screen or smiley. In addition, the shape of the clock is an ideal size and has on the side pieces as if they were the ears. It is a very original clock for children and not so young.")</f>
        <v>Child alarm many features with many functions, different alarm sounds, sounds pretty relaxing nature ... etc. Is an ideal gift for kids who are afraid of the dark, because it has different illumination colors and has a mode in which a smiley appears on the screen or smiley. In addition, the shape of the clock is an ideal size and has on the side pieces as if they were the ears. It is a very original clock for children and not so young.</v>
      </c>
    </row>
    <row r="4555">
      <c r="A4555" s="1">
        <v>5.0</v>
      </c>
      <c r="B4555" s="1" t="s">
        <v>4531</v>
      </c>
      <c r="C4555" t="str">
        <f>IFERROR(__xludf.DUMMYFUNCTION("GOOGLETRANSLATE(B4555, ""es"", ""en"")"),"Contenta Perfect, comfortable to wear (understanding its dimensions) buy it now while I value, thrilled")</f>
        <v>Contenta Perfect, comfortable to wear (understanding its dimensions) buy it now while I value, thrilled</v>
      </c>
    </row>
    <row r="4556">
      <c r="A4556" s="1">
        <v>5.0</v>
      </c>
      <c r="B4556" s="1" t="s">
        <v>4532</v>
      </c>
      <c r="C4556" t="str">
        <f>IFERROR(__xludf.DUMMYFUNCTION("GOOGLETRANSLATE(B4556, ""es"", ""en"")"),"Perfect Product Delivery and cmplen espectativas")</f>
        <v>Perfect Product Delivery and cmplen espectativas</v>
      </c>
    </row>
    <row r="4557">
      <c r="A4557" s="1">
        <v>5.0</v>
      </c>
      <c r="B4557" s="1" t="s">
        <v>4533</v>
      </c>
      <c r="C4557" t="str">
        <f>IFERROR(__xludf.DUMMYFUNCTION("GOOGLETRANSLATE(B4557, ""es"", ""en"")"),"Good buy more than satisfied with the buy, right size 38. Utilize for use in a thermal lake and it worked perfect. Easy to clean")</f>
        <v>Good buy more than satisfied with the buy, right size 38. Utilize for use in a thermal lake and it worked perfect. Easy to clean</v>
      </c>
    </row>
    <row r="4558">
      <c r="A4558" s="1">
        <v>5.0</v>
      </c>
      <c r="B4558" s="1" t="s">
        <v>4534</v>
      </c>
      <c r="C4558" t="str">
        <f>IFERROR(__xludf.DUMMYFUNCTION("GOOGLETRANSLATE(B4558, ""es"", ""en"")"),"Slippers recommend them nice and comfortable. For the price they have is fine. Fulfill their function perfectly. Comfortable and good calidad.he been very happy with éstas.Los recommend 100%!")</f>
        <v>Slippers recommend them nice and comfortable. For the price they have is fine. Fulfill their function perfectly. Comfortable and good calidad.he been very happy with éstas.Los recommend 100%!</v>
      </c>
    </row>
    <row r="4559">
      <c r="A4559" s="1">
        <v>5.0</v>
      </c>
      <c r="B4559" s="1" t="s">
        <v>4535</v>
      </c>
      <c r="C4559" t="str">
        <f>IFERROR(__xludf.DUMMYFUNCTION("GOOGLETRANSLATE(B4559, ""es"", ""en"")"),"Perfect and original are perfect as it comes in the description of the article")</f>
        <v>Perfect and original are perfect as it comes in the description of the article</v>
      </c>
    </row>
    <row r="4560">
      <c r="A4560" s="1">
        <v>5.0</v>
      </c>
      <c r="B4560" s="1" t="s">
        <v>4536</v>
      </c>
      <c r="C4560" t="str">
        <f>IFERROR(__xludf.DUMMYFUNCTION("GOOGLETRANSLATE(B4560, ""es"", ""en"")"),"Good product at the moment. Initial assessment: I have several like this, but 1TB. Given its good performance, I bought again this. So far, I've been copying files of various sizes and works very well. Plugged into a USB3 in a new laptop I copied from dis"&amp;"coUSB to discoUSB, more than 120MB / s. One last. It comes in NTFS. I've connected to a Samsung TV for about 6 years, and reads smoothly. I continue to report.")</f>
        <v>Good product at the moment. Initial assessment: I have several like this, but 1TB. Given its good performance, I bought again this. So far, I've been copying files of various sizes and works very well. Plugged into a USB3 in a new laptop I copied from discoUSB to discoUSB, more than 120MB / s. One last. It comes in NTFS. I've connected to a Samsung TV for about 6 years, and reads smoothly. I continue to report.</v>
      </c>
    </row>
    <row r="4561">
      <c r="A4561" s="1">
        <v>5.0</v>
      </c>
      <c r="B4561" s="1" t="s">
        <v>4537</v>
      </c>
      <c r="C4561" t="str">
        <f>IFERROR(__xludf.DUMMYFUNCTION("GOOGLETRANSLATE(B4561, ""es"", ""en"")"),"REEBOK SNEAKERS LIFELONG The order came marked for it without any problems day. The size of the shoes is waiting for me and I had no problem with it because I followed the instructions on the sizing chart. Are the shoes that I bought almost always for you"&amp;"r convenience, and after probármelas, are still very comfortable. Are good shoes that left me a good price taking advantage of the offer they had.")</f>
        <v>REEBOK SNEAKERS LIFELONG The order came marked for it without any problems day. The size of the shoes is waiting for me and I had no problem with it because I followed the instructions on the sizing chart. Are the shoes that I bought almost always for your convenience, and after probármelas, are still very comfortable. Are good shoes that left me a good price taking advantage of the offer they had.</v>
      </c>
    </row>
    <row r="4562">
      <c r="A4562" s="1">
        <v>5.0</v>
      </c>
      <c r="B4562" s="1" t="s">
        <v>4538</v>
      </c>
      <c r="C4562" t="str">
        <f>IFERROR(__xludf.DUMMYFUNCTION("GOOGLETRANSLATE(B4562, ""es"", ""en"")"),"I love sound amazing !! Product and incredible quality. I gave it away and now I've bought to give it away. Battery lasts a lot and the sound is perfect. It comes with a case to save it with a cable for charging and one for plugging. They are comfortable,"&amp;" and the price is very good. I recommend it.")</f>
        <v>I love sound amazing !! Product and incredible quality. I gave it away and now I've bought to give it away. Battery lasts a lot and the sound is perfect. It comes with a case to save it with a cable for charging and one for plugging. They are comfortable, and the price is very good. I recommend it.</v>
      </c>
    </row>
    <row r="4563">
      <c r="A4563" s="1">
        <v>5.0</v>
      </c>
      <c r="B4563" s="1" t="s">
        <v>4539</v>
      </c>
      <c r="C4563" t="str">
        <f>IFERROR(__xludf.DUMMYFUNCTION("GOOGLETRANSLATE(B4563, ""es"", ""en"")"),"Ok all I've used for more than a year in a camera and doing very well, capturing and recording images is very fast and has never given me a problem either in the camera or on the computer.")</f>
        <v>Ok all I've used for more than a year in a camera and doing very well, capturing and recording images is very fast and has never given me a problem either in the camera or on the computer.</v>
      </c>
    </row>
    <row r="4564">
      <c r="A4564" s="1">
        <v>2.0</v>
      </c>
      <c r="B4564" s="1" t="s">
        <v>4540</v>
      </c>
      <c r="C4564" t="str">
        <f>IFERROR(__xludf.DUMMYFUNCTION("GOOGLETRANSLATE(B4564, ""es"", ""en"")"),"At the beginning bad materials very well but as other users it has lasted a year and a bit and crashed. Poor quality materials")</f>
        <v>At the beginning bad materials very well but as other users it has lasted a year and a bit and crashed. Poor quality materials</v>
      </c>
    </row>
    <row r="4565">
      <c r="A4565" s="1">
        <v>3.0</v>
      </c>
      <c r="B4565" s="1" t="s">
        <v>4541</v>
      </c>
      <c r="C4565" t="str">
        <f>IFERROR(__xludf.DUMMYFUNCTION("GOOGLETRANSLATE(B4565, ""es"", ""en"")"),"Running I bought it as a stopwatch principalamente utlizarlo leg and is good. As digital clock is aceptableente elegant. I recommend anything or anyone.")</f>
        <v>Running I bought it as a stopwatch principalamente utlizarlo leg and is good. As digital clock is aceptableente elegant. I recommend anything or anyone.</v>
      </c>
    </row>
    <row r="4566">
      <c r="A4566" s="1">
        <v>3.0</v>
      </c>
      <c r="B4566" s="1" t="s">
        <v>4542</v>
      </c>
      <c r="C4566" t="str">
        <f>IFERROR(__xludf.DUMMYFUNCTION("GOOGLETRANSLATE(B4566, ""es"", ""en"")"),"Something small When I received it I found very little in the pictures does not give that appearance. Otherwise the product is well")</f>
        <v>Something small When I received it I found very little in the pictures does not give that appearance. Otherwise the product is well</v>
      </c>
    </row>
    <row r="4567">
      <c r="A4567" s="1">
        <v>1.0</v>
      </c>
      <c r="B4567" s="1" t="s">
        <v>4543</v>
      </c>
      <c r="C4567" t="str">
        <f>IFERROR(__xludf.DUMMYFUNCTION("GOOGLETRANSLATE(B4567, ""es"", ""en"")"),"Are plastic is plastic, I thought q would stone")</f>
        <v>Are plastic is plastic, I thought q would stone</v>
      </c>
    </row>
    <row r="4568">
      <c r="A4568" s="1">
        <v>1.0</v>
      </c>
      <c r="B4568" s="1" t="s">
        <v>4544</v>
      </c>
      <c r="C4568" t="str">
        <f>IFERROR(__xludf.DUMMYFUNCTION("GOOGLETRANSLATE(B4568, ""es"", ""en"")"),"Instable instable, the arm does not support the weight of a micro Rode, although I adjusted to the maximum weight of the micro just down the arm")</f>
        <v>Instable instable, the arm does not support the weight of a micro Rode, although I adjusted to the maximum weight of the micro just down the arm</v>
      </c>
    </row>
    <row r="4569">
      <c r="A4569" s="1">
        <v>4.0</v>
      </c>
      <c r="B4569" s="1" t="s">
        <v>4545</v>
      </c>
      <c r="C4569" t="str">
        <f>IFERROR(__xludf.DUMMYFUNCTION("GOOGLETRANSLATE(B4569, ""es"", ""en"")"),"Indispensable in everyday Despite being able to live perfectly without Roomba, it agredece much have it. Those that you have pets you will understand perfectly well. We are 2 people in house, 1 dog and 1 cat and the house was very dirty despite the care w"&amp;"e have. Before having the Roomba, we had to suck it daily as fluff formed after 2 days and the feeling was not been cleaned in a long time even if not. He did not have much time every day to devote to household tasks, buy the Roomba has been a big acquisi"&amp;"tion because it saves us a lot of time (and effort!). A more technical level, say the Roomba 615 has fulfilled all our expectations. Aspira the house perfectly, even the most stubborn dirt: human hair, pet, dust, but also capable of sucking smoothly even "&amp;"silica sand we use for the cat (it is quite large). It's amazing how perfectly hurries corners and furniture (such as turns and sucks around the legs of the chair). So, in this sense, no complaints. The battery lasts long enough, and the result is very go"&amp;"od. Aspects to improve? - Sometimes it's a little abrupt and has been able to open doors that do not close on the whole well or has closed others were open. It fits within what is understandable, since it is able to climb small ramps and uneven, but it mi"&amp;"ght be an aspect to improve. - Definitely, it would be improved is the noise it makes to the aspirate. Completely understandable because of the work done, but it can be annoying if you are at home (although not in the same room). How to solve it? Put the "&amp;"Roomba when you are not at home, or do it in 2 batches, closing doors through (the sound is quite isolated if there is a closed door). If you recommend? Definitely. Saving time and effort every day, and the house always ends up being cleaner.")</f>
        <v>Indispensable in everyday Despite being able to live perfectly without Roomba, it agredece much have it. Those that you have pets you will understand perfectly well. We are 2 people in house, 1 dog and 1 cat and the house was very dirty despite the care we have. Before having the Roomba, we had to suck it daily as fluff formed after 2 days and the feeling was not been cleaned in a long time even if not. He did not have much time every day to devote to household tasks, buy the Roomba has been a big acquisition because it saves us a lot of time (and effort!). A more technical level, say the Roomba 615 has fulfilled all our expectations. Aspira the house perfectly, even the most stubborn dirt: human hair, pet, dust, but also capable of sucking smoothly even silica sand we use for the cat (it is quite large). It's amazing how perfectly hurries corners and furniture (such as turns and sucks around the legs of the chair). So, in this sense, no complaints. The battery lasts long enough, and the result is very good. Aspects to improve? - Sometimes it's a little abrupt and has been able to open doors that do not close on the whole well or has closed others were open. It fits within what is understandable, since it is able to climb small ramps and uneven, but it might be an aspect to improve. - Definitely, it would be improved is the noise it makes to the aspirate. Completely understandable because of the work done, but it can be annoying if you are at home (although not in the same room). How to solve it? Put the Roomba when you are not at home, or do it in 2 batches, closing doors through (the sound is quite isolated if there is a closed door). If you recommend? Definitely. Saving time and effort every day, and the house always ends up being cleaner.</v>
      </c>
    </row>
    <row r="4570">
      <c r="A4570" s="1">
        <v>4.0</v>
      </c>
      <c r="B4570" s="1" t="s">
        <v>4546</v>
      </c>
      <c r="C4570" t="str">
        <f>IFERROR(__xludf.DUMMYFUNCTION("GOOGLETRANSLATE(B4570, ""es"", ""en"")"),"Widths are good and my son did not want to drink this bottle and if you think it's because you can grab your hands well with 10 month old baby")</f>
        <v>Widths are good and my son did not want to drink this bottle and if you think it's because you can grab your hands well with 10 month old baby</v>
      </c>
    </row>
    <row r="4571">
      <c r="A4571" s="1">
        <v>4.0</v>
      </c>
      <c r="B4571" s="1" t="s">
        <v>4547</v>
      </c>
      <c r="C4571" t="str">
        <f>IFERROR(__xludf.DUMMYFUNCTION("GOOGLETRANSLATE(B4571, ""es"", ""en"")"),"Good choice for cameras and other devices affordable option if you do not have big needs. If you do bursts in RAW to 30 megapixels or video recording in 4K hours, certainly will not serve nor speed nor capacity. If you do not understand the previous sente"&amp;"nce, or your needs are more basic, you'll be fine. See also the option of 32GB, because there is no big difference in price.")</f>
        <v>Good choice for cameras and other devices affordable option if you do not have big needs. If you do bursts in RAW to 30 megapixels or video recording in 4K hours, certainly will not serve nor speed nor capacity. If you do not understand the previous sentence, or your needs are more basic, you'll be fine. See also the option of 32GB, because there is no big difference in price.</v>
      </c>
    </row>
    <row r="4572">
      <c r="A4572" s="1">
        <v>4.0</v>
      </c>
      <c r="B4572" s="1" t="s">
        <v>4548</v>
      </c>
      <c r="C4572" t="str">
        <f>IFERROR(__xludf.DUMMYFUNCTION("GOOGLETRANSLATE(B4572, ""es"", ""en"")"),"There are quite pretty bad but they are a bit heavy.")</f>
        <v>There are quite pretty bad but they are a bit heavy.</v>
      </c>
    </row>
    <row r="4573">
      <c r="A4573" s="1">
        <v>5.0</v>
      </c>
      <c r="B4573" s="1" t="s">
        <v>4549</v>
      </c>
      <c r="C4573" t="str">
        <f>IFERROR(__xludf.DUMMYFUNCTION("GOOGLETRANSLATE(B4573, ""es"", ""en"")"),"Super comfortable they arrived quickly and the best is that they are super comfortable, like wearing nothing but the same time holding the chest. If it is true that for sports not work.")</f>
        <v>Super comfortable they arrived quickly and the best is that they are super comfortable, like wearing nothing but the same time holding the chest. If it is true that for sports not work.</v>
      </c>
    </row>
    <row r="4574">
      <c r="A4574" s="1">
        <v>5.0</v>
      </c>
      <c r="B4574" s="1" t="s">
        <v>4550</v>
      </c>
      <c r="C4574" t="str">
        <f>IFERROR(__xludf.DUMMYFUNCTION("GOOGLETRANSLATE(B4574, ""es"", ""en"")"),"Very practical and nice &lt;div id = ""video-block-R3T3WX1RFAYUBS"" class = ""a-section a-spacing-small a-spacing-top mini video-block""&gt; &lt;div tabindex = ""0"" class = ""airy airy -svg vmin-supported airy-skin-beacon ""style ="" background-color: rgb (0, 0, "&amp;"0) position: relative; width: 100%; height: 100%; font-size: 0px; overflow: hidden ; outline: none; ""&gt; &lt;div class ="" airy-renderer-container ""style ="" position: relative; height: 100%; width: 100%; ""&gt; &lt;video id ="" 31 ""preload ="" auto ""src = ""htt"&amp;"ps://images-eu.ssl-images-amazon.com/images/I/A1ABau-UFBS.mp4"" style = ""position: absolute; left: 0px; top: 0px; overflow: hidden; height: 1px ; width: 1px; ""&gt; &lt;/ video&gt; &lt;/ div&gt; &lt;div id ="" airy-slate-preload ""style ="" background-color: rgb (0, 0, 0)"&amp;"; background-image: url (&amp; quot; https://images-eu.ssl-images-amazon.com/images/I/81wXDgMp4jS.png&amp;quot;); background-size: Contain; background-position: center center; background-repeat: no-repeat; position: absolute ; top: 0px; left: 0px; visibility: vis"&amp;"ible; width: 100%; height: 100%; ""&gt; &lt;/ div&gt; &lt;iframe scr olling = ""no"" frameborder = ""0"" src = ""about: blank"" style = ""display: none;""&gt; &lt;/ iframe&gt; &lt;div tabindex = ""- 1"" class = ""airy-controls-container"" style = "" opacity: 0; visibility: hidde"&amp;"n; ""&gt; &lt;div tabindex ="" - 1 ""class ="" airy-screen-size-toggle airy-fullscreen ""&gt; &lt;/ div&gt; &lt;div tabindex ="" - 1 ""class ="" airy-container-bottom "" &gt; &lt;div tabindex = ""- 1"" class = ""airy-track-bar-spacer-left"" style = ""width: 11px;""&gt; &lt;/ div&gt; &lt;div"&amp;" tabindex = ""- 1"" class = ""airy-play- airy toggle-play ""style ="" width: 12px; margin-right: 12px; ""&gt; &lt;/ div&gt; &lt;div tabindex ="" - 1 ""class ="" airy-audio-elements ""style ="" float: right; width: 34px; ""&gt; &lt;div tabindex ="" - 1 ""class ="" airy-audi"&amp;"o-toggle airy-on ""&gt; &lt;/ div&gt; &lt;div tabindex ="" - 1 ""class ="" airy-audio-container ""style = ""opacity: 0; visibility: hidden; ""&gt; &lt;div tabindex ="" - 1 ""class ="" airy-audio-track-bar ""style ="" height: 80%; ""&gt; &lt;div tabindex ="" - 1 ""class ="" airy-"&amp;"audio- Scrubber-bar ""style ="" height: 85%; ""&gt; &lt;/ div&gt; &lt;div tabindex ="" - 1 ""class ="" airy-audio-scrubber ""style ="" height: 12px; bottom 85% ""&gt; &lt;/ div&gt; &lt;/ div&gt; &lt;/ div&gt; &lt;/ div&gt; &lt;div tabindex ="" - 1 ""class ="" airy-duration-label ""style ="" float"&amp;": right; width: 26px; margin-right: 4px; text-align: center; ""&gt; 0:00 &lt;/ div&gt; &lt;div tabindex ="" - 1 ""class ="" airy-track-bar-spacer-right ""style ="" float: right; width: 11px; ""&gt; &lt;/ div&gt; &lt;div tabindex ="" - 1 ""class ="" airy-track-bar-container ""sty"&amp;"le ="" margin-left: 35px; margin-right: 75px; ""&gt; &lt;div tabindex ="" - 1 ""class ="" airy-airy-track-bar vertically-centering-table ""&gt; &lt;div tabindex ="" - 1 ""class ="" airy-Vertical-centering- table-cell ""&gt; &lt;div tabindex ="" - 1 ""class ="" airy-track-b"&amp;"ar-elements ""&gt; &lt;div tabindex ="" - 1 ""class ="" airy-progress-bar ""&gt; &lt;/ div&gt; &lt;div tabindex = ""- 1"" class = ""airy-scrubber-bar""&gt; &lt;/ div&gt; &lt;div tabindex = ""- 1"" class = ""airy-scrubber""&gt; &lt;div tabindex = ""- 1"" class = ""airy-scrubber- icon ""&gt; &lt;/ "&amp;"div&gt; &lt;div tabindex ="" - 1 ""class ="" airy-adjusted-AUI-tooltip ""style ="" opacity: 0; visibility: hidden; ""&gt; &lt;div tabindex ="" - 1 ""class ="" airy-adjusted-aui-tooltip-inner ""&gt; &lt;div tabindex ="" - 1 ""class ="" airy-current-time-label ""&gt; 0: 00 &lt;/ d"&amp;"iv&gt; &lt;/ div&gt; &lt;div tabindex = ""- 1"" class = ""airy-adjusted-AUI-arrow-border""&gt; &lt;div tabindex = ""- 1"" class = ""airy-adjusted-AUI-arrow"" &gt; &lt;/ div&gt; &lt;/ div&gt; &lt;/ div&gt; &lt;/ div&gt; &lt;/ div&gt; &lt;/ div&gt; &lt;/ div&gt; &lt;/ div&gt; &lt;/ div&gt; &lt;/ div&gt; &lt;div tabindex = ""- 1"" class = "&amp;"""airy-age-gate airy-stage airy-Vertical-centering-table airy-dialog"" style = ""opacity: 0; visibility: hidden; ""&gt; &lt;div tabindex ="" - 1 ""class ="" airy-age-gate-Vertical-centering-table-cell airy-Vertical-centering-table-cell ""&gt; &lt;div tabindex ="" - 1"&amp;" ""class = ""airy-Vertical-centering-wrapper airy-age-gate-elements-wrapper""&gt; &lt;div tabindex = ""- 1"" class = ""airy-age-gate-elements airy-dialog-elements""&gt; &lt;div tabindex = "" -1 ""class ="" airy-age-gate-prompt ""&gt; This video is not Intended for all a"&amp;"udiences What date were you born &lt;/ div&gt; &lt;div tabindex =.?"" - 1 ""class ="" airy-age-gate -inputs airy-dialog-inner-elements ""&gt; &lt;select tabindex ="" - 1 ""class ="" airy-age-gate-month ""&gt; &lt;option value ="" 1 ""&gt; January &lt;/ option&gt; &lt;option value ="" 2 "&amp;"""&gt; February &lt;/ option&gt; &lt;option value ="" 3 ""&gt; March &lt;/ option&gt; &lt;option value ="" 4 ""&gt; April &lt;/ option&gt; &lt;option value ="" 5 ""&gt; May &lt;/ option&gt; &lt;option value = ""6""&gt; June &lt;/ option&gt; &lt;option value = ""7""&gt; July &lt;/ option&gt; &lt;option value = ""8""&gt; August &lt;/"&amp;" option&gt; &lt;option value = ""9""&gt; September &lt;/ option&gt; &lt;option value = ""10""&gt; October &lt;/ option&gt; &lt;option value = ""11""&gt; November &lt;/ option&gt; &lt;option value = ""12""&gt; December &lt;/ option&gt; &lt;/ select&gt; &lt;select tabindex = ""- 1"" class = ""airy-age-gate-day""&gt; &lt;o"&amp;"pti on value = ""1""&gt; 1 &lt;/ option&gt; &lt;option value = ""2""&gt; 2 &lt;/ option&gt; &lt;option value = ""3""&gt; 3 &lt;/ option&gt; &lt;option value = ""4""&gt; 4 &lt;/ option &gt; &lt;option value = ""5""&gt; 5 &lt;/ option&gt; &lt;option value = ""6""&gt; 6 &lt;/ option&gt; &lt;option value = ""7""&gt; 7 &lt;/ option&gt; &lt;op"&amp;"tion value = ""8""&gt; 8 &lt; / option&gt; &lt;option value = ""9""&gt; 9 &lt;/ option&gt; &lt;option value = ""10""&gt; 10 &lt;/ option&gt; &lt;option value = ""11""&gt; 11 &lt;/ option&gt; &lt;option value = ""12""&gt; 12 &lt;/ option&gt; &lt;option value = ""13""&gt; 13 &lt;/ option&gt; &lt;option value = ""14""&gt; 14 &lt;/ opt"&amp;"ion&gt; &lt;option value = ""15""&gt; 15 &lt;/ option&gt; &lt;option value = ""16 ""&gt; 16 &lt;/ option&gt; &lt;option value ="" 17 ""&gt; 17 &lt;/ option&gt; &lt;option value ="" 18 ""&gt; 18 &lt;/ option&gt; &lt;option value ="" 19 ""&gt; 19 &lt;/ option&gt; &lt;option value = ""20""&gt; 20 &lt;/ option&gt; &lt;option value = """&amp;"21""&gt; 21 &lt;/ option&gt; &lt;option value = ""22""&gt; 22 &lt;/ option&gt; &lt;option value = ""23""&gt; 23 &lt;/ option&gt; &lt;option value = ""24""&gt; 24 &lt;/ option&gt; &lt;option value = ""25""&gt; 25 &lt;/ option&gt; &lt;option value = ""26""&gt; 26 &lt;/ option&gt; &lt;option value = ""27""&gt; 27 &lt;/ option&gt; &lt;option"&amp;" value = ""28""&gt; 28 &lt;/ option&gt; &lt;option value = ""29""&gt; 29 &lt;/ option&gt; &lt;option value = ""30""&gt; 30 &lt;/ option&gt; &lt;option value = ""31""&gt; 31 &lt;/ option&gt; &lt;/ select&gt; &lt;select tabindex = ""- 1"" class = ""airy-age-gate-year""&gt; &lt;option value = ""2019""&gt; 2019 &lt;/ option"&amp;"&gt; &lt; option value = ""2018""&gt; 2018 &lt;/ option&gt; &lt;option value = ""2017""&gt; 2017 &lt;/ option&gt; &lt;option value = ""2016""&gt; ​​2016 &lt;/ option&gt; &lt;option value = ""2015""&gt; 2015 &lt;/ option &gt; &lt;option value = ""2014""&gt; 2014 &lt;/ option&gt; &lt;option value = ""2013""&gt; 2013 &lt;/ optio"&amp;"n&gt; &lt;option value = ""2012""&gt; 2012 &lt;/ option&gt; &lt;option value = ""2011""&gt; 2011 &lt; / option&gt; &lt;option value = ""2010""&gt; 2010 &lt;/ option&gt; &lt;option value = ""2009""&gt; 2009 &lt;/ option&gt; &lt;option value = ""2008""&gt; 2008 &lt;/ option&gt; &lt;option value = ""2007""&gt; 2007 &lt;/ option&gt;"&amp;" &lt;option value = ""2006""&gt; 2006 &lt;/ option&gt; &lt;option value = ""2005""&gt; 2005 &lt;/ option&gt; &lt;option value = ""2004""&gt; 2004 &lt;/ option&gt; &lt;option value = ""2003 ""&gt; 2003 &lt;/ option&gt; &lt;option value ="" 2002 ""&gt; 2002 &lt;/ option&gt; &lt;option value ="" 2001 ""&gt; 2001 &lt;/ option&gt;"&amp;" &lt;option value ="" 2000 ""&gt; 2000 &lt;/ option&gt; &lt;option value = ""1999""&gt; 1999 &lt;/ option&gt; &lt;option value = ""1998""&gt; 1998 &lt;/ option&gt; &lt;option value = ""1997""&gt; 1997 &lt;/ option&gt; &lt;option value = ""1996""&gt; 1996 &lt;/ option&gt; &lt;option value = ""1995""&gt; 1995 &lt;/ option&gt; &lt;"&amp;"option value = ""1994""&gt; 1994 &lt;/ option&gt; &lt;option value = ""1993""&gt; 1993 &lt;/ option&gt; &lt;option value = ""1992""&gt; 1992 &lt;/ option&gt; &lt;option value = ""1991""&gt; 1991 &lt;/ option&gt; &lt;option value = ""1990""&gt; 1990 &lt;/ option&gt; &lt;option value = "" 1989 ""&gt; 1989 &lt;/ option&gt; &lt;o"&amp;"ption value ="" 1988 ""&gt; 1988 &lt;/ option&gt; &lt;option value ="" 1987 ""&gt; 1987 &lt;/ option&gt; &lt;option value ="" 1986 ""&gt; 1986 &lt;/ option&gt; &lt;value option = ""1985""&gt; 1985 &lt;/ option&gt; &lt;option value = ""1984""&gt; 1984 &lt;/ option&gt; &lt;option value = ""1983""&gt; 1983 &lt;/ option&gt; &lt;o"&amp;"ption value = ""1982""&gt; 1982 &lt;/ option&gt; &lt; option value = ""1981""&gt; 1981 &lt;/ option&gt; &lt;option value = ""1980""&gt; 1980 &lt;/ option&gt; &lt;option value = ""1979""&gt; 1979 &lt;/ option&gt; &lt;option value = ""1978""&gt; 1978 &lt;/ option &gt; &lt;option value = ""1977""&gt; 1977 &lt;/ option&gt; &lt;op"&amp;"tion value = ""1976""&gt; 1976 &lt;/ option&gt; &lt;option value = ""1975""&gt; 1975 &lt;/ option&gt; &lt;option value = ""1974""&gt; 1974 &lt; / option&gt; &lt;option value = ""1973""&gt; 1973 &lt;/ option&gt; &lt;option value = ""1972""&gt; 1972 &lt;/ option&gt; &lt;option value = ""1971""&gt; 1971 &lt;/ option&gt; &lt;opti"&amp;"on value = ""1970""&gt; 1970 &lt;/ option&gt; &lt;option value = ""1969""&gt; 1969 &lt;/ option&gt; &lt;option value = ""1968""&gt; 1968 &lt;/ option&gt; &lt;option value = ""1967""&gt; 1967 &lt;/ option&gt; &lt;option value = ""1966 ""&gt; 1966 &lt;/ option&gt; &lt;option value ="" 1965 ""&gt; 1965 &lt;/ option&gt; &lt;optio"&amp;"n value ="" 1964 ""&gt; 1964 &lt;/ option&gt; &lt;option value ="" 1963 ""&gt; 1963 &lt;/ option&gt; &lt;option value = ""1962""&gt; 1962 &lt;/ option&gt; &lt;option value = ""1961""&gt; 1961 &lt;/ option&gt; &lt;option value = ""1960""&gt; 1960 &lt;/ op tion&gt; &lt;option value = ""1959""&gt; 1959 &lt;/ option&gt; &lt;optio"&amp;"n value = ""1958""&gt; 1958 &lt;/ option&gt; &lt;option value = ""1957""&gt; 1957 &lt;/ option&gt; &lt;option value = ""1956""&gt; 1956 &lt;/ option&gt; &lt;option value = ""1955""&gt; 1955 &lt;/ option&gt; &lt;option value = ""1954""&gt; 1954 &lt;/ option&gt; &lt;option value = ""1953""&gt; 1953 &lt;/ option&gt; &lt;option v"&amp;"alue = ""1952"" &gt; 1952 &lt;/ option&gt; &lt;option value = ""1951""&gt; 1951 &lt;/ option&gt; &lt;option value = ""1950""&gt; 1950 &lt;/ option&gt; &lt;option value = ""1949""&gt; 1949 &lt;/ option&gt; &lt;option value = "" 1948 ""&gt; 1948 &lt;/ option&gt; &lt;option value ="" 1947 ""&gt; 1947 &lt;/ option&gt; &lt;option "&amp;"value ="" 1946 ""&gt; 1946 &lt;/ option&gt; &lt;option value ="" 1945 ""&gt; 1945 &lt;/ option&gt; &lt;value option = ""1944""&gt; 1944 &lt;/ option&gt; &lt;option value = ""1943""&gt; 1943 &lt;/ option&gt; &lt;option value = ""1942""&gt; 1942 &lt;/ option&gt; &lt;option value = ""1941""&gt; 1941 &lt;/ option&gt; &lt; option "&amp;"value = ""1940""&gt; 1940 &lt;/ option&gt; &lt;option value = ""1939""&gt; 1939 &lt;/ option&gt; &lt;option value = ""1938""&gt; 1938 &lt;/ option&gt; &lt;option value = ""1937""&gt; 1937 &lt;/ option &gt; &lt;option value = ""1936""&gt; 1936 &lt;/ option&gt; &lt;option value = ""1935""&gt; 1935 &lt;/ option&gt; &lt;option va"&amp;"lue = ""1934""&gt; 1934 &lt;/ option&gt; &lt;option value = ""1933""&gt; 1933 &lt; / option&gt; &lt;option value = ""1932""&gt; 1932 &lt;/ option&gt; &lt;option value = ""1931""&gt; 1931 &lt;/ option&gt; &lt;option v alue = ""1930""&gt; 1930 &lt;/ option&gt; &lt;option value = ""1929""&gt; 1929 &lt;/ option&gt; &lt;option val"&amp;"ue = ""1928""&gt; 1928 &lt;/ option&gt; &lt;option value = ""1927""&gt; 1927 &lt;/ option&gt; &lt;option value = ""1926""&gt; 1926 &lt;/ option&gt; &lt;option value = ""1925""&gt; 1925 &lt;/ option&gt; &lt;option value = ""1924""&gt; 1924 &lt;/ option&gt; &lt;option value = ""1923""&gt; 1923 &lt;/ option&gt; &lt;option value "&amp;"= ""1922""&gt; 1922 &lt;/ option&gt; &lt;option value = ""1921""&gt; 1921 &lt;/ option&gt; &lt;option value = ""1920""&gt; 1920 &lt;/ option&gt; &lt;option value = ""1919""&gt; 1919 &lt;/ option&gt; &lt;option value = ""1918""&gt; 1918 &lt;/ option&gt; &lt;option value = ""1917""&gt; 1917 &lt;/ option&gt; &lt;option value = "&amp;"""1916""&gt; 1916 &lt;/ option&gt; &lt;option value = ""1915"" &gt; 1915 &lt;/ option&gt; &lt;option value = ""1914""&gt; 1914 &lt;/ option&gt; &lt;option value = ""1913""&gt; 1913 &lt;/ option&gt; &lt;option value = ""1912""&gt; 1912 &lt;/ option&gt; &lt;option value = "" 1911 ""&gt; 1911 &lt;/ option&gt; &lt;option value ="&amp;""" 1910 ""&gt; 1910 &lt;/ option&gt; &lt;option value ="" 1909 ""&gt; 1909 &lt;/ option&gt; &lt;option value ="" 1908 ""&gt; 1908 &lt;/ option&gt; &lt;value option = ""1907""&gt; 1907 &lt;/ option&gt; &lt;option value = ""1906""&gt; 1906 &lt;/ option&gt; &lt;option value = ""1905""&gt; 1905 &lt;/ option&gt; &lt;option value ="&amp;" ""1904""&gt; 1904 &lt;/ option&gt; &lt; option value = ""1903""&gt; 1903 &lt;/ option&gt; &lt;option value = ""1902""&gt; 1902 &lt;/ option&gt; &lt;option value = ""1901""&gt; 19 01 &lt;/ option&gt; &lt;option value = ""1900""&gt; 1900 &lt;/ option&gt; &lt;/ select&gt; &lt;div tabindex = ""- 1"" class = ""airy-age-gate"&amp;"-submit airy-submit-button airy airy-submit- disabled ""&gt; Submit &lt;/ div&gt; &lt;/ div&gt; &lt;/ div&gt; &lt;/ div&gt; &lt;/ div&gt; &lt;/ div&gt; &lt;div tabindex ="" - 1 ""class ="" airy-install-flash-dialog airy-stage airy -vertical-centering-table-dialog airy airy-denied ""style ="" opac"&amp;"ity: 0; visibility: hidden; ""&gt; &lt;div tabindex ="" - 1 ""class ="" airy-install-flash-Vertical-centering-table-cell airy-Vertical-centering-table-cell ""&gt; &lt;div tabindex ="" - 1 ""class = ""airy-Vertical-centering-wrapper airy-install-flash-elements-wrapper"&amp;"""&gt; &lt;div tabindex = ""- 1"" class = ""airy-install-flash-elements airy-dialog-elements""&gt; &lt;div tabindex = "" -1 ""class ="" airy-install-flash-prompt ""&gt; Adobe Flash Player is required to watch this video &lt;/ div&gt; &lt;div tabindex =."" - 1 ""class ="" airy-in"&amp;"stall-flash-button-wrapper airy -dialog-inner-elements ""&gt; &lt;div tabindex ="" - 1 ""class ="" airy-install-flash-button airy-button ""&gt; install Flash Player &lt;/ div&gt; &lt;/ div&gt; &lt;/ div&gt; &lt;/ div&gt; &lt;/ div&gt; &lt;/ div&gt; &lt;div tabindex = ""- 1"" class = ""airy-video-unsupp"&amp;"orted-dialog airy-stage airy-Vertical-centering-table airy-dialog airy-denied"" style = ""opacity: 0; visibility: hidden; ""&gt; &lt;div tabindex ="" - 1 ""class ="" airy-video-unsupported-Vertical-centering-table-cell airy-Vertical-centering-table-cell ""&gt; &lt;di"&amp;"v tabindex ="" - 1 ""class = ""airy-Vertical-centering-wrapper airy-video-unsupported-elements-wrapper""&gt; &lt;div tabindex = ""- 1"" class = ""airy-video-unsupported-elements airy-dialog-elements""&gt; &lt;div tabindex = "" -1 ""class ="" airy-video-unsupported-pr"&amp;"ompt ""&gt; &lt;/ div&gt; &lt;/ div&gt; &lt;/ div&gt; &lt;/ div&gt; &lt;/ div&gt; &lt;div tabindex ="" - 1 ""class ="" airy-loading- spinner-stage airy-stage ""&gt; &lt;div tabindex ="" - 1 ""class ="" airy-loading-spinner-Vertical-centering-table-cell airy-Vertical-centering-table-cell ""&gt; &lt;div "&amp;"tabindex ="" - 1 ""class ="" airy-loading-spinner-container airy-scalable-hint-container ""&gt; &lt;div tabindex ="" - 1 ""class ="" airy-loading-spinner-dummy airy-scalable-dummy ""&gt; &lt;/ div&gt; &lt; div tabindex = ""- 1"" class = ""airy-loading-spinner airy-hint"" s"&amp;"tyle = ""visibility: hidden;""&gt; &lt;/ div&gt; &lt;/ div&gt; &lt;/ div&gt; &lt;/ div&gt; &lt;div tabindex = ""- 1 ""class ="" airy-ads-screen-size-toggle airy-screen-size-toggle-fullscreen airy ""style ="" visibility: hidden; ""&gt; &lt;/ div&gt; &lt;div tabindex = ""-1"" class = ""airy-ad-prom"&amp;"pt-container"" style = ""visibility: hidden;""&gt; &lt;div tabindex = ""- 1"" class = ""airy-ad-prompt-Vertical-centering-table-vertically airy centering-table ""&gt; &lt;div tabindex ="" - 1 ""class ="" airy-ad-prompt-Vertical-centering-table-cell airy-Vertical-cent"&amp;"ering-table-cell ""&gt; &lt;div tabindex ="" - 1 ""class = ""airy-ad-prompt-label""&gt; &lt;/ div&gt; &lt;/ div&gt; &lt;/ div&gt; &lt;/ div&gt; &lt;div tabindex = ""- 1"" class = ""airy-ads-controls-container"" style = ""visibility: hidden; ""&gt; &lt;div tabindex ="" - 1 ""class ="" airy-ads-aud"&amp;"io-toggle airy-audio-toggle airy-on ""style ="" visibility: hidden; ""&gt; &lt;/ div&gt; &lt;div tabindex ="" - 1 ""class ="" airy-time-remaining-label-container ""&gt; &lt;div tabindex ="" - 1 ""class ="" airy-time-remaining-Vertical-centering-table airy-Vertical-centerin"&amp;"g-table ""&gt; &lt;div tabindex = ""- 1"" class = ""airy-time-remaining-Vertical-centering-table-cell airy-Vertical-centering-table-cell""&gt; &lt;div tabindex = ""- 1"" class = ""airy-Vertical-centering-wrapper airy-time-remaining-label-wrapper ""&gt; &lt;div tabindex ="""&amp;" - 1 ""class ="" airy-time-remaining-label ""style ="" visibility: hidden; ""&gt; &lt;/ div&gt; &lt;div tabi ndex = ""- 1"" class = ""airy-ad-skip"" style = ""visibility: hidden;""&gt; &lt;/ div&gt; &lt;div tabindex = ""- 1"" class = ""airy-ad-end"" style = ""visibility: hidden "&amp;"""&gt; &lt;/ div&gt; &lt;/ div&gt; &lt;/ div&gt; &lt;/ div&gt; &lt;/ div&gt; &lt;div tabindex ="" - 1 ""class ="" airy-learn-more ""style ="" visibility: hidden; ""&gt; &lt;/ div&gt; &lt;/ div&gt; &lt;div tabindex = ""- 1"" class = ""airy-play-toggle-hint-stage airy-stage airy-cursor""&gt; &lt;div tabindex = ""- 1"&amp;""" class = ""airy-play -toggle-hint-Vertical-centering-table-cell airy-Vertical-centering-table-cell airy-cursor ""&gt; &lt;div tabindex ="" - 1 ""class ="" airy-play-toggle-hint-container airy-scalable- Hint-container ""&gt; &lt;div tabindex ="" - 1 ""class ="" airy"&amp;"-play-toggle-hint-dummy airy-scalable-dummy ""&gt; &lt;/ div&gt; &lt;div tabindex ="" - 1 ""class ="" airy-play -toggle-hint hint airy-airy-play-hint ""style ="" opacity: 1; visibility: visible; ""&gt; &lt;/ div&gt; &lt;/ div&gt; &lt;/ div&gt; &lt;/ div&gt; &lt;div tabindex ="" - 1 ""class ="" ai"&amp;"ry-replay-hint-stage airy-stage ""style ="" visibility: hidden ; ""&gt; &lt;div tabindex ="" - 1 ""class ="" airy-replay-hint-Vertical-centering-table-cell airy-Vertical-centering-table-cell airy-cursor ""&gt; &lt;div tabindex ="" - 1 ""class = ""airy-replay-hint-con"&amp;"tainer airy-scalable-hint-container""&gt; &lt;div tabindex = ""- 1"" class = ""airy-replay-hint-dummy airy-scalable-dummy""&gt; &lt;/ div&gt; &lt;div tabindex = ""- 1"" class = ""airy-replay-hint airy-hint""&gt; &lt;/ div&gt; &lt;/ div&gt; &lt;/ div&gt; &lt;/ div&gt; &lt;div tabindex = ""- 1"" class = "&amp;"""airy-autoplay-hint -stage airy-stage ""style ="" visibility: hidden; ""&gt; &lt;div tabindex ="" - 1 ""class ="" airy-autoplay-hint-Vertical-centering-table-cell airy-Vertical-centering-table-cell airy- cursor ""&gt; &lt;div tabindex ="" - 1 ""class ="" autoplay ai"&amp;"ry-airy-hint-container-scalable-hint-container ""&gt; &lt;div tabindex ="" - 1 ""class ="" airy-autoplay-hint-dummy airy- scalable-dummy ""&gt; &lt;/ div&gt; &lt;/ div&gt; &lt;/ div&gt; &lt;/ div&gt; &lt;/ div&gt; &lt;/ div&gt; &lt;input type ="" hidden ""name ="" ""value ="" https: // images-eu .ssl-i"&amp;"mages-amazon.com / images / I / A1ABau-UFBS.mp4 ""Class ="" video-url ""&gt; &lt;input type ="" hidden ""name ="" ""value ="" https://images-eu.ssl-images-amazon.com/images/I/81wXDgMp4jS.png ""class ="" video-slate-img-url ""&gt; &amp; nbsp; Excellent blender, practic"&amp;"e is very small and easy to carry anywhere. Very good quality materials and blade perfectly fulfills the function offered in the ad. Very easy to clean. Ideal for travel because of its size.")</f>
        <v>Very practical and nice &lt;div id = "video-block-R3T3WX1RFAYUBS" class = "a-section a-spacing-small a-spacing-top mini video-block"&gt; &lt;div tabindex = "0" class = "airy airy -svg vmin-supported airy-skin-beacon "style =" background-color: rgb (0, 0, 0) position: relative; width: 100%; height: 100%; font-size: 0px; overflow: hidden ; outline: none; "&gt; &lt;div class =" airy-renderer-container "style =" position: relative; height: 100%; width: 100%; "&gt; &lt;video id =" 31 "preload =" auto "src = "https://images-eu.ssl-images-amazon.com/images/I/A1ABau-UFBS.mp4" style = "position: absolute; left: 0px; top: 0px; overflow: hidden; height: 1px ; width: 1px; "&gt; &lt;/ video&gt; &lt;/ div&gt; &lt;div id =" airy-slate-preload "style =" background-color: rgb (0, 0, 0); background-image: url (&amp; quot; https://images-eu.ssl-images-amazon.com/images/I/81wXDgMp4jS.png&amp;quot;); background-size: Contain; background-position: center center; background-repeat: no-repeat; position: absolute ; top: 0px; left: 0px; visibility: visible; width: 100%; height: 100%; "&gt; &lt;/ div&gt; &lt;iframe scr olling = "no" frameborder = "0" src = "about: blank" style = "display: none;"&gt; &lt;/ iframe&gt; &lt;div tabindex = "- 1" class = "airy-controls-container" style = " opacity: 0; visibility: hidden; "&gt; &lt;div tabindex =" - 1 "class =" airy-screen-size-toggle airy-fullscreen "&gt; &lt;/ div&gt; &lt;div tabindex =" - 1 "class =" airy-container-bottom " &gt; &lt;div tabindex = "- 1" class = "airy-track-bar-spacer-left" style = "width: 11px;"&gt; &lt;/ div&gt; &lt;div tabindex = "- 1" class = "airy-play- airy toggle-play "style =" width: 12px; margin-right: 12px; "&gt; &lt;/ div&gt; &lt;div tabindex =" - 1 "class =" airy-audio-elements "style =" float: right; width: 34px; "&gt; &lt;div tabindex =" - 1 "class =" airy-audio-toggle airy-on "&gt; &lt;/ div&gt; &lt;div tabindex =" - 1 "class =" airy-audio-container "style = "opacity: 0; visibility: hidden; "&gt; &lt;div tabindex =" - 1 "class =" airy-audio-track-bar "style =" height: 80%; "&gt; &lt;div tabindex =" - 1 "class =" airy-audio- Scrubber-bar "style =" height: 85%; "&gt; &lt;/ div&gt; &lt;div tabindex =" - 1 "class =" airy-audio-scrubber "style =" height: 12px; bottom 85% "&gt; &lt;/ div&gt; &lt;/ div&gt; &lt;/ div&gt; &lt;/ div&gt; &lt;div tabindex =" - 1 "class =" airy-duration-label "style =" float: right; width: 26px; margin-right: 4px; text-align: center; "&gt; 0:00 &lt;/ div&gt; &lt;div tabindex =" - 1 "class =" airy-track-bar-spacer-right "style =" float: right; width: 11px; "&gt; &lt;/ div&gt; &lt;div tabindex =" - 1 "class =" airy-track-bar-container "style =" margin-left: 35px; margin-right: 75px; "&gt; &lt;div tabindex =" - 1 "class =" airy-airy-track-bar vertically-centering-table "&gt; &lt;div tabindex =" - 1 "class =" airy-Vertical-centering- table-cell "&gt; &lt;div tabindex =" - 1 "class =" airy-track-bar-elements "&gt; &lt;div tabindex =" - 1 "class =" airy-progress-bar "&gt; &lt;/ div&gt; &lt;div tabindex = "- 1" class = "airy-scrubber-bar"&gt; &lt;/ div&gt; &lt;div tabindex = "- 1" class = "airy-scrubber"&gt; &lt;div tabindex = "- 1" class = "airy-scrubber- icon "&gt; &lt;/ div&gt; &lt;div tabindex =" - 1 "class =" airy-adjusted-AUI-tooltip "style =" opacity: 0; visibility: hidden; "&gt; &lt;div tabindex =" - 1 "class =" airy-adjusted-aui-tooltip-inner "&gt; &lt;div tabindex =" - 1 "class =" airy-current-time-label "&gt; 0: 00 &lt;/ div&gt; &lt;/ div&gt; &lt;div tabindex = "- 1" class = "airy-adjusted-AUI-arrow-border"&gt; &lt;div tabindex = "- 1" class = "airy-adjusted-AUI-arrow" &gt; &lt;/ div&gt; &lt;/ div&gt; &lt;/ div&gt; &lt;/ div&gt; &lt;/ div&gt; &lt;/ div&gt; &lt;/ div&gt; &lt;/ div&gt; &lt;/ div&gt; &lt;/ div&gt; &lt;div tabindex = "- 1" class = "airy-age-gate airy-stage airy-Vertical-centering-table airy-dialog" style = "opacity: 0; visibility: hidden; "&gt; &lt;div tabindex =" - 1 "class =" airy-age-gate-Vertical-centering-table-cell airy-Vertical-centering-table-cell "&gt; &lt;div tabindex =" - 1 "class = "airy-Vertical-centering-wrapper airy-age-gate-elements-wrapper"&gt; &lt;div tabindex = "- 1" class = "airy-age-gate-elements airy-dialog-elements"&gt; &lt;div tabindex = " -1 "class =" airy-age-gate-prompt "&gt; This video is not Intended for all audiences What date were you born &lt;/ div&gt; &lt;div tabindex =.?" - 1 "class =" airy-age-gate -inputs airy-dialog-inner-elements "&gt; &lt;select tabindex =" - 1 "class =" airy-age-gate-month "&gt; &lt;option value =" 1 "&gt; January &lt;/ option&gt; &lt;option value =" 2 "&gt; February &lt;/ option&gt; &lt;option value =" 3 "&gt; March &lt;/ option&gt; &lt;option value =" 4 "&gt; April &lt;/ option&gt; &lt;option value =" 5 "&gt; May &lt;/ option&gt; &lt;option value = "6"&gt; June &lt;/ option&gt; &lt;option value = "7"&gt; July &lt;/ option&gt; &lt;option value = "8"&gt; August &lt;/ option&gt; &lt;option value = "9"&gt; September &lt;/ option&gt; &lt;option value = "10"&gt; October &lt;/ option&gt; &lt;option value = "11"&gt; November &lt;/ option&gt; &lt;option value = "12"&gt; December &lt;/ option&gt; &lt;/ select&gt; &lt;select tabindex = "- 1" class = "airy-age-gate-day"&gt; &lt;opti on value = "1"&gt; 1 &lt;/ option&gt; &lt;option value = "2"&gt; 2 &lt;/ option&gt; &lt;option value = "3"&gt; 3 &lt;/ option&gt; &lt;option value = "4"&gt; 4 &lt;/ option &gt; &lt;option value = "5"&gt; 5 &lt;/ option&gt; &lt;option value = "6"&gt; 6 &lt;/ option&gt; &lt;option value = "7"&gt; 7 &lt;/ option&gt; &lt;option value = "8"&gt; 8 &lt; / option&gt; &lt;option value = "9"&gt; 9 &lt;/ option&gt; &lt;option value = "10"&gt; 10 &lt;/ option&gt; &lt;option value = "11"&gt; 11 &lt;/ option&gt; &lt;option value = "12"&gt; 12 &lt;/ option&gt; &lt;option value = "13"&gt; 13 &lt;/ option&gt; &lt;option value = "14"&gt; 14 &lt;/ option&gt; &lt;option value = "15"&gt; 15 &lt;/ option&gt; &lt;option value = "16 "&gt; 16 &lt;/ option&gt; &lt;option value =" 17 "&gt; 17 &lt;/ option&gt; &lt;option value =" 18 "&gt; 18 &lt;/ option&gt; &lt;option value =" 19 "&gt; 19 &lt;/ option&gt; &lt;option value = "20"&gt; 20 &lt;/ option&gt; &lt;option value = "21"&gt; 21 &lt;/ option&gt; &lt;option value = "22"&gt; 22 &lt;/ option&gt; &lt;option value = "23"&gt; 23 &lt;/ option&gt; &lt;option value = "24"&gt; 24 &lt;/ option&gt; &lt;option value = "25"&gt; 25 &lt;/ option&gt; &lt;option value = "26"&gt; 26 &lt;/ option&gt; &lt;option value = "27"&gt; 27 &lt;/ option&gt; &lt;option value = "28"&gt; 28 &lt;/ option&gt; &lt;option value = "29"&gt; 29 &lt;/ option&gt; &lt;option value = "30"&gt; 30 &lt;/ option&gt; &lt;option value = "31"&gt; 31 &lt;/ option&gt; &lt;/ select&gt; &lt;select tabindex = "- 1" class = "airy-age-gate-year"&gt; &lt;option value = "2019"&gt; 2019 &lt;/ option&gt; &lt; option value = "2018"&gt; 2018 &lt;/ option&gt; &lt;option value = "2017"&gt; 2017 &lt;/ option&gt; &lt;option value = "2016"&gt; ​​2016 &lt;/ option&gt; &lt;option value = "2015"&gt; 2015 &lt;/ option &gt; &lt;option value = "2014"&gt; 2014 &lt;/ option&gt; &lt;option value = "2013"&gt; 2013 &lt;/ option&gt; &lt;option value = "2012"&gt; 2012 &lt;/ option&gt; &lt;option value = "2011"&gt; 2011 &lt; / option&gt; &lt;option value = "2010"&gt; 2010 &lt;/ option&gt; &lt;option value = "2009"&gt; 2009 &lt;/ option&gt; &lt;option value = "2008"&gt; 2008 &lt;/ option&gt; &lt;option value = "2007"&gt; 2007 &lt;/ option&gt; &lt;option value = "2006"&gt; 2006 &lt;/ option&gt; &lt;option value = "2005"&gt; 2005 &lt;/ option&gt; &lt;option value = "2004"&gt; 2004 &lt;/ option&gt; &lt;option value = "2003 "&gt; 2003 &lt;/ option&gt; &lt;option value =" 2002 "&gt; 2002 &lt;/ option&gt; &lt;option value =" 2001 "&gt; 2001 &lt;/ option&gt; &lt;option value =" 2000 "&gt; 2000 &lt;/ option&gt; &lt;option value = "1999"&gt; 1999 &lt;/ option&gt; &lt;option value = "1998"&gt; 1998 &lt;/ option&gt; &lt;option value = "1997"&gt; 1997 &lt;/ option&gt; &lt;option value = "1996"&gt; 1996 &lt;/ option&gt; &lt;option value = "1995"&gt; 1995 &lt;/ option&gt; &lt;option value = "1994"&gt; 1994 &lt;/ option&gt; &lt;option value = "1993"&gt; 1993 &lt;/ option&gt; &lt;option value = "1992"&gt; 1992 &lt;/ option&gt; &lt;option value = "1991"&gt; 1991 &lt;/ option&gt; &lt;option value = "1990"&gt; 1990 &lt;/ option&gt; &lt;option value = " 1989 "&gt; 1989 &lt;/ option&gt; &lt;option value =" 1988 "&gt; 1988 &lt;/ option&gt; &lt;option value =" 1987 "&gt; 1987 &lt;/ option&gt; &lt;option value =" 1986 "&gt; 1986 &lt;/ option&gt; &lt;value option = "1985"&gt; 1985 &lt;/ option&gt; &lt;option value = "1984"&gt; 1984 &lt;/ option&gt; &lt;option value = "1983"&gt; 1983 &lt;/ option&gt; &lt;option value = "1982"&gt; 1982 &lt;/ option&gt; &lt; option value = "1981"&gt; 1981 &lt;/ option&gt; &lt;option value = "1980"&gt; 1980 &lt;/ option&gt; &lt;option value = "1979"&gt; 1979 &lt;/ option&gt; &lt;option value = "1978"&gt; 1978 &lt;/ option &gt; &lt;option value = "1977"&gt; 1977 &lt;/ option&gt; &lt;option value = "1976"&gt; 1976 &lt;/ option&gt; &lt;option value = "1975"&gt; 1975 &lt;/ option&gt; &lt;option value = "1974"&gt; 1974 &lt; / option&gt; &lt;option value = "1973"&gt; 1973 &lt;/ option&gt; &lt;option value = "1972"&gt; 1972 &lt;/ option&gt; &lt;option value = "1971"&gt; 1971 &lt;/ option&gt; &lt;option value = "1970"&gt; 1970 &lt;/ option&gt; &lt;option value = "1969"&gt; 1969 &lt;/ option&gt; &lt;option value = "1968"&gt; 1968 &lt;/ option&gt; &lt;option value = "1967"&gt; 1967 &lt;/ option&gt; &lt;option value = "1966 "&gt; 1966 &lt;/ option&gt; &lt;option value =" 1965 "&gt; 1965 &lt;/ option&gt; &lt;option value =" 1964 "&gt; 1964 &lt;/ option&gt; &lt;option value =" 1963 "&gt; 1963 &lt;/ option&gt; &lt;option value = "1962"&gt; 1962 &lt;/ option&gt; &lt;option value = "1961"&gt; 1961 &lt;/ option&gt; &lt;option value = "1960"&gt; 1960 &lt;/ op tion&gt; &lt;option value = "1959"&gt; 1959 &lt;/ option&gt; &lt;option value = "1958"&gt; 1958 &lt;/ option&gt; &lt;option value = "1957"&gt; 1957 &lt;/ option&gt; &lt;option value = "1956"&gt; 1956 &lt;/ option&gt; &lt;option value = "1955"&gt; 1955 &lt;/ option&gt; &lt;option value = "1954"&gt; 1954 &lt;/ option&gt; &lt;option value = "1953"&gt; 1953 &lt;/ option&gt; &lt;option value = "1952" &gt; 1952 &lt;/ option&gt; &lt;option value = "1951"&gt; 1951 &lt;/ option&gt; &lt;option value = "1950"&gt; 1950 &lt;/ option&gt; &lt;option value = "1949"&gt; 1949 &lt;/ option&gt; &lt;option value = " 1948 "&gt; 1948 &lt;/ option&gt; &lt;option value =" 1947 "&gt; 1947 &lt;/ option&gt; &lt;option value =" 1946 "&gt; 1946 &lt;/ option&gt; &lt;option value =" 1945 "&gt; 1945 &lt;/ option&gt; &lt;value option = "1944"&gt; 1944 &lt;/ option&gt; &lt;option value = "1943"&gt; 1943 &lt;/ option&gt; &lt;option value = "1942"&gt; 1942 &lt;/ option&gt; &lt;option value = "1941"&gt; 1941 &lt;/ option&gt; &lt; option value = "1940"&gt; 1940 &lt;/ option&gt; &lt;option value = "1939"&gt; 1939 &lt;/ option&gt; &lt;option value = "1938"&gt; 1938 &lt;/ option&gt; &lt;option value = "1937"&gt; 1937 &lt;/ option &gt; &lt;option value = "1936"&gt; 1936 &lt;/ option&gt; &lt;option value = "1935"&gt; 1935 &lt;/ option&gt; &lt;option value = "1934"&gt; 1934 &lt;/ option&gt; &lt;option value = "1933"&gt; 1933 &lt; / option&gt; &lt;option value = "1932"&gt; 1932 &lt;/ option&gt; &lt;option value = "1931"&gt; 1931 &lt;/ option&gt; &lt;option v alue = "1930"&gt; 1930 &lt;/ option&gt; &lt;option value = "1929"&gt; 1929 &lt;/ option&gt; &lt;option value = "1928"&gt; 1928 &lt;/ option&gt; &lt;option value = "1927"&gt; 1927 &lt;/ option&gt; &lt;option value = "1926"&gt; 1926 &lt;/ option&gt; &lt;option value = "1925"&gt; 1925 &lt;/ option&gt; &lt;option value = "1924"&gt; 1924 &lt;/ option&gt; &lt;option value = "1923"&gt; 1923 &lt;/ option&gt; &lt;option value = "1922"&gt; 1922 &lt;/ option&gt; &lt;option value = "1921"&gt; 1921 &lt;/ option&gt; &lt;option value = "1920"&gt; 1920 &lt;/ option&gt; &lt;option value = "1919"&gt; 1919 &lt;/ option&gt; &lt;option value = "1918"&gt; 1918 &lt;/ option&gt; &lt;option value = "1917"&gt; 1917 &lt;/ option&gt; &lt;option value = "1916"&gt; 1916 &lt;/ option&gt; &lt;option value = "1915" &gt; 1915 &lt;/ option&gt; &lt;option value = "1914"&gt; 1914 &lt;/ option&gt; &lt;option value = "1913"&gt; 1913 &lt;/ option&gt; &lt;option value = "1912"&gt; 1912 &lt;/ option&gt; &lt;option value = " 1911 "&gt; 1911 &lt;/ option&gt; &lt;option value =" 1910 "&gt; 1910 &lt;/ option&gt; &lt;option value =" 1909 "&gt; 1909 &lt;/ option&gt; &lt;option value =" 1908 "&gt; 1908 &lt;/ option&gt; &lt;value option = "1907"&gt; 1907 &lt;/ option&gt; &lt;option value = "1906"&gt; 1906 &lt;/ option&gt; &lt;option value = "1905"&gt; 1905 &lt;/ option&gt; &lt;option value = "1904"&gt; 1904 &lt;/ option&gt; &lt; option value = "1903"&gt; 1903 &lt;/ option&gt; &lt;option value = "1902"&gt; 1902 &lt;/ option&gt; &lt;option value = "1901"&gt; 19 01 &lt;/ option&gt; &lt;option value = "1900"&gt; 1900 &lt;/ option&gt; &lt;/ select&gt; &lt;div tabindex = "- 1" class = "airy-age-gate-submit airy-submit-button airy airy-submit- disabled "&gt; Submit &lt;/ div&gt; &lt;/ div&gt; &lt;/ div&gt; &lt;/ div&gt; &lt;/ div&gt; &lt;/ div&gt; &lt;div tabindex =" - 1 "class =" airy-install-flash-dialog airy-stage airy -vertical-centering-table-dialog airy airy-denied "style =" opacity: 0; visibility: hidden; "&gt; &lt;div tabindex =" - 1 "class =" airy-install-flash-Vertical-centering-table-cell airy-Vertical-centering-table-cell "&gt; &lt;div tabindex =" - 1 "class = "airy-Vertical-centering-wrapper airy-install-flash-elements-wrapper"&gt; &lt;div tabindex = "- 1" class = "airy-install-flash-elements airy-dialog-elements"&gt; &lt;div tabindex = " -1 "class =" airy-install-flash-prompt "&gt; Adobe Flash Player is required to watch this video &lt;/ div&gt; &lt;div tabindex =." - 1 "class =" airy-install-flash-button-wrapper airy -dialog-inner-elements "&gt; &lt;div tabindex =" - 1 "class =" airy-install-flash-button airy-button "&gt; install Flash Player &lt;/ div&gt; &lt;/ div&gt; &lt;/ div&gt; &lt;/ div&gt; &lt;/ div&gt; &lt;/ div&gt; &lt;div tabindex = "- 1" class = "airy-video-unsupported-dialog airy-stage airy-Vertical-centering-table airy-dialog airy-denied" style = "opacity: 0; visibility: hidden; "&gt; &lt;div tabindex =" - 1 "class =" airy-video-unsupported-Vertical-centering-table-cell airy-Vertical-centering-table-cell "&gt; &lt;div tabindex =" - 1 "class = "airy-Vertical-centering-wrapper airy-video-unsupported-elements-wrapper"&gt; &lt;div tabindex = "- 1" class = "airy-video-unsupported-elements airy-dialog-elements"&gt; &lt;div tabindex = " -1 "class =" airy-video-unsupported-prompt "&gt; &lt;/ div&gt; &lt;/ div&gt; &lt;/ div&gt; &lt;/ div&gt; &lt;/ div&gt; &lt;div tabindex =" - 1 "class =" airy-loading- spinner-stage airy-stage "&gt; &lt;div tabindex =" - 1 "class =" airy-loading-spinner-Vertical-centering-table-cell airy-Vertical-centering-table-cell "&gt; &lt;div tabindex =" - 1 "class =" airy-loading-spinner-container airy-scalable-hint-container "&gt; &lt;div tabindex =" - 1 "class =" airy-loading-spinner-dummy airy-scalable-dummy "&gt; &lt;/ div&gt; &lt; div tabindex = "- 1" class = "airy-loading-spinner airy-hint" style = "visibility: hidden;"&gt; &lt;/ div&gt; &lt;/ div&gt; &lt;/ div&gt; &lt;/ div&gt; &lt;div tabindex = "- 1 "class =" airy-ads-screen-size-toggle airy-screen-size-toggle-fullscreen airy "style =" visibility: hidden; "&gt; &lt;/ div&gt; &lt;div tabindex = "-1" class = "airy-ad-prompt-container" style = "visibility: hidden;"&gt; &lt;div tabindex = "- 1" class = "airy-ad-prompt-Vertical-centering-table-vertically airy centering-table "&gt; &lt;div tabindex =" - 1 "class =" airy-ad-prompt-Vertical-centering-table-cell airy-Vertical-centering-table-cell "&gt; &lt;div tabindex =" - 1 "class = "airy-ad-prompt-label"&gt; &lt;/ div&gt; &lt;/ div&gt; &lt;/ div&gt; &lt;/ div&gt; &lt;div tabindex = "- 1" class = "airy-ads-controls-container" style = "visibility: hidden; "&gt; &lt;div tabindex =" - 1 "class =" airy-ads-audio-toggle airy-audio-toggle airy-on "style =" visibility: hidden; "&gt; &lt;/ div&gt; &lt;div tabindex =" - 1 "class =" airy-time-remaining-label-container "&gt; &lt;div tabindex =" - 1 "class =" airy-time-remaining-Vertical-centering-table airy-Vertical-centering-table "&gt; &lt;div tabindex = "- 1" class = "airy-time-remaining-Vertical-centering-table-cell airy-Vertical-centering-table-cell"&gt; &lt;div tabindex = "- 1" class = "airy-Vertical-centering-wrapper airy-time-remaining-label-wrapper "&gt; &lt;div tabindex =" - 1 "class =" airy-time-remaining-label "style =" visibility: hidden; "&gt; &lt;/ div&gt; &lt;div tabi ndex = "- 1" class = "airy-ad-skip" style = "visibility: hidden;"&gt; &lt;/ div&gt; &lt;div tabindex = "- 1" class = "airy-ad-end" style = "visibility: hidden "&gt; &lt;/ div&gt; &lt;/ div&gt; &lt;/ div&gt; &lt;/ div&gt; &lt;/ div&gt; &lt;div tabindex =" - 1 "class =" airy-learn-more "style =" visibility: hidden; "&gt; &lt;/ div&gt; &lt;/ div&gt; &lt;div tabindex = "- 1" class = "airy-play-toggle-hint-stage airy-stage airy-cursor"&gt; &lt;div tabindex = "- 1" class = "airy-play -toggle-hint-Vertical-centering-table-cell airy-Vertical-centering-table-cell airy-cursor "&gt; &lt;div tabindex =" - 1 "class =" airy-play-toggle-hint-container airy-scalable- Hint-container "&gt; &lt;div tabindex =" - 1 "class =" airy-play-toggle-hint-dummy airy-scalable-dummy "&gt; &lt;/ div&gt; &lt;div tabindex =" - 1 "class =" airy-play -toggle-hint hint airy-airy-play-hint "style =" opacity: 1; visibility: visible; "&gt; &lt;/ div&gt; &lt;/ div&gt; &lt;/ div&gt; &lt;/ div&gt; &lt;div tabindex =" - 1 "class =" airy-replay-hint-stage airy-stage "style =" visibility: hidden ; "&gt; &lt;div tabindex =" - 1 "class =" airy-replay-hint-Vertical-centering-table-cell airy-Vertical-centering-table-cell airy-cursor "&gt; &lt;div tabindex =" - 1 "class = "airy-replay-hint-container airy-scalable-hint-container"&gt; &lt;div tabindex = "- 1" class = "airy-replay-hint-dummy airy-scalable-dummy"&gt; &lt;/ div&gt; &lt;div tabindex = "- 1" class = "airy-replay-hint airy-hint"&gt; &lt;/ div&gt; &lt;/ div&gt; &lt;/ div&gt; &lt;/ div&gt; &lt;div tabindex = "- 1" class = "airy-autoplay-hint -stage airy-stage "style =" visibility: hidden; "&gt; &lt;div tabindex =" - 1 "class =" airy-autoplay-hint-Vertical-centering-table-cell airy-Vertical-centering-table-cell airy- cursor "&gt; &lt;div tabindex =" - 1 "class =" autoplay airy-airy-hint-container-scalable-hint-container "&gt; &lt;div tabindex =" - 1 "class =" airy-autoplay-hint-dummy airy- scalable-dummy "&gt; &lt;/ div&gt; &lt;/ div&gt; &lt;/ div&gt; &lt;/ div&gt; &lt;/ div&gt; &lt;/ div&gt; &lt;input type =" hidden "name =" "value =" https: // images-eu .ssl-images-amazon.com / images / I / A1ABau-UFBS.mp4 "Class =" video-url "&gt; &lt;input type =" hidden "name =" "value =" https://images-eu.ssl-images-amazon.com/images/I/81wXDgMp4jS.png "class =" video-slate-img-url "&gt; &amp; nbsp; Excellent blender, practice is very small and easy to carry anywhere. Very good quality materials and blade perfectly fulfills the function offered in the ad. Very easy to clean. Ideal for travel because of its size.</v>
      </c>
    </row>
    <row r="4575">
      <c r="A4575" s="1">
        <v>5.0</v>
      </c>
      <c r="B4575" s="1" t="s">
        <v>4551</v>
      </c>
      <c r="C4575" t="str">
        <f>IFERROR(__xludf.DUMMYFUNCTION("GOOGLETRANSLATE(B4575, ""es"", ""en"")"),"Correct the description received three days before ok. Put in place appropriate adjustments made, it works perfectly, as described in its characteristics. Hopefully the durability of the product is equal to satisfactoria.Recomendable purchase for uses non"&amp;"professional or overly demanding.")</f>
        <v>Correct the description received three days before ok. Put in place appropriate adjustments made, it works perfectly, as described in its characteristics. Hopefully the durability of the product is equal to satisfactoria.Recomendable purchase for uses nonprofessional or overly demanding.</v>
      </c>
    </row>
    <row r="4576">
      <c r="A4576" s="1">
        <v>5.0</v>
      </c>
      <c r="B4576" s="1" t="s">
        <v>4552</v>
      </c>
      <c r="C4576" t="str">
        <f>IFERROR(__xludf.DUMMYFUNCTION("GOOGLETRANSLATE(B4576, ""es"", ""en"")"),"Good quality has very good quality and the price is small")</f>
        <v>Good quality has very good quality and the price is small</v>
      </c>
    </row>
    <row r="4577">
      <c r="A4577" s="1">
        <v>5.0</v>
      </c>
      <c r="B4577" s="1" t="s">
        <v>4553</v>
      </c>
      <c r="C4577" t="str">
        <f>IFERROR(__xludf.DUMMYFUNCTION("GOOGLETRANSLATE(B4577, ""es"", ""en"")"),"Pictured sports shoes stripes are gray, which is what I ordered. And send them blue. Not as it gets in the picture.")</f>
        <v>Pictured sports shoes stripes are gray, which is what I ordered. And send them blue. Not as it gets in the picture.</v>
      </c>
    </row>
    <row r="4578">
      <c r="A4578" s="1">
        <v>5.0</v>
      </c>
      <c r="B4578" s="1" t="s">
        <v>4554</v>
      </c>
      <c r="C4578" t="str">
        <f>IFERROR(__xludf.DUMMYFUNCTION("GOOGLETRANSLATE(B4578, ""es"", ""en"")"),"Great purchase .... soon will echo Great. Perfect size and has good grip. Do not yield. I super comfy. Tight and very resistant to the wider be that in a normal leaves no trace on the shoulders. He arrived earlier than expected.")</f>
        <v>Great purchase .... soon will echo Great. Perfect size and has good grip. Do not yield. I super comfy. Tight and very resistant to the wider be that in a normal leaves no trace on the shoulders. He arrived earlier than expected.</v>
      </c>
    </row>
    <row r="4579">
      <c r="A4579" s="1">
        <v>5.0</v>
      </c>
      <c r="B4579" s="1" t="s">
        <v>4555</v>
      </c>
      <c r="C4579" t="str">
        <f>IFERROR(__xludf.DUMMYFUNCTION("GOOGLETRANSLATE(B4579, ""es"", ""en"")"),"Ideal 10. Quality unbeatable price")</f>
        <v>Ideal 10. Quality unbeatable price</v>
      </c>
    </row>
    <row r="4580">
      <c r="A4580" s="1">
        <v>5.0</v>
      </c>
      <c r="B4580" s="1" t="s">
        <v>4556</v>
      </c>
      <c r="C4580" t="str">
        <f>IFERROR(__xludf.DUMMYFUNCTION("GOOGLETRANSLATE(B4580, ""es"", ""en"")"),"Perfect match what purchased")</f>
        <v>Perfect match what purchased</v>
      </c>
    </row>
    <row r="4581">
      <c r="A4581" s="1">
        <v>5.0</v>
      </c>
      <c r="B4581" s="1" t="s">
        <v>4557</v>
      </c>
      <c r="C4581" t="str">
        <f>IFERROR(__xludf.DUMMYFUNCTION("GOOGLETRANSLATE(B4581, ""es"", ""en"")"),"Economic SSD drive. Good product, SSD 120GB disk with which to give a second life to old equipment or underpowered. The disc has an identical appearance to others that I have most recognized brand, apparently the same quality, speed it shows. highly recom"&amp;"mendable product as long as we do not need storage capacity.")</f>
        <v>Economic SSD drive. Good product, SSD 120GB disk with which to give a second life to old equipment or underpowered. The disc has an identical appearance to others that I have most recognized brand, apparently the same quality, speed it shows. highly recommendable product as long as we do not need storage capacity.</v>
      </c>
    </row>
    <row r="4582">
      <c r="A4582" s="1">
        <v>5.0</v>
      </c>
      <c r="B4582" s="1" t="s">
        <v>4558</v>
      </c>
      <c r="C4582" t="str">
        <f>IFERROR(__xludf.DUMMYFUNCTION("GOOGLETRANSLATE(B4582, ""es"", ""en"")"),"Good product overall. Good sound. That is plastic is not as important as the function of this article is audio. Apparently it is elegant. It adapts well to the ear and cancel ambient noise correctly. Do I recommend this product? Totally. - Added value: Th"&amp;"e aja is very elegant, with a bag to keep the headphones. Pay attention to detail. That it's added value and that's brand value.")</f>
        <v>Good product overall. Good sound. That is plastic is not as important as the function of this article is audio. Apparently it is elegant. It adapts well to the ear and cancel ambient noise correctly. Do I recommend this product? Totally. - Added value: The aja is very elegant, with a bag to keep the headphones. Pay attention to detail. That it's added value and that's brand value.</v>
      </c>
    </row>
    <row r="4583">
      <c r="A4583" s="1">
        <v>5.0</v>
      </c>
      <c r="B4583" s="1" t="s">
        <v>4559</v>
      </c>
      <c r="C4583" t="str">
        <f>IFERROR(__xludf.DUMMYFUNCTION("GOOGLETRANSLATE(B4583, ""es"", ""en"")"),"According heating pad my mother and aunt were great for them")</f>
        <v>According heating pad my mother and aunt were great for them</v>
      </c>
    </row>
    <row r="4584">
      <c r="A4584" s="1">
        <v>5.0</v>
      </c>
      <c r="B4584" s="1" t="s">
        <v>4560</v>
      </c>
      <c r="C4584" t="str">
        <f>IFERROR(__xludf.DUMMYFUNCTION("GOOGLETRANSLATE(B4584, ""es"", ""en"")"),"I liked it. Book holds up well and has good size.")</f>
        <v>I liked it. Book holds up well and has good size.</v>
      </c>
    </row>
    <row r="4585">
      <c r="A4585" s="1">
        <v>5.0</v>
      </c>
      <c r="B4585" s="1" t="s">
        <v>4561</v>
      </c>
      <c r="C4585" t="str">
        <f>IFERROR(__xludf.DUMMYFUNCTION("GOOGLETRANSLATE(B4585, ""es"", ""en"")"),"Water bag lifetime. 100% satisfied bosla water all very happy life with purchase very good quality and the fabric cover is perfect")</f>
        <v>Water bag lifetime. 100% satisfied bosla water all very happy life with purchase very good quality and the fabric cover is perfect</v>
      </c>
    </row>
    <row r="4586">
      <c r="A4586" s="1">
        <v>5.0</v>
      </c>
      <c r="B4586" s="1" t="s">
        <v>4562</v>
      </c>
      <c r="C4586" t="str">
        <f>IFERROR(__xludf.DUMMYFUNCTION("GOOGLETRANSLATE(B4586, ""es"", ""en"")"),"Massage rewarding, easy use and high efficiency. I've always wanted to have a massager like this, as it tends to hurt me back a lot because of my work. The massager does the job. I really helps soothe the pain.")</f>
        <v>Massage rewarding, easy use and high efficiency. I've always wanted to have a massager like this, as it tends to hurt me back a lot because of my work. The massager does the job. I really helps soothe the pain.</v>
      </c>
    </row>
    <row r="4587">
      <c r="A4587" s="1">
        <v>5.0</v>
      </c>
      <c r="B4587" s="1" t="s">
        <v>4563</v>
      </c>
      <c r="C4587" t="str">
        <f>IFERROR(__xludf.DUMMYFUNCTION("GOOGLETRANSLATE(B4587, ""es"", ""en"")"),"Very good quality very practical")</f>
        <v>Very good quality very practical</v>
      </c>
    </row>
    <row r="4588">
      <c r="A4588" s="1">
        <v>5.0</v>
      </c>
      <c r="B4588" s="1" t="s">
        <v>4564</v>
      </c>
      <c r="C4588" t="str">
        <f>IFERROR(__xludf.DUMMYFUNCTION("GOOGLETRANSLATE(B4588, ""es"", ""en"")"),"PERFECT came to me fairly large pearls and is comfortable to wear I like")</f>
        <v>PERFECT came to me fairly large pearls and is comfortable to wear I like</v>
      </c>
    </row>
    <row r="4589">
      <c r="A4589" s="1">
        <v>5.0</v>
      </c>
      <c r="B4589" s="1" t="s">
        <v>238</v>
      </c>
      <c r="C4589" t="str">
        <f>IFERROR(__xludf.DUMMYFUNCTION("GOOGLETRANSLATE(B4589, ""es"", ""en"")"),"perfect perfect")</f>
        <v>perfect perfect</v>
      </c>
    </row>
    <row r="4590">
      <c r="A4590" s="1">
        <v>5.0</v>
      </c>
      <c r="B4590" s="1" t="s">
        <v>4565</v>
      </c>
      <c r="C4590" t="str">
        <f>IFERROR(__xludf.DUMMYFUNCTION("GOOGLETRANSLATE(B4590, ""es"", ""en"")"),"Me pretty good and fits perfectly, is a de.buena shoe quality is also nice.")</f>
        <v>Me pretty good and fits perfectly, is a de.buena shoe quality is also nice.</v>
      </c>
    </row>
    <row r="4591">
      <c r="A4591" s="1">
        <v>5.0</v>
      </c>
      <c r="B4591" s="1" t="s">
        <v>4566</v>
      </c>
      <c r="C4591" t="str">
        <f>IFERROR(__xludf.DUMMYFUNCTION("GOOGLETRANSLATE(B4591, ""es"", ""en"")"),"Contractures relief when I bought did not think it would have that quality, I thought it would be tacky but has been a success purchase.")</f>
        <v>Contractures relief when I bought did not think it would have that quality, I thought it would be tacky but has been a success purchase.</v>
      </c>
    </row>
    <row r="4592">
      <c r="A4592" s="1">
        <v>2.0</v>
      </c>
      <c r="B4592" s="1" t="s">
        <v>4567</v>
      </c>
      <c r="C4592" t="str">
        <f>IFERROR(__xludf.DUMMYFUNCTION("GOOGLETRANSLATE(B4592, ""es"", ""en"")"),". Okay, but mine came without folded colored feathers")</f>
        <v>. Okay, but mine came without folded colored feathers</v>
      </c>
    </row>
    <row r="4593">
      <c r="A4593" s="1">
        <v>3.0</v>
      </c>
      <c r="B4593" s="1" t="s">
        <v>4568</v>
      </c>
      <c r="C4593" t="str">
        <f>IFERROR(__xludf.DUMMYFUNCTION("GOOGLETRANSLATE(B4593, ""es"", ""en"")"),"Nice but pretty small in shape and color but casios small compared to G SHOCK ... is not a tank that was what I wanted but ...")</f>
        <v>Nice but pretty small in shape and color but casios small compared to G SHOCK ... is not a tank that was what I wanted but ...</v>
      </c>
    </row>
    <row r="4594">
      <c r="A4594" s="1">
        <v>3.0</v>
      </c>
      <c r="B4594" s="1" t="s">
        <v>4569</v>
      </c>
      <c r="C4594" t="str">
        <f>IFERROR(__xludf.DUMMYFUNCTION("GOOGLETRANSLATE(B4594, ""es"", ""en"")"),"A little different than passable as expected, but good")</f>
        <v>A little different than passable as expected, but good</v>
      </c>
    </row>
    <row r="4595">
      <c r="A4595" s="1">
        <v>1.0</v>
      </c>
      <c r="B4595" s="1" t="s">
        <v>4570</v>
      </c>
      <c r="C4595" t="str">
        <f>IFERROR(__xludf.DUMMYFUNCTION("GOOGLETRANSLATE(B4595, ""es"", ""en"")"),"It stopped working without going all fine and 6 months has stopped working. He just went out and did not ignite")</f>
        <v>It stopped working without going all fine and 6 months has stopped working. He just went out and did not ignite</v>
      </c>
    </row>
    <row r="4596">
      <c r="A4596" s="1">
        <v>1.0</v>
      </c>
      <c r="B4596" s="1" t="s">
        <v>4571</v>
      </c>
      <c r="C4596" t="str">
        <f>IFERROR(__xludf.DUMMYFUNCTION("GOOGLETRANSLATE(B4596, ""es"", ""en"")"),"Soled shoddy The sole of these shoes is pretty bad job driving and I lasted two weeks, during this period the sole had worn simple use of the vehicle pedals.")</f>
        <v>Soled shoddy The sole of these shoes is pretty bad job driving and I lasted two weeks, during this period the sole had worn simple use of the vehicle pedals.</v>
      </c>
    </row>
    <row r="4597">
      <c r="A4597" s="1">
        <v>4.0</v>
      </c>
      <c r="B4597" s="1" t="s">
        <v>4572</v>
      </c>
      <c r="C4597" t="str">
        <f>IFERROR(__xludf.DUMMYFUNCTION("GOOGLETRANSLATE(B4597, ""es"", ""en"")"),"Cable Antonio midi acceptable quality, appropriate length. The cable meets the qualities you need to have. good connection. Good transmission midi")</f>
        <v>Cable Antonio midi acceptable quality, appropriate length. The cable meets the qualities you need to have. good connection. Good transmission midi</v>
      </c>
    </row>
    <row r="4598">
      <c r="A4598" s="1">
        <v>4.0</v>
      </c>
      <c r="B4598" s="1" t="s">
        <v>4573</v>
      </c>
      <c r="C4598" t="str">
        <f>IFERROR(__xludf.DUMMYFUNCTION("GOOGLETRANSLATE(B4598, ""es"", ""en"")"),"Pronator, here! Shoe for pronadores which is supposedly the most top there. But it is also the purest. Corrects enough tread, but does not have any kind of applied technology to give you a plus in the race, the energy you invest is there. A tad narrow but"&amp;" nothing that can not solve catching medium size more or changing the loop")</f>
        <v>Pronator, here! Shoe for pronadores which is supposedly the most top there. But it is also the purest. Corrects enough tread, but does not have any kind of applied technology to give you a plus in the race, the energy you invest is there. A tad narrow but nothing that can not solve catching medium size more or changing the loop</v>
      </c>
    </row>
    <row r="4599">
      <c r="A4599" s="1">
        <v>4.0</v>
      </c>
      <c r="B4599" s="1" t="s">
        <v>4574</v>
      </c>
      <c r="C4599" t="str">
        <f>IFERROR(__xludf.DUMMYFUNCTION("GOOGLETRANSLATE(B4599, ""es"", ""en"")"),"BEST BLUETOOTH HEADSET No doubt all Bluetooth headsets that I could try these are the best, but long. To begin with are the ones that have proven to have USB Type C to load the box so only so already worth because they have the latest charging technology,"&amp;" as well as being faster. His control is totally touch, does not have any buttons, so to raise and lower volume, move or song or video you back is done by tapping on the handset. As for the sound quality is unrivaled, they are the best. Heard very loud an"&amp;"d the bass is superb, I have no hits in this section. The battery life is also very good, giving me up to 4h of trouble. As for the full load of these headphones I do not know for sure but I think it does not reach the half hour. As little niggle I would "&amp;"say that the box fails to convince, it is curious that is circular and has to press a button to access the headphones but fails to convince me. For the price they have and the quality they offer we can not ask for more, recommended purchase.")</f>
        <v>BEST BLUETOOTH HEADSET No doubt all Bluetooth headsets that I could try these are the best, but long. To begin with are the ones that have proven to have USB Type C to load the box so only so already worth because they have the latest charging technology, as well as being faster. His control is totally touch, does not have any buttons, so to raise and lower volume, move or song or video you back is done by tapping on the handset. As for the sound quality is unrivaled, they are the best. Heard very loud and the bass is superb, I have no hits in this section. The battery life is also very good, giving me up to 4h of trouble. As for the full load of these headphones I do not know for sure but I think it does not reach the half hour. As little niggle I would say that the box fails to convince, it is curious that is circular and has to press a button to access the headphones but fails to convince me. For the price they have and the quality they offer we can not ask for more, recommended purchase.</v>
      </c>
    </row>
    <row r="4600">
      <c r="A4600" s="1">
        <v>4.0</v>
      </c>
      <c r="B4600" s="1" t="s">
        <v>4575</v>
      </c>
      <c r="C4600" t="str">
        <f>IFERROR(__xludf.DUMMYFUNCTION("GOOGLETRANSLATE(B4600, ""es"", ""en"")"),"Hello refund made have already returned greetings with different labels, the smallest size motivated.")</f>
        <v>Hello refund made have already returned greetings with different labels, the smallest size motivated.</v>
      </c>
    </row>
    <row r="4601">
      <c r="A4601" s="1">
        <v>4.0</v>
      </c>
      <c r="B4601" s="1" t="s">
        <v>4576</v>
      </c>
      <c r="C4601" t="str">
        <f>IFERROR(__xludf.DUMMYFUNCTION("GOOGLETRANSLATE(B4601, ""es"", ""en"")"),"FUNCTIONAL WANTED A bag with various departments. THIS RESULT HAS ME ""ENOUGH"" PROPER.")</f>
        <v>FUNCTIONAL WANTED A bag with various departments. THIS RESULT HAS ME "ENOUGH" PROPER.</v>
      </c>
    </row>
    <row r="4602">
      <c r="A4602" s="1">
        <v>5.0</v>
      </c>
      <c r="B4602" s="1" t="s">
        <v>4577</v>
      </c>
      <c r="C4602" t="str">
        <f>IFERROR(__xludf.DUMMYFUNCTION("GOOGLETRANSLATE(B4602, ""es"", ""en"")"),"Irma fit like a glove. This model is more stylized and when walking is like pisaras ""foam"" red .The is alive and are great with jeans")</f>
        <v>Irma fit like a glove. This model is more stylized and when walking is like pisaras "foam" red .The is alive and are great with jeans</v>
      </c>
    </row>
    <row r="4603">
      <c r="A4603" s="1">
        <v>5.0</v>
      </c>
      <c r="B4603" s="1" t="s">
        <v>4578</v>
      </c>
      <c r="C4603" t="str">
        <f>IFERROR(__xludf.DUMMYFUNCTION("GOOGLETRANSLATE(B4603, ""es"", ""en"")"),"Natural Super highly recommended and very mild odor.")</f>
        <v>Natural Super highly recommended and very mild odor.</v>
      </c>
    </row>
    <row r="4604">
      <c r="A4604" s="1">
        <v>5.0</v>
      </c>
      <c r="B4604" s="1" t="s">
        <v>4579</v>
      </c>
      <c r="C4604" t="str">
        <f>IFERROR(__xludf.DUMMYFUNCTION("GOOGLETRANSLATE(B4604, ""es"", ""en"")"),"Good product meets its function perfectly, it's fast and cheap. The computer recognized the first and is quick to connect and copy files.")</f>
        <v>Good product meets its function perfectly, it's fast and cheap. The computer recognized the first and is quick to connect and copy files.</v>
      </c>
    </row>
    <row r="4605">
      <c r="A4605" s="1">
        <v>5.0</v>
      </c>
      <c r="B4605" s="1" t="s">
        <v>4580</v>
      </c>
      <c r="C4605" t="str">
        <f>IFERROR(__xludf.DUMMYFUNCTION("GOOGLETRANSLATE(B4605, ""es"", ""en"")"),"Great choice on offer from time to time usually put in the amazon these Vans in different colors for 20 € or less. Ideal time to get some. In my case perhaps they carve children 1/2 larger number than ottas brands")</f>
        <v>Great choice on offer from time to time usually put in the amazon these Vans in different colors for 20 € or less. Ideal time to get some. In my case perhaps they carve children 1/2 larger number than ottas brands</v>
      </c>
    </row>
    <row r="4606">
      <c r="A4606" s="1">
        <v>5.0</v>
      </c>
      <c r="B4606" s="1" t="s">
        <v>461</v>
      </c>
      <c r="C4606" t="str">
        <f>IFERROR(__xludf.DUMMYFUNCTION("GOOGLETRANSLATE(B4606, ""es"", ""en"")"),"excellent excellent")</f>
        <v>excellent excellent</v>
      </c>
    </row>
    <row r="4607">
      <c r="A4607" s="1">
        <v>5.0</v>
      </c>
      <c r="B4607" s="1" t="s">
        <v>524</v>
      </c>
      <c r="C4607" t="str">
        <f>IFERROR(__xludf.DUMMYFUNCTION("GOOGLETRANSLATE(B4607, ""es"", ""en"")"),"Brilliant brilliant")</f>
        <v>Brilliant brilliant</v>
      </c>
    </row>
    <row r="4608">
      <c r="A4608" s="1">
        <v>5.0</v>
      </c>
      <c r="B4608" s="1" t="s">
        <v>4581</v>
      </c>
      <c r="C4608" t="str">
        <f>IFERROR(__xludf.DUMMYFUNCTION("GOOGLETRANSLATE(B4608, ""es"", ""en"")"),"Paste all used to hit a ceiling and after several months is holding up perfectly. I will buy more when it's over. The applicator is perfect.")</f>
        <v>Paste all used to hit a ceiling and after several months is holding up perfectly. I will buy more when it's over. The applicator is perfect.</v>
      </c>
    </row>
    <row r="4609">
      <c r="A4609" s="1">
        <v>5.0</v>
      </c>
      <c r="B4609" s="1" t="s">
        <v>4582</v>
      </c>
      <c r="C4609" t="str">
        <f>IFERROR(__xludf.DUMMYFUNCTION("GOOGLETRANSLATE(B4609, ""es"", ""en"")"),"Very good quality sound The sharpness of the sound is better, the cable is of good quality and not very comfortable, I recommend the product")</f>
        <v>Very good quality sound The sharpness of the sound is better, the cable is of good quality and not very comfortable, I recommend the product</v>
      </c>
    </row>
    <row r="4610">
      <c r="A4610" s="1">
        <v>5.0</v>
      </c>
      <c r="B4610" s="1" t="s">
        <v>4583</v>
      </c>
      <c r="C4610" t="str">
        <f>IFERROR(__xludf.DUMMYFUNCTION("GOOGLETRANSLATE(B4610, ""es"", ""en"")"),"Great invention makes a difference when organizing cables, chargers, headphones, etc, gives you life. 100 units for 10 euros, when Leroy Merlin charge 5 euros for 4 or 5 strips of bright colors and garish as agusto stay. This is incredible, I put 5 stars "&amp;"and the inventor is to get shoulder")</f>
        <v>Great invention makes a difference when organizing cables, chargers, headphones, etc, gives you life. 100 units for 10 euros, when Leroy Merlin charge 5 euros for 4 or 5 strips of bright colors and garish as agusto stay. This is incredible, I put 5 stars and the inventor is to get shoulder</v>
      </c>
    </row>
    <row r="4611">
      <c r="A4611" s="1">
        <v>5.0</v>
      </c>
      <c r="B4611" s="1" t="s">
        <v>4584</v>
      </c>
      <c r="C4611" t="str">
        <f>IFERROR(__xludf.DUMMYFUNCTION("GOOGLETRANSLATE(B4611, ""es"", ""en"")"),"Very good Comodos.faciles to use and to clean.")</f>
        <v>Very good Comodos.faciles to use and to clean.</v>
      </c>
    </row>
    <row r="4612">
      <c r="A4612" s="1">
        <v>5.0</v>
      </c>
      <c r="B4612" s="1" t="s">
        <v>4585</v>
      </c>
      <c r="C4612" t="str">
        <f>IFERROR(__xludf.DUMMYFUNCTION("GOOGLETRANSLATE(B4612, ""es"", ""en"")"),"Excellent value Excellent value. Beautifully finished and has a seemingly very strong case.")</f>
        <v>Excellent value Excellent value. Beautifully finished and has a seemingly very strong case.</v>
      </c>
    </row>
    <row r="4613">
      <c r="A4613" s="1">
        <v>5.0</v>
      </c>
      <c r="B4613" s="1" t="s">
        <v>4586</v>
      </c>
      <c r="C4613" t="str">
        <f>IFERROR(__xludf.DUMMYFUNCTION("GOOGLETRANSLATE(B4613, ""es"", ""en"")"),"Very good, I liked it a lot. It is perfect. It's transparent. Easy to apply.")</f>
        <v>Very good, I liked it a lot. It is perfect. It's transparent. Easy to apply.</v>
      </c>
    </row>
    <row r="4614">
      <c r="A4614" s="1">
        <v>5.0</v>
      </c>
      <c r="B4614" s="1" t="s">
        <v>4587</v>
      </c>
      <c r="C4614" t="str">
        <f>IFERROR(__xludf.DUMMYFUNCTION("GOOGLETRANSLATE(B4614, ""es"", ""en"")"),"Strong colors If you do not mind the strong colors, here are some good socks. Use to train in the gym or walking / jogging.")</f>
        <v>Strong colors If you do not mind the strong colors, here are some good socks. Use to train in the gym or walking / jogging.</v>
      </c>
    </row>
    <row r="4615">
      <c r="A4615" s="1">
        <v>5.0</v>
      </c>
      <c r="B4615" s="1" t="s">
        <v>4588</v>
      </c>
      <c r="C4615" t="str">
        <f>IFERROR(__xludf.DUMMYFUNCTION("GOOGLETRANSLATE(B4615, ""es"", ""en"")"),"VERY FAVORABLE The only downside is that the agency WHERE TO SEND ME HERE IN CACERES WHAT ARE THE WORKING HOURS WITH MY COINCIDENTE AND WAREHOUSE IS A CENTRAL KMS. DISTANCE, YOU ARE gridded IN TIME AND HAVE TO BE HEAD WITH THEM,")</f>
        <v>VERY FAVORABLE The only downside is that the agency WHERE TO SEND ME HERE IN CACERES WHAT ARE THE WORKING HOURS WITH MY COINCIDENTE AND WAREHOUSE IS A CENTRAL KMS. DISTANCE, YOU ARE gridded IN TIME AND HAVE TO BE HEAD WITH THEM,</v>
      </c>
    </row>
    <row r="4616">
      <c r="A4616" s="1">
        <v>5.0</v>
      </c>
      <c r="B4616" s="1" t="s">
        <v>4589</v>
      </c>
      <c r="C4616" t="str">
        <f>IFERROR(__xludf.DUMMYFUNCTION("GOOGLETRANSLATE(B4616, ""es"", ""en"")"),"SUPER was a reglao and came to timepo are quality")</f>
        <v>SUPER was a reglao and came to timepo are quality</v>
      </c>
    </row>
    <row r="4617">
      <c r="A4617" s="1">
        <v>5.0</v>
      </c>
      <c r="B4617" s="1" t="s">
        <v>4590</v>
      </c>
      <c r="C4617" t="str">
        <f>IFERROR(__xludf.DUMMYFUNCTION("GOOGLETRANSLATE(B4617, ""es"", ""en"")"),"Perfect Delivery was fast and bag as described in steps as in the photo. Enough quality and ideal for carrying small things comfortably without having to deform the pockets of his pants. Or as a plus for such carry a small travel camera, since it has good"&amp;" cushioning and is quite waterproof. Multiple pockets and belt hooks quality as comfortable.")</f>
        <v>Perfect Delivery was fast and bag as described in steps as in the photo. Enough quality and ideal for carrying small things comfortably without having to deform the pockets of his pants. Or as a plus for such carry a small travel camera, since it has good cushioning and is quite waterproof. Multiple pockets and belt hooks quality as comfortable.</v>
      </c>
    </row>
    <row r="4618">
      <c r="A4618" s="1">
        <v>5.0</v>
      </c>
      <c r="B4618" s="1" t="s">
        <v>4591</v>
      </c>
      <c r="C4618" t="str">
        <f>IFERROR(__xludf.DUMMYFUNCTION("GOOGLETRANSLATE(B4618, ""es"", ""en"")"),"Verbatim 43551 DVD + R + 100 Units super fast shipping, from one day to another, and quality who do not know, are the best. I can say that any of the DVDs I've found so far presented as a cut in the end of the runway. But I have not encountered problems w"&amp;"ith the reading. 10 Units of time 1 came out with that visual defect apparently without problems. Perfect, I recommend.")</f>
        <v>Verbatim 43551 DVD + R + 100 Units super fast shipping, from one day to another, and quality who do not know, are the best. I can say that any of the DVDs I've found so far presented as a cut in the end of the runway. But I have not encountered problems with the reading. 10 Units of time 1 came out with that visual defect apparently without problems. Perfect, I recommend.</v>
      </c>
    </row>
    <row r="4619">
      <c r="A4619" s="1">
        <v>5.0</v>
      </c>
      <c r="B4619" s="1" t="s">
        <v>4592</v>
      </c>
      <c r="C4619" t="str">
        <f>IFERROR(__xludf.DUMMYFUNCTION("GOOGLETRANSLATE(B4619, ""es"", ""en"")"),"Sencilll easy and easy to use and take off from their original package")</f>
        <v>Sencilll easy and easy to use and take off from their original package</v>
      </c>
    </row>
    <row r="4620">
      <c r="A4620" s="1">
        <v>2.0</v>
      </c>
      <c r="B4620" s="1" t="s">
        <v>4593</v>
      </c>
      <c r="C4620" t="str">
        <f>IFERROR(__xludf.DUMMYFUNCTION("GOOGLETRANSLATE(B4620, ""es"", ""en"")"),"Regular folder is very cool but the end has not come to complete the course, not even a quarter. Price is good but I think it will not buy.")</f>
        <v>Regular folder is very cool but the end has not come to complete the course, not even a quarter. Price is good but I think it will not buy.</v>
      </c>
    </row>
    <row r="4621">
      <c r="A4621" s="1">
        <v>3.0</v>
      </c>
      <c r="B4621" s="1" t="s">
        <v>4594</v>
      </c>
      <c r="C4621" t="str">
        <f>IFERROR(__xludf.DUMMYFUNCTION("GOOGLETRANSLATE(B4621, ""es"", ""en"")"),"¿It is normal to come this amount in the pot? Seems to glue and for the price needed that costs should come up above, there is no guarantee that is new (The plastic packaging is closed but there are ways to open it without cracking the package), did not b"&amp;"ring any cap to ensure which it was not previously used.")</f>
        <v>¿It is normal to come this amount in the pot? Seems to glue and for the price needed that costs should come up above, there is no guarantee that is new (The plastic packaging is closed but there are ways to open it without cracking the package), did not bring any cap to ensure which it was not previously used.</v>
      </c>
    </row>
    <row r="4622">
      <c r="A4622" s="1">
        <v>3.0</v>
      </c>
      <c r="B4622" s="1" t="s">
        <v>4595</v>
      </c>
      <c r="C4622" t="str">
        <f>IFERROR(__xludf.DUMMYFUNCTION("GOOGLETRANSLATE(B4622, ""es"", ""en"")"),"Permanent sweat accumulates a pool of sweat under the ortholite template, passing on all models of XA PRO I've had. And in models with Goretex even more noticeable because ventilation is less than the plot being tighter. Permanent moisture in the plant fo"&amp;"ot and wet socks. Otherwise well, they are pretty versatile because you can also wear with jeans, and durable.")</f>
        <v>Permanent sweat accumulates a pool of sweat under the ortholite template, passing on all models of XA PRO I've had. And in models with Goretex even more noticeable because ventilation is less than the plot being tighter. Permanent moisture in the plant foot and wet socks. Otherwise well, they are pretty versatile because you can also wear with jeans, and durable.</v>
      </c>
    </row>
    <row r="4623">
      <c r="A4623" s="1">
        <v>1.0</v>
      </c>
      <c r="B4623" s="1" t="s">
        <v>4596</v>
      </c>
      <c r="C4623" t="str">
        <f>IFERROR(__xludf.DUMMYFUNCTION("GOOGLETRANSLATE(B4623, ""es"", ""en"")"),"It is not 3.0 As they say in other reviews the faster read / write are not a 3.0. misleading advertising. The speeds are 2.0. Otherwise it's like they say.")</f>
        <v>It is not 3.0 As they say in other reviews the faster read / write are not a 3.0. misleading advertising. The speeds are 2.0. Otherwise it's like they say.</v>
      </c>
    </row>
    <row r="4624">
      <c r="A4624" s="1">
        <v>1.0</v>
      </c>
      <c r="B4624" s="1" t="s">
        <v>4597</v>
      </c>
      <c r="C4624" t="str">
        <f>IFERROR(__xludf.DUMMYFUNCTION("GOOGLETRANSLATE(B4624, ""es"", ""en"")"),"Eye doubtful the clock was already used, comes with no seal and two minutes of pornelo on the wrist no longer works not buy analog been returned")</f>
        <v>Eye doubtful the clock was already used, comes with no seal and two minutes of pornelo on the wrist no longer works not buy analog been returned</v>
      </c>
    </row>
    <row r="4625">
      <c r="A4625" s="1">
        <v>4.0</v>
      </c>
      <c r="B4625" s="1" t="s">
        <v>4598</v>
      </c>
      <c r="C4625" t="str">
        <f>IFERROR(__xludf.DUMMYFUNCTION("GOOGLETRANSLATE(B4625, ""es"", ""en"")"),"No isolate sound good (as I knew) but sounds very good, no background noise or anything.")</f>
        <v>No isolate sound good (as I knew) but sounds very good, no background noise or anything.</v>
      </c>
    </row>
    <row r="4626">
      <c r="A4626" s="1">
        <v>4.0</v>
      </c>
      <c r="B4626" s="1" t="s">
        <v>4599</v>
      </c>
      <c r="C4626" t="str">
        <f>IFERROR(__xludf.DUMMYFUNCTION("GOOGLETRANSLATE(B4626, ""es"", ""en"")"),"Good but great. Overall it is a good shoulder strap. Good material. Good finishes. Good adjustable and wide strip. But too big for the claims he had wanted a more manageable bag and this was a college guy to carry nearly 11-inch MacBook Air. Or a large iP"&amp;"ad. And returned it to the end I bought a smaller one with which I am very satisfied.")</f>
        <v>Good but great. Overall it is a good shoulder strap. Good material. Good finishes. Good adjustable and wide strip. But too big for the claims he had wanted a more manageable bag and this was a college guy to carry nearly 11-inch MacBook Air. Or a large iPad. And returned it to the end I bought a smaller one with which I am very satisfied.</v>
      </c>
    </row>
    <row r="4627">
      <c r="A4627" s="1">
        <v>4.0</v>
      </c>
      <c r="B4627" s="1" t="s">
        <v>4600</v>
      </c>
      <c r="C4627" t="str">
        <f>IFERROR(__xludf.DUMMYFUNCTION("GOOGLETRANSLATE(B4627, ""es"", ""en"")"),"A comfy kettle kettle Excellent and fast, fast, comfortable and very quiet. Perfect for up to five cups boiling in a minute. Only problem: the power cord is too short.")</f>
        <v>A comfy kettle kettle Excellent and fast, fast, comfortable and very quiet. Perfect for up to five cups boiling in a minute. Only problem: the power cord is too short.</v>
      </c>
    </row>
    <row r="4628">
      <c r="A4628" s="1">
        <v>4.0</v>
      </c>
      <c r="B4628" s="1" t="s">
        <v>4601</v>
      </c>
      <c r="C4628" t="str">
        <f>IFERROR(__xludf.DUMMYFUNCTION("GOOGLETRANSLATE(B4628, ""es"", ""en"")"),"I like clever way to get home computer cables and occupying a very small space. The only small downside is the hassle of having to go tucking cables. But well worth it.")</f>
        <v>I like clever way to get home computer cables and occupying a very small space. The only small downside is the hassle of having to go tucking cables. But well worth it.</v>
      </c>
    </row>
    <row r="4629">
      <c r="A4629" s="1">
        <v>4.0</v>
      </c>
      <c r="B4629" s="1" t="s">
        <v>4602</v>
      </c>
      <c r="C4629" t="str">
        <f>IFERROR(__xludf.DUMMYFUNCTION("GOOGLETRANSLATE(B4629, ""es"", ""en"")"),"Good-value &lt;div id = ""video-block-R2TEG5OKUVW4W3"" class = ""a-section a-spacing-small a-spacing-top mini video-block""&gt; &lt;div tabindex = ""0"" class = ""airy airy -svg vmin-supported airy-skin-beacon ""style ="" background-color: rgb (0, 0, 0) position: "&amp;"relative; width: 100%; height: 100%; font-size: 0px; overflow: hidden ; outline: none; ""&gt; &lt;div class ="" airy-renderer-container ""style ="" position: relative; height: 100%; width: 100%; ""&gt; &lt;video id ="" 7 ""preload ="" auto ""src = ""https://images-eu"&amp;".ssl-images-amazon.com/images/I/71m6VL2QO9S.mp4"" style = ""position: absolute; left: 0px; top: 0px; overflow: hidden; height: 1px; width : 1px; ""&gt; &lt;/ video&gt; &lt;/ div&gt; &lt;div id ="" airy-slate-preload ""style ="" background-color: rgb (0, 0, 0); background-i"&amp;"mage: url (&amp; quot; https: //images-eu.ssl-images-amazon.com/images/I/81AtMETlU7S.png&amp;quot;); background-size: Contain; background-position: center center; background-repeat: no-repeat; position: absolute; top : 0px; left: 0px; visibility: visible; width: "&amp;"100%; height: 100%; ""&gt; &lt;/ div&gt; &lt;ifr love scrolling = ""no"" frameborder = ""0"" src = ""about: blank"" style = ""display: none;""&gt; &lt;/ iframe&gt; &lt;div tabindex = ""- 1"" class = ""airy-controls-container"" style = ""opacity: 0; visibility: hidden; ""&gt; &lt;div t"&amp;"abindex ="" - 1 ""class ="" airy-screen-size-toggle airy-fullscreen ""&gt; &lt;/ div&gt; &lt;div tabindex ="" - 1 ""class ="" airy-container-bottom "" &gt; &lt;div tabindex = ""- 1"" class = ""airy-track-bar-spacer-left"" style = ""width: 11px;""&gt; &lt;/ div&gt; &lt;div tabindex = "&amp;"""- 1"" class = ""airy-play- airy toggle-play ""style ="" width: 12px; margin-right: 12px; ""&gt; &lt;/ div&gt; &lt;div tabindex ="" - 1 ""class ="" airy-audio-elements ""style ="" float: right; width: 34px; ""&gt; &lt;div tabindex ="" - 1 ""class ="" airy-audio-toggle air"&amp;"y-on ""&gt; &lt;/ div&gt; &lt;div tabindex ="" - 1 ""class ="" airy-audio-container ""style = ""opacity: 0; visibility: hidden; ""&gt; &lt;div tabindex ="" - 1 ""class ="" airy-audio-track-bar ""style ="" height: 80%; ""&gt; &lt;div tabindex ="" - 1 ""class ="" airy-audio- Scrub"&amp;"ber-bar ""style ="" height: 85%; ""&gt; &lt;/ div&gt; &lt;div tabindex ="" - 1 ""class ="" airy-audio-scrubber ""style ="" height: 12px; bottom 85% ""&gt; &lt;/ div&gt; &lt;/ div&gt; &lt;/ div&gt; &lt;/ div&gt; &lt;div tabindex ="" - 1 ""class ="" airy-duration-label ""style ="" float: right; wid"&amp;"th: 26px; margin-right: 4px; text-align: center; ""&gt; 0:03 &lt;/ div&gt; &lt;div tabindex ="" - 1 ""class ="" airy-track-bar-spacer-right ""style ="" float: right; width: 11px; ""&gt; &lt;/ div&gt; &lt;div tabindex ="" - 1 ""class ="" airy-track-bar-container ""style ="" margi"&amp;"n-left: 35px; margin-right: 75px; ""&gt; &lt;div tabindex ="" - 1 ""class ="" airy-airy-track-bar vertically-centering-table ""&gt; &lt;div tabindex ="" - 1 ""class ="" airy-Vertical-centering- table-cell ""&gt; &lt;div tabindex ="" - 1 ""class ="" airy-track bar-elements "&amp;"""&gt; &lt;div tabindex ="" - 1 ""class ="" airy-progress bar ""style ="" width: 100%; ""&gt; &lt;/ div&gt; &lt;div tabindex ="" - 1 ""class ="" airy-scrubber-bar ""&gt; &lt;/ div&gt; &lt;div tabindex ="" - 1 ""class ="" airy-scrubber ""&gt; &lt;div tabindex ="" - 1 ""class ="" airy-scrubbe"&amp;"r-icon ""&gt; &lt;/ div&gt; &lt;div tabindex ="" - 1 ""class ="" airy-adjusted-AUI-tooltip ""style ="" opacity: 0; visibility: hidden; ""&gt; &lt;div tabindex ="" - 1 ""class ="" airy-adjusted-aui-tooltip-inner ""&gt; &lt;div tabindex ="" - 1 ""class ="" airy-current-time-label "&amp;"""&gt; 0: 00 &lt;/ div&gt; &lt;/ div&gt; &lt;div tabindex = ""- 1"" class = ""airy-adjusted-AUI-arrow-border""&gt; &lt;div tabindex = ""- 1"" class = ""airy-adjusted-AUI-arrow"" &gt; &lt;/ div&gt; &lt;/ div&gt; &lt;/ div&gt; &lt;/ div&gt; &lt;/ div&gt; &lt;/ div&gt; &lt;/ div&gt; &lt;/ div&gt; &lt;/ div&gt; &lt;/ div&gt; &lt;div tabindex = ""-"&amp;" 1"" class = ""airy-age-gate airy-stage airy-Vertical-centering-table airy-dialog"" style = ""opacity: 0; visibility: hidden; ""&gt; &lt;div tabindex ="" - 1 ""class ="" airy-age-gate-Vertical-centering-table-cell airy-Vertical-centering-table-cell ""&gt; &lt;div tab"&amp;"index ="" - 1 ""class = ""airy-Vertical-centering-wrapper airy-age-gate-elements-wrapper""&gt; &lt;div tabindex = ""- 1"" class = ""airy-age-gate-elements airy-dialog-elements""&gt; &lt;div tabindex = "" -1 ""class ="" airy-age-gate-prompt ""&gt; This video is not Inten"&amp;"ded for all audiences What date were you born &lt;/ div&gt; &lt;div tabindex =.?"" - 1 ""class ="" airy-age-gate -inputs airy-dialog-inner-elements ""&gt; &lt;select tabindex ="" - 1 ""class ="" airy-age-gate-month ""&gt; &lt;option value ="" 1 ""&gt; January &lt;/ option&gt; &lt;option "&amp;"value ="" 2 ""&gt; February &lt;/ option&gt; &lt;option value ="" 3 ""&gt; March &lt;/ option&gt; &lt;option value ="" 4 ""&gt; April &lt;/ option&gt; &lt;option value ="" 5 ""&gt; May &lt;/ option&gt; &lt;option value = ""6""&gt; June &lt;/ option&gt; &lt;option value = ""7""&gt; July &lt;/ option&gt; &lt;option value = ""8"&amp;"""&gt; August &lt;/ option&gt; &lt;option value = ""9""&gt; September &lt;/ option&gt; &lt;option value = ""10""&gt; October &lt;/ option&gt; &lt;option value = ""11""&gt; November &lt;/ option&gt; &lt;option value = ""12""&gt; December &lt;/ option&gt; &lt;/ select&gt; &lt;select tabindex = ""- 1"" class = ""airy-age-g"&amp;"ate-day""&gt; &lt;opti on value = ""1""&gt; 1 &lt;/ option&gt; &lt;option value = ""2""&gt; 2 &lt;/ option&gt; &lt;option value = ""3""&gt; 3 &lt;/ option&gt; &lt;option value = ""4""&gt; 4 &lt;/ option &gt; &lt;option value = ""5""&gt; 5 &lt;/ option&gt; &lt;option value = ""6""&gt; 6 &lt;/ option&gt; &lt;option value = ""7""&gt; 7 &lt;"&amp;"/ option&gt; &lt;option value = ""8""&gt; 8 &lt; / option&gt; &lt;option value = ""9""&gt; 9 &lt;/ option&gt; &lt;option value = ""10""&gt; 10 &lt;/ option&gt; &lt;option value = ""11""&gt; 11 &lt;/ option&gt; &lt;option value = ""12""&gt; 12 &lt;/ option&gt; &lt;option value = ""13""&gt; 13 &lt;/ option&gt; &lt;option value = ""14"&amp;"""&gt; 14 &lt;/ option&gt; &lt;option value = ""15""&gt; 15 &lt;/ option&gt; &lt;option value = ""16 ""&gt; 16 &lt;/ option&gt; &lt;option value ="" 17 ""&gt; 17 &lt;/ option&gt; &lt;option value ="" 18 ""&gt; 18 &lt;/ option&gt; &lt;option value ="" 19 ""&gt; 19 &lt;/ option&gt; &lt;option value = ""20""&gt; 20 &lt;/ option&gt; &lt;opti"&amp;"on value = ""21""&gt; 21 &lt;/ option&gt; &lt;option value = ""22""&gt; 22 &lt;/ option&gt; &lt;option value = ""23""&gt; 23 &lt;/ option&gt; &lt;option value = ""24""&gt; 24 &lt;/ option&gt; &lt;option value = ""25""&gt; 25 &lt;/ option&gt; &lt;option value = ""26""&gt; 26 &lt;/ option&gt; &lt;option value = ""27""&gt; 27 &lt;/ op"&amp;"tion&gt; &lt;option value = ""28""&gt; 28 &lt;/ option&gt; &lt;option value = ""29""&gt; 29 &lt;/ option&gt; &lt;option value = ""30""&gt; 30 &lt;/ option&gt; &lt;option value = ""31""&gt; 31 &lt;/ option&gt; &lt;/ select&gt; &lt;select tabindex = ""- 1"" class = ""airy-age-gate-year""&gt; &lt;option value = ""2019""&gt; 2"&amp;"019 &lt;/ option&gt; &lt; option value = ""2018""&gt; 2018 &lt;/ option&gt; &lt;option value = ""2017""&gt; 2017 &lt;/ option&gt; &lt;option value = ""2016""&gt; ​​2016 &lt;/ option&gt; &lt;option value = ""2015""&gt; 2015 &lt;/ option &gt; &lt;option value = ""2014""&gt; 2014 &lt;/ option&gt; &lt;option value = ""2013""&gt; "&amp;"2013 &lt;/ option&gt; &lt;option value = ""2012""&gt; 2012 &lt;/ option&gt; &lt;option value = ""2011""&gt; 2011 &lt; / option&gt; &lt;option value = ""2010""&gt; 2010 &lt;/ option&gt; &lt;option value = ""2009""&gt; 2009 &lt;/ option&gt; &lt;option value = ""2008""&gt; 2008 &lt;/ option&gt; &lt;option value = ""2007""&gt; 20"&amp;"07 &lt;/ option&gt; &lt;option value = ""2006""&gt; 2006 &lt;/ option&gt; &lt;option value = ""2005""&gt; 2005 &lt;/ option&gt; &lt;option value = ""2004""&gt; 2004 &lt;/ option&gt; &lt;option value = ""2003 ""&gt; 2003 &lt;/ option&gt; &lt;option value ="" 2002 ""&gt; 2002 &lt;/ option&gt; &lt;option value ="" 2001 ""&gt; 20"&amp;"01 &lt;/ option&gt; &lt;option value ="" 2000 ""&gt; 2000 &lt;/ option&gt; &lt;option value = ""1999""&gt; 1999 &lt;/ option&gt; &lt;option value = ""1998""&gt; 1998 &lt;/ option&gt; &lt;option value = ""1997""&gt; 1997 &lt;/ option&gt; &lt;option value = ""1996""&gt; 1996 &lt;/ option&gt; &lt;option value = ""1995""&gt; 1995"&amp;" &lt;/ option&gt; &lt;option value = ""1994""&gt; 1994 &lt;/ option&gt; &lt;option value = ""1993""&gt; 1993 &lt;/ option&gt; &lt;option value = ""1992""&gt; 1992 &lt;/ option&gt; &lt;option value = ""1991""&gt; 1991 &lt;/ option&gt; &lt;option value = ""1990""&gt; 1990 &lt;/ option&gt; &lt;option value = "" 1989 ""&gt; 1989 "&amp;"&lt;/ option&gt; &lt;option value ="" 1988 ""&gt; 1988 &lt;/ option&gt; &lt;option value ="" 1987 ""&gt; 1987 &lt;/ option&gt; &lt;option value ="" 1986 ""&gt; 1986 &lt;/ option&gt; &lt;value option = ""1985""&gt; 1985 &lt;/ option&gt; &lt;option value = ""1984""&gt; 1984 &lt;/ option&gt; &lt;option value = ""1983""&gt; 1983 "&amp;"&lt;/ option&gt; &lt;option value = ""1982""&gt; 1982 &lt;/ option&gt; &lt; option value = ""1981""&gt; 1981 &lt;/ option&gt; &lt;option value = ""1980""&gt; 1980 &lt;/ option&gt; &lt;option value = ""1979""&gt; 1979 &lt;/ option&gt; &lt;option value = ""1978""&gt; 1978 &lt;/ option &gt; &lt;option value = ""1977""&gt; 1977 &lt;"&amp;"/ option&gt; &lt;option value = ""1976""&gt; 1976 &lt;/ option&gt; &lt;option value = ""1975""&gt; 1975 &lt;/ option&gt; &lt;option value = ""1974""&gt; 1974 &lt; / option&gt; &lt;option value = ""1973""&gt; 1973 &lt;/ option&gt; &lt;option value = ""1972""&gt; 1972 &lt;/ option&gt; &lt;option value = ""1971""&gt; 1971 &lt;/ "&amp;"option&gt; &lt;option value = ""1970""&gt; 1970 &lt;/ option&gt; &lt;option value = ""1969""&gt; 1969 &lt;/ option&gt; &lt;option value = ""1968""&gt; 1968 &lt;/ option&gt; &lt;option value = ""1967""&gt; 1967 &lt;/ option&gt; &lt;option value = ""1966 ""&gt; 1966 &lt;/ option&gt; &lt;option value ="" 1965 ""&gt; 1965 &lt;/ o"&amp;"ption&gt; &lt;option value ="" 1964 ""&gt; 1964 &lt;/ option&gt; &lt;option value ="" 1963 ""&gt; 1963 &lt;/ option&gt; &lt;option value = ""1962""&gt; 1962 &lt;/ option&gt; &lt;option value = ""1961""&gt; 1961 &lt;/ option&gt; &lt;option value = ""1960""&gt; 1960 &lt;/ op tion&gt; &lt;option value = ""1959""&gt; 1959 &lt;/ o"&amp;"ption&gt; &lt;option value = ""1958""&gt; 1958 &lt;/ option&gt; &lt;option value = ""1957""&gt; 1957 &lt;/ option&gt; &lt;option value = ""1956""&gt; 1956 &lt;/ option&gt; &lt;option value = ""1955""&gt; 1955 &lt;/ option&gt; &lt;option value = ""1954""&gt; 1954 &lt;/ option&gt; &lt;option value = ""1953""&gt; 1953 &lt;/ opti"&amp;"on&gt; &lt;option value = ""1952"" &gt; 1952 &lt;/ option&gt; &lt;option value = ""1951""&gt; 1951 &lt;/ option&gt; &lt;option value = ""1950""&gt; 1950 &lt;/ option&gt; &lt;option value = ""1949""&gt; 1949 &lt;/ option&gt; &lt;option value = "" 1948 ""&gt; 1948 &lt;/ option&gt; &lt;option value ="" 1947 ""&gt; 1947 &lt;/ opt"&amp;"ion&gt; &lt;option value ="" 1946 ""&gt; 1946 &lt;/ option&gt; &lt;option value ="" 1945 ""&gt; 1945 &lt;/ option&gt; &lt;value option = ""1944""&gt; 1944 &lt;/ option&gt; &lt;option value = ""1943""&gt; 1943 &lt;/ option&gt; &lt;option value = ""1942""&gt; 1942 &lt;/ option&gt; &lt;option value = ""1941""&gt; 1941 &lt;/ opti"&amp;"on&gt; &lt; option value = ""1940""&gt; 1940 &lt;/ option&gt; &lt;option value = ""1939""&gt; 1939 &lt;/ option&gt; &lt;option value = ""1938""&gt; 1938 &lt;/ option&gt; &lt;option value = ""1937""&gt; 1937 &lt;/ option &gt; &lt;option value = ""1936""&gt; 1936 &lt;/ option&gt; &lt;option value = ""1935""&gt; 1935 &lt;/ optio"&amp;"n&gt; &lt;option value = ""1934""&gt; 1934 &lt;/ option&gt; &lt;option value = ""1933""&gt; 1933 &lt; / option&gt; &lt;option value = ""1932""&gt; 1932 &lt;/ option&gt; &lt;option value = ""1931""&gt; 1931 &lt;/ option&gt; &lt;option v alue = ""1930""&gt; 1930 &lt;/ option&gt; &lt;option value = ""1929""&gt; 1929 &lt;/ option"&amp;"&gt; &lt;option value = ""1928""&gt; 1928 &lt;/ option&gt; &lt;option value = ""1927""&gt; 1927 &lt;/ option&gt; &lt;option value = ""1926""&gt; 1926 &lt;/ option&gt; &lt;option value = ""1925""&gt; 1925 &lt;/ option&gt; &lt;option value = ""1924""&gt; 1924 &lt;/ option&gt; &lt;option value = ""1923""&gt; 1923 &lt;/ option&gt; &lt;"&amp;"option value = ""1922""&gt; 1922 &lt;/ option&gt; &lt;option value = ""1921""&gt; 1921 &lt;/ option&gt; &lt;option value = ""1920""&gt; 1920 &lt;/ option&gt; &lt;option value = ""1919""&gt; 1919 &lt;/ option&gt; &lt;option value = ""1918""&gt; 1918 &lt;/ option&gt; &lt;option value = ""1917""&gt; 1917 &lt;/ option&gt; &lt;opt"&amp;"ion value = ""1916""&gt; 1916 &lt;/ option&gt; &lt;option value = ""1915"" &gt; 1915 &lt;/ option&gt; &lt;option value = ""1914""&gt; 1914 &lt;/ option&gt; &lt;option value = ""1913""&gt; 1913 &lt;/ option&gt; &lt;option value = ""1912""&gt; 1912 &lt;/ option&gt; &lt;option value = "" 1911 ""&gt; 1911 &lt;/ option&gt; &lt;opt"&amp;"ion value ="" 1910 ""&gt; 1910 &lt;/ option&gt; &lt;option value ="" 1909 ""&gt; 1909 &lt;/ option&gt; &lt;option value ="" 1908 ""&gt; 1908 &lt;/ option&gt; &lt;value option = ""1907""&gt; 1907 &lt;/ option&gt; &lt;option value = ""1906""&gt; 1906 &lt;/ option&gt; &lt;option value = ""1905""&gt; 1905 &lt;/ option&gt; &lt;opt"&amp;"ion value = ""1904""&gt; 1904 &lt;/ option&gt; &lt; option value = ""1903""&gt; 1903 &lt;/ option&gt; &lt;option value = ""1902""&gt; 1902 &lt;/ option&gt; &lt;option value = ""1901""&gt; 19 01 &lt;/ option&gt; &lt;option value = ""1900""&gt; 1900 &lt;/ option&gt; &lt;/ select&gt; &lt;div tabindex = ""- 1"" class = ""ai"&amp;"ry-age-gate-submit airy-submit-button airy airy-submit- disabled ""&gt; Submit &lt;/ div&gt; &lt;/ div&gt; &lt;/ div&gt; &lt;/ div&gt; &lt;/ div&gt; &lt;/ div&gt; &lt;div tabindex ="" - 1 ""class ="" airy-install-flash-dialog airy-stage airy -vertical-centering-table-dialog airy airy-denied ""sty"&amp;"le ="" opacity: 0; visibility: hidden; ""&gt; &lt;div tabindex ="" - 1 ""class ="" airy-install-flash-Vertical-centering-table-cell airy-Vertical-centering-table-cell ""&gt; &lt;div tabindex ="" - 1 ""class = ""airy-Vertical-centering-wrapper airy-install-flash-eleme"&amp;"nts-wrapper""&gt; &lt;div tabindex = ""- 1"" class = ""airy-install-flash-elements airy-dialog-elements""&gt; &lt;div tabindex = "" -1 ""class ="" airy-install-flash-prompt ""&gt; Adobe Flash Player is required to watch this video &lt;/ div&gt; &lt;div tabindex =."" - 1 ""class "&amp;"="" airy-install-flash-button-wrapper airy -dialog-inner-elements ""&gt; &lt;div tabindex ="" - 1 ""class ="" airy-install-flash-button airy-button ""&gt; install Flash Player &lt;/ div&gt; &lt;/ div&gt; &lt;/ div&gt; &lt;/ div&gt; &lt;/ div&gt; &lt;/ div&gt; &lt;div tabindex = ""- 1"" class = ""airy-v"&amp;"ideo-unsupported-dialog airy-stage airy-Vertical-centering-table airy-dialog airy-denied"" style = ""opacity: 0; visibility: hidden; ""&gt; &lt;div tabindex ="" - 1 ""class ="" airy-video-unsupported-Vertical-centering-table-cell airy-Vertical-centering-table-c"&amp;"ell ""&gt; &lt;div tabindex ="" - 1 ""class = ""airy-Vertical-centering-wrapper airy-video-unsupported-elements-wrapper""&gt; &lt;div tabindex = ""- 1"" class = ""airy-video-unsupported-elements airy-dialog-elements""&gt; &lt;div tabindex = "" -1 ""class ="" airy-video-uns"&amp;"upported-prompt ""&gt; &lt;/ div&gt; &lt;/ div&gt; &lt;/ div&gt; &lt;/ div&gt; &lt;/ div&gt; &lt;div tabindex ="" - 1 ""class ="" airy-loading- spinner-stage airy-stage ""&gt; &lt;div tabindex ="" - 1 ""class ="" airy-loading-spinner-Vertical-centering-table-cell airy-Vertical-centering-table-cel"&amp;"l ""&gt; &lt;div tabindex ="" - 1 ""class ="" airy-loading-spinner-container airy-scalable-hint-container ""&gt; &lt;div tabindex ="" - 1 ""class ="" airy-loading-spinner-dummy airy-scalable-dummy ""&gt; &lt;/ div&gt; &lt; div tabindex = ""- 1"" class = ""airy-loading-spinner ai"&amp;"ry-hint"" style = ""visibility: hidden;""&gt; &lt;/ div&gt; &lt;/ div&gt; &lt;/ div&gt; &lt;/ div&gt; &lt;div tabindex = ""- 1 ""class ="" airy-ads-screen-size-toggle airy-screen-size-toggle-fullscreen airy ""style ="" visibility: hidden; ""&gt; &lt;/ div&gt; &lt;div tabindex = ""-1"" class = ""a"&amp;"iry-ad-prompt-container"" style = ""visibility: hidden;""&gt; &lt;div tabindex = ""- 1"" class = ""airy-ad-prompt-Vertical-centering-table-vertically airy centering-table ""&gt; &lt;div tabindex ="" - 1 ""class ="" airy-ad-prompt-Vertical-centering-table-cell airy-Ve"&amp;"rtical-centering-table-cell ""&gt; &lt;div tabindex ="" - 1 ""class = ""airy-ad-prompt-label""&gt; &lt;/ div&gt; &lt;/ div&gt; &lt;/ div&gt; &lt;/ div&gt; &lt;div tabindex = ""- 1"" class = ""airy-ads-controls-container"" style = ""visibility: hidden; ""&gt; &lt;div tabindex ="" - 1 ""class ="" a"&amp;"iry-ads-audio-toggle airy-audio-toggle airy-on ""style ="" visibility: hidden; ""&gt; &lt;/ div&gt; &lt;div tabindex ="" - 1 ""class ="" airy-time-remaining-label-container ""&gt; &lt;div tabindex ="" - 1 ""class ="" airy-time-remaining-Vertical-centering-table airy-Vertic"&amp;"al-centering-table ""&gt; &lt;div tabindex = ""- 1"" class = ""airy-time-remaining-Vertical-centering-table-cell airy-Vertical-centering-table-cell""&gt; &lt;div tabindex = ""- 1"" class = ""airy-Vertical-centering-wrapper airy-time-remaining-label-wrapper ""&gt; &lt;div t"&amp;"abindex ="" - 1 ""class ="" airy-time-remaining-label ""style ="" visibility: hidden; ""&gt; &lt;/ div&gt; &lt;div tabi ndex = ""- 1"" class = ""airy-ad-skip"" style = ""visibility: hidden;""&gt; &lt;/ div&gt; &lt;div tabindex = ""- 1"" class = ""airy-ad-end"" style = ""visibili"&amp;"ty: hidden ""&gt; &lt;/ div&gt; &lt;/ div&gt; &lt;/ div&gt; &lt;/ div&gt; &lt;/ div&gt; &lt;div tabindex ="" - 1 ""class ="" airy-learn-more ""style ="" visibility: hidden; ""&gt; &lt;/ div&gt; &lt;/ div&gt; &lt;div tabindex = ""- 1"" class = ""airy-play-toggle-hint-stage airy-stage airy-cursor""&gt; &lt;div tabin"&amp;"dex = ""- 1"" class = ""airy-play -toggle-hint-Vertical-centering-table-cell airy-Vertical-centering-table-cell airy-cursor ""&gt; &lt;div tabindex ="" - 1 ""class ="" airy-play-toggle-hint-container airy-scalable- Hint-container ""&gt; &lt;div tabindex ="" - 1 ""cla"&amp;"ss ="" airy-play-toggle-hint-dummy airy-scalable-dummy ""&gt; &lt;/ div&gt; &lt;div tabindex ="" - 1 ""class ="" airy-play -toggle-hint hint airy-airy-play-hint ""style ="" opacity: 1; visibility: visible; ""&gt; &lt;/ div&gt; &lt;/ div&gt; &lt;/ div&gt; &lt;/ div&gt; &lt;div tabindex ="" - 1 ""c"&amp;"lass ="" airy-replay-hint-stage airy-stage ""style ="" visibility: hidden ; ""&gt; &lt;div tabindex ="" - 1 ""class ="" airy-replay-hint-Vertical-centering-table-cell airy-Vertical-centering-table-cell airy-cursor ""&gt; &lt;div tabindex ="" - 1 ""class = ""airy-repl"&amp;"ay-hint-container airy-scalable-hint-container""&gt; &lt;div tabindex = ""- 1"" class = ""airy-replay-hint-dummy airy-scalable-dummy""&gt; &lt;/ div&gt; &lt;div tabindex = ""- 1"" class = ""airy-replay-hint airy-hint""&gt; &lt;/ div&gt; &lt;/ div&gt; &lt;/ div&gt; &lt;/ div&gt; &lt;div tabindex = ""- 1"&amp;""" class = ""airy-autoplay-hint -stage airy-stage ""style ="" visibility: hidden; ""&gt; &lt;div tabindex ="" - 1 ""class ="" airy-autoplay-hint-Vertical-centering-table-cell airy-Vertical-centering-table-cell airy- cursor ""&gt; &lt;div tabindex ="" - 1 ""class ="" "&amp;"autoplay airy-airy-hint-container-scalable-hint-container ""&gt; &lt;div tabindex ="" - 1 ""class ="" airy-autoplay-hint-dummy airy- scalable-dummy ""&gt; &lt;/ div&gt; &lt;/ div&gt; &lt;/ div&gt; &lt;/ div&gt; &lt;/ div&gt; &lt;/ div&gt; &lt;input type ="" hidden ""name ="" ""value ="" https: // image"&amp;"s-eu .ssl-images-amazon.com / images / I / 71m6VL2QO9S.mp4 ""Class ="" video-url ""&gt; &lt;input type ="" hidden ""name ="" ""value ="" https://images-eu.ssl-images-amazon.com/images/I/81AtMETlU7S.png ""class ="" video-slate-img-url ""&gt; &amp; nbsp; I've bought to "&amp;"mix protein shakes. Remarks: come two glasses, q not bring it all, for it has enough power. What I like least: - the direction to tighten the vessel to the blades is the same as to fit it to the engine, so you have to squeeze much to the blades if you do "&amp;"not want to the unlatch when this fact will spill over the engine, breaking it. - brings only measure 600 ml - sets that is the same material as the bottles, but the bottles can if in the dishwasher but not vessels. One of the glasses came with a slit whe"&amp;"re it hooks, but I that I did not care because I do not need")</f>
        <v>Good-value &lt;div id = "video-block-R2TEG5OKUVW4W3" class = "a-section a-spacing-small a-spacing-top mini video-block"&gt; &lt;div tabindex = "0" class = "airy airy -svg vmin-supported airy-skin-beacon "style =" background-color: rgb (0, 0, 0) position: relative; width: 100%; height: 100%; font-size: 0px; overflow: hidden ; outline: none; "&gt; &lt;div class =" airy-renderer-container "style =" position: relative; height: 100%; width: 100%; "&gt; &lt;video id =" 7 "preload =" auto "src = "https://images-eu.ssl-images-amazon.com/images/I/71m6VL2QO9S.mp4" style = "position: absolute; left: 0px; top: 0px; overflow: hidden; height: 1px; width : 1px; "&gt; &lt;/ video&gt; &lt;/ div&gt; &lt;div id =" airy-slate-preload "style =" background-color: rgb (0, 0, 0); background-image: url (&amp; quot; https: //images-eu.ssl-images-amazon.com/images/I/81AtMETlU7S.png&amp;quot;); background-size: Contain; background-position: center center; background-repeat: no-repeat; position: absolute; top : 0px; left: 0px; visibility: visible; width: 100%; height: 100%; "&gt; &lt;/ div&gt; &lt;ifr love scrolling = "no" frameborder = "0" src = "about: blank" style = "display: none;"&gt; &lt;/ iframe&gt; &lt;div tabindex = "- 1" class = "airy-controls-container" style = "opacity: 0; visibility: hidden; "&gt; &lt;div tabindex =" - 1 "class =" airy-screen-size-toggle airy-fullscreen "&gt; &lt;/ div&gt; &lt;div tabindex =" - 1 "class =" airy-container-bottom " &gt; &lt;div tabindex = "- 1" class = "airy-track-bar-spacer-left" style = "width: 11px;"&gt; &lt;/ div&gt; &lt;div tabindex = "- 1" class = "airy-play- airy toggle-play "style =" width: 12px; margin-right: 12px; "&gt; &lt;/ div&gt; &lt;div tabindex =" - 1 "class =" airy-audio-elements "style =" float: right; width: 34px; "&gt; &lt;div tabindex =" - 1 "class =" airy-audio-toggle airy-on "&gt; &lt;/ div&gt; &lt;div tabindex =" - 1 "class =" airy-audio-container "style = "opacity: 0; visibility: hidden; "&gt; &lt;div tabindex =" - 1 "class =" airy-audio-track-bar "style =" height: 80%; "&gt; &lt;div tabindex =" - 1 "class =" airy-audio- Scrubber-bar "style =" height: 85%; "&gt; &lt;/ div&gt; &lt;div tabindex =" - 1 "class =" airy-audio-scrubber "style =" height: 12px; bottom 85% "&gt; &lt;/ div&gt; &lt;/ div&gt; &lt;/ div&gt; &lt;/ div&gt; &lt;div tabindex =" - 1 "class =" airy-duration-label "style =" float: right; width: 26px; margin-right: 4px; text-align: center; "&gt; 0:03 &lt;/ div&gt; &lt;div tabindex =" - 1 "class =" airy-track-bar-spacer-right "style =" float: right; width: 11px; "&gt; &lt;/ div&gt; &lt;div tabindex =" - 1 "class =" airy-track-bar-container "style =" margin-left: 35px; margin-right: 75px; "&gt; &lt;div tabindex =" - 1 "class =" airy-airy-track-bar vertically-centering-table "&gt; &lt;div tabindex =" - 1 "class =" airy-Vertical-centering- table-cell "&gt; &lt;div tabindex =" - 1 "class =" airy-track bar-elements "&gt; &lt;div tabindex =" - 1 "class =" airy-progress bar "style =" width: 100%; "&gt; &lt;/ div&gt; &lt;div tabindex =" - 1 "class =" airy-scrubber-bar "&gt; &lt;/ div&gt; &lt;div tabindex =" - 1 "class =" airy-scrubber "&gt; &lt;div tabindex =" - 1 "class =" airy-scrubber-icon "&gt; &lt;/ div&gt; &lt;div tabindex =" - 1 "class =" airy-adjusted-AUI-tooltip "style =" opacity: 0; visibility: hidden; "&gt; &lt;div tabindex =" - 1 "class =" airy-adjusted-aui-tooltip-inner "&gt; &lt;div tabindex =" - 1 "class =" airy-current-time-label "&gt; 0: 00 &lt;/ div&gt; &lt;/ div&gt; &lt;div tabindex = "- 1" class = "airy-adjusted-AUI-arrow-border"&gt; &lt;div tabindex = "- 1" class = "airy-adjusted-AUI-arrow" &gt; &lt;/ div&gt; &lt;/ div&gt; &lt;/ div&gt; &lt;/ div&gt; &lt;/ div&gt; &lt;/ div&gt; &lt;/ div&gt; &lt;/ div&gt; &lt;/ div&gt; &lt;/ div&gt; &lt;div tabindex = "- 1" class = "airy-age-gate airy-stage airy-Vertical-centering-table airy-dialog" style = "opacity: 0; visibility: hidden; "&gt; &lt;div tabindex =" - 1 "class =" airy-age-gate-Vertical-centering-table-cell airy-Vertical-centering-table-cell "&gt; &lt;div tabindex =" - 1 "class = "airy-Vertical-centering-wrapper airy-age-gate-elements-wrapper"&gt; &lt;div tabindex = "- 1" class = "airy-age-gate-elements airy-dialog-elements"&gt; &lt;div tabindex = " -1 "class =" airy-age-gate-prompt "&gt; This video is not Intended for all audiences What date were you born &lt;/ div&gt; &lt;div tabindex =.?" - 1 "class =" airy-age-gate -inputs airy-dialog-inner-elements "&gt; &lt;select tabindex =" - 1 "class =" airy-age-gate-month "&gt; &lt;option value =" 1 "&gt; January &lt;/ option&gt; &lt;option value =" 2 "&gt; February &lt;/ option&gt; &lt;option value =" 3 "&gt; March &lt;/ option&gt; &lt;option value =" 4 "&gt; April &lt;/ option&gt; &lt;option value =" 5 "&gt; May &lt;/ option&gt; &lt;option value = "6"&gt; June &lt;/ option&gt; &lt;option value = "7"&gt; July &lt;/ option&gt; &lt;option value = "8"&gt; August &lt;/ option&gt; &lt;option value = "9"&gt; September &lt;/ option&gt; &lt;option value = "10"&gt; October &lt;/ option&gt; &lt;option value = "11"&gt; November &lt;/ option&gt; &lt;option value = "12"&gt; December &lt;/ option&gt; &lt;/ select&gt; &lt;select tabindex = "- 1" class = "airy-age-gate-day"&gt; &lt;opti on value = "1"&gt; 1 &lt;/ option&gt; &lt;option value = "2"&gt; 2 &lt;/ option&gt; &lt;option value = "3"&gt; 3 &lt;/ option&gt; &lt;option value = "4"&gt; 4 &lt;/ option &gt; &lt;option value = "5"&gt; 5 &lt;/ option&gt; &lt;option value = "6"&gt; 6 &lt;/ option&gt; &lt;option value = "7"&gt; 7 &lt;/ option&gt; &lt;option value = "8"&gt; 8 &lt; / option&gt; &lt;option value = "9"&gt; 9 &lt;/ option&gt; &lt;option value = "10"&gt; 10 &lt;/ option&gt; &lt;option value = "11"&gt; 11 &lt;/ option&gt; &lt;option value = "12"&gt; 12 &lt;/ option&gt; &lt;option value = "13"&gt; 13 &lt;/ option&gt; &lt;option value = "14"&gt; 14 &lt;/ option&gt; &lt;option value = "15"&gt; 15 &lt;/ option&gt; &lt;option value = "16 "&gt; 16 &lt;/ option&gt; &lt;option value =" 17 "&gt; 17 &lt;/ option&gt; &lt;option value =" 18 "&gt; 18 &lt;/ option&gt; &lt;option value =" 19 "&gt; 19 &lt;/ option&gt; &lt;option value = "20"&gt; 20 &lt;/ option&gt; &lt;option value = "21"&gt; 21 &lt;/ option&gt; &lt;option value = "22"&gt; 22 &lt;/ option&gt; &lt;option value = "23"&gt; 23 &lt;/ option&gt; &lt;option value = "24"&gt; 24 &lt;/ option&gt; &lt;option value = "25"&gt; 25 &lt;/ option&gt; &lt;option value = "26"&gt; 26 &lt;/ option&gt; &lt;option value = "27"&gt; 27 &lt;/ option&gt; &lt;option value = "28"&gt; 28 &lt;/ option&gt; &lt;option value = "29"&gt; 29 &lt;/ option&gt; &lt;option value = "30"&gt; 30 &lt;/ option&gt; &lt;option value = "31"&gt; 31 &lt;/ option&gt; &lt;/ select&gt; &lt;select tabindex = "- 1" class = "airy-age-gate-year"&gt; &lt;option value = "2019"&gt; 2019 &lt;/ option&gt; &lt; option value = "2018"&gt; 2018 &lt;/ option&gt; &lt;option value = "2017"&gt; 2017 &lt;/ option&gt; &lt;option value = "2016"&gt; ​​2016 &lt;/ option&gt; &lt;option value = "2015"&gt; 2015 &lt;/ option &gt; &lt;option value = "2014"&gt; 2014 &lt;/ option&gt; &lt;option value = "2013"&gt; 2013 &lt;/ option&gt; &lt;option value = "2012"&gt; 2012 &lt;/ option&gt; &lt;option value = "2011"&gt; 2011 &lt; / option&gt; &lt;option value = "2010"&gt; 2010 &lt;/ option&gt; &lt;option value = "2009"&gt; 2009 &lt;/ option&gt; &lt;option value = "2008"&gt; 2008 &lt;/ option&gt; &lt;option value = "2007"&gt; 2007 &lt;/ option&gt; &lt;option value = "2006"&gt; 2006 &lt;/ option&gt; &lt;option value = "2005"&gt; 2005 &lt;/ option&gt; &lt;option value = "2004"&gt; 2004 &lt;/ option&gt; &lt;option value = "2003 "&gt; 2003 &lt;/ option&gt; &lt;option value =" 2002 "&gt; 2002 &lt;/ option&gt; &lt;option value =" 2001 "&gt; 2001 &lt;/ option&gt; &lt;option value =" 2000 "&gt; 2000 &lt;/ option&gt; &lt;option value = "1999"&gt; 1999 &lt;/ option&gt; &lt;option value = "1998"&gt; 1998 &lt;/ option&gt; &lt;option value = "1997"&gt; 1997 &lt;/ option&gt; &lt;option value = "1996"&gt; 1996 &lt;/ option&gt; &lt;option value = "1995"&gt; 1995 &lt;/ option&gt; &lt;option value = "1994"&gt; 1994 &lt;/ option&gt; &lt;option value = "1993"&gt; 1993 &lt;/ option&gt; &lt;option value = "1992"&gt; 1992 &lt;/ option&gt; &lt;option value = "1991"&gt; 1991 &lt;/ option&gt; &lt;option value = "1990"&gt; 1990 &lt;/ option&gt; &lt;option value = " 1989 "&gt; 1989 &lt;/ option&gt; &lt;option value =" 1988 "&gt; 1988 &lt;/ option&gt; &lt;option value =" 1987 "&gt; 1987 &lt;/ option&gt; &lt;option value =" 1986 "&gt; 1986 &lt;/ option&gt; &lt;value option = "1985"&gt; 1985 &lt;/ option&gt; &lt;option value = "1984"&gt; 1984 &lt;/ option&gt; &lt;option value = "1983"&gt; 1983 &lt;/ option&gt; &lt;option value = "1982"&gt; 1982 &lt;/ option&gt; &lt; option value = "1981"&gt; 1981 &lt;/ option&gt; &lt;option value = "1980"&gt; 1980 &lt;/ option&gt; &lt;option value = "1979"&gt; 1979 &lt;/ option&gt; &lt;option value = "1978"&gt; 1978 &lt;/ option &gt; &lt;option value = "1977"&gt; 1977 &lt;/ option&gt; &lt;option value = "1976"&gt; 1976 &lt;/ option&gt; &lt;option value = "1975"&gt; 1975 &lt;/ option&gt; &lt;option value = "1974"&gt; 1974 &lt; / option&gt; &lt;option value = "1973"&gt; 1973 &lt;/ option&gt; &lt;option value = "1972"&gt; 1972 &lt;/ option&gt; &lt;option value = "1971"&gt; 1971 &lt;/ option&gt; &lt;option value = "1970"&gt; 1970 &lt;/ option&gt; &lt;option value = "1969"&gt; 1969 &lt;/ option&gt; &lt;option value = "1968"&gt; 1968 &lt;/ option&gt; &lt;option value = "1967"&gt; 1967 &lt;/ option&gt; &lt;option value = "1966 "&gt; 1966 &lt;/ option&gt; &lt;option value =" 1965 "&gt; 1965 &lt;/ option&gt; &lt;option value =" 1964 "&gt; 1964 &lt;/ option&gt; &lt;option value =" 1963 "&gt; 1963 &lt;/ option&gt; &lt;option value = "1962"&gt; 1962 &lt;/ option&gt; &lt;option value = "1961"&gt; 1961 &lt;/ option&gt; &lt;option value = "1960"&gt; 1960 &lt;/ op tion&gt; &lt;option value = "1959"&gt; 1959 &lt;/ option&gt; &lt;option value = "1958"&gt; 1958 &lt;/ option&gt; &lt;option value = "1957"&gt; 1957 &lt;/ option&gt; &lt;option value = "1956"&gt; 1956 &lt;/ option&gt; &lt;option value = "1955"&gt; 1955 &lt;/ option&gt; &lt;option value = "1954"&gt; 1954 &lt;/ option&gt; &lt;option value = "1953"&gt; 1953 &lt;/ option&gt; &lt;option value = "1952" &gt; 1952 &lt;/ option&gt; &lt;option value = "1951"&gt; 1951 &lt;/ option&gt; &lt;option value = "1950"&gt; 1950 &lt;/ option&gt; &lt;option value = "1949"&gt; 1949 &lt;/ option&gt; &lt;option value = " 1948 "&gt; 1948 &lt;/ option&gt; &lt;option value =" 1947 "&gt; 1947 &lt;/ option&gt; &lt;option value =" 1946 "&gt; 1946 &lt;/ option&gt; &lt;option value =" 1945 "&gt; 1945 &lt;/ option&gt; &lt;value option = "1944"&gt; 1944 &lt;/ option&gt; &lt;option value = "1943"&gt; 1943 &lt;/ option&gt; &lt;option value = "1942"&gt; 1942 &lt;/ option&gt; &lt;option value = "1941"&gt; 1941 &lt;/ option&gt; &lt; option value = "1940"&gt; 1940 &lt;/ option&gt; &lt;option value = "1939"&gt; 1939 &lt;/ option&gt; &lt;option value = "1938"&gt; 1938 &lt;/ option&gt; &lt;option value = "1937"&gt; 1937 &lt;/ option &gt; &lt;option value = "1936"&gt; 1936 &lt;/ option&gt; &lt;option value = "1935"&gt; 1935 &lt;/ option&gt; &lt;option value = "1934"&gt; 1934 &lt;/ option&gt; &lt;option value = "1933"&gt; 1933 &lt; / option&gt; &lt;option value = "1932"&gt; 1932 &lt;/ option&gt; &lt;option value = "1931"&gt; 1931 &lt;/ option&gt; &lt;option v alue = "1930"&gt; 1930 &lt;/ option&gt; &lt;option value = "1929"&gt; 1929 &lt;/ option&gt; &lt;option value = "1928"&gt; 1928 &lt;/ option&gt; &lt;option value = "1927"&gt; 1927 &lt;/ option&gt; &lt;option value = "1926"&gt; 1926 &lt;/ option&gt; &lt;option value = "1925"&gt; 1925 &lt;/ option&gt; &lt;option value = "1924"&gt; 1924 &lt;/ option&gt; &lt;option value = "1923"&gt; 1923 &lt;/ option&gt; &lt;option value = "1922"&gt; 1922 &lt;/ option&gt; &lt;option value = "1921"&gt; 1921 &lt;/ option&gt; &lt;option value = "1920"&gt; 1920 &lt;/ option&gt; &lt;option value = "1919"&gt; 1919 &lt;/ option&gt; &lt;option value = "1918"&gt; 1918 &lt;/ option&gt; &lt;option value = "1917"&gt; 1917 &lt;/ option&gt; &lt;option value = "1916"&gt; 1916 &lt;/ option&gt; &lt;option value = "1915" &gt; 1915 &lt;/ option&gt; &lt;option value = "1914"&gt; 1914 &lt;/ option&gt; &lt;option value = "1913"&gt; 1913 &lt;/ option&gt; &lt;option value = "1912"&gt; 1912 &lt;/ option&gt; &lt;option value = " 1911 "&gt; 1911 &lt;/ option&gt; &lt;option value =" 1910 "&gt; 1910 &lt;/ option&gt; &lt;option value =" 1909 "&gt; 1909 &lt;/ option&gt; &lt;option value =" 1908 "&gt; 1908 &lt;/ option&gt; &lt;value option = "1907"&gt; 1907 &lt;/ option&gt; &lt;option value = "1906"&gt; 1906 &lt;/ option&gt; &lt;option value = "1905"&gt; 1905 &lt;/ option&gt; &lt;option value = "1904"&gt; 1904 &lt;/ option&gt; &lt; option value = "1903"&gt; 1903 &lt;/ option&gt; &lt;option value = "1902"&gt; 1902 &lt;/ option&gt; &lt;option value = "1901"&gt; 19 01 &lt;/ option&gt; &lt;option value = "1900"&gt; 1900 &lt;/ option&gt; &lt;/ select&gt; &lt;div tabindex = "- 1" class = "airy-age-gate-submit airy-submit-button airy airy-submit- disabled "&gt; Submit &lt;/ div&gt; &lt;/ div&gt; &lt;/ div&gt; &lt;/ div&gt; &lt;/ div&gt; &lt;/ div&gt; &lt;div tabindex =" - 1 "class =" airy-install-flash-dialog airy-stage airy -vertical-centering-table-dialog airy airy-denied "style =" opacity: 0; visibility: hidden; "&gt; &lt;div tabindex =" - 1 "class =" airy-install-flash-Vertical-centering-table-cell airy-Vertical-centering-table-cell "&gt; &lt;div tabindex =" - 1 "class = "airy-Vertical-centering-wrapper airy-install-flash-elements-wrapper"&gt; &lt;div tabindex = "- 1" class = "airy-install-flash-elements airy-dialog-elements"&gt; &lt;div tabindex = " -1 "class =" airy-install-flash-prompt "&gt; Adobe Flash Player is required to watch this video &lt;/ div&gt; &lt;div tabindex =." - 1 "class =" airy-install-flash-button-wrapper airy -dialog-inner-elements "&gt; &lt;div tabindex =" - 1 "class =" airy-install-flash-button airy-button "&gt; install Flash Player &lt;/ div&gt; &lt;/ div&gt; &lt;/ div&gt; &lt;/ div&gt; &lt;/ div&gt; &lt;/ div&gt; &lt;div tabindex = "- 1" class = "airy-video-unsupported-dialog airy-stage airy-Vertical-centering-table airy-dialog airy-denied" style = "opacity: 0; visibility: hidden; "&gt; &lt;div tabindex =" - 1 "class =" airy-video-unsupported-Vertical-centering-table-cell airy-Vertical-centering-table-cell "&gt; &lt;div tabindex =" - 1 "class = "airy-Vertical-centering-wrapper airy-video-unsupported-elements-wrapper"&gt; &lt;div tabindex = "- 1" class = "airy-video-unsupported-elements airy-dialog-elements"&gt; &lt;div tabindex = " -1 "class =" airy-video-unsupported-prompt "&gt; &lt;/ div&gt; &lt;/ div&gt; &lt;/ div&gt; &lt;/ div&gt; &lt;/ div&gt; &lt;div tabindex =" - 1 "class =" airy-loading- spinner-stage airy-stage "&gt; &lt;div tabindex =" - 1 "class =" airy-loading-spinner-Vertical-centering-table-cell airy-Vertical-centering-table-cell "&gt; &lt;div tabindex =" - 1 "class =" airy-loading-spinner-container airy-scalable-hint-container "&gt; &lt;div tabindex =" - 1 "class =" airy-loading-spinner-dummy airy-scalable-dummy "&gt; &lt;/ div&gt; &lt; div tabindex = "- 1" class = "airy-loading-spinner airy-hint" style = "visibility: hidden;"&gt; &lt;/ div&gt; &lt;/ div&gt; &lt;/ div&gt; &lt;/ div&gt; &lt;div tabindex = "- 1 "class =" airy-ads-screen-size-toggle airy-screen-size-toggle-fullscreen airy "style =" visibility: hidden; "&gt; &lt;/ div&gt; &lt;div tabindex = "-1" class = "airy-ad-prompt-container" style = "visibility: hidden;"&gt; &lt;div tabindex = "- 1" class = "airy-ad-prompt-Vertical-centering-table-vertically airy centering-table "&gt; &lt;div tabindex =" - 1 "class =" airy-ad-prompt-Vertical-centering-table-cell airy-Vertical-centering-table-cell "&gt; &lt;div tabindex =" - 1 "class = "airy-ad-prompt-label"&gt; &lt;/ div&gt; &lt;/ div&gt; &lt;/ div&gt; &lt;/ div&gt; &lt;div tabindex = "- 1" class = "airy-ads-controls-container" style = "visibility: hidden; "&gt; &lt;div tabindex =" - 1 "class =" airy-ads-audio-toggle airy-audio-toggle airy-on "style =" visibility: hidden; "&gt; &lt;/ div&gt; &lt;div tabindex =" - 1 "class =" airy-time-remaining-label-container "&gt; &lt;div tabindex =" - 1 "class =" airy-time-remaining-Vertical-centering-table airy-Vertical-centering-table "&gt; &lt;div tabindex = "- 1" class = "airy-time-remaining-Vertical-centering-table-cell airy-Vertical-centering-table-cell"&gt; &lt;div tabindex = "- 1" class = "airy-Vertical-centering-wrapper airy-time-remaining-label-wrapper "&gt; &lt;div tabindex =" - 1 "class =" airy-time-remaining-label "style =" visibility: hidden; "&gt; &lt;/ div&gt; &lt;div tabi ndex = "- 1" class = "airy-ad-skip" style = "visibility: hidden;"&gt; &lt;/ div&gt; &lt;div tabindex = "- 1" class = "airy-ad-end" style = "visibility: hidden "&gt; &lt;/ div&gt; &lt;/ div&gt; &lt;/ div&gt; &lt;/ div&gt; &lt;/ div&gt; &lt;div tabindex =" - 1 "class =" airy-learn-more "style =" visibility: hidden; "&gt; &lt;/ div&gt; &lt;/ div&gt; &lt;div tabindex = "- 1" class = "airy-play-toggle-hint-stage airy-stage airy-cursor"&gt; &lt;div tabindex = "- 1" class = "airy-play -toggle-hint-Vertical-centering-table-cell airy-Vertical-centering-table-cell airy-cursor "&gt; &lt;div tabindex =" - 1 "class =" airy-play-toggle-hint-container airy-scalable- Hint-container "&gt; &lt;div tabindex =" - 1 "class =" airy-play-toggle-hint-dummy airy-scalable-dummy "&gt; &lt;/ div&gt; &lt;div tabindex =" - 1 "class =" airy-play -toggle-hint hint airy-airy-play-hint "style =" opacity: 1; visibility: visible; "&gt; &lt;/ div&gt; &lt;/ div&gt; &lt;/ div&gt; &lt;/ div&gt; &lt;div tabindex =" - 1 "class =" airy-replay-hint-stage airy-stage "style =" visibility: hidden ; "&gt; &lt;div tabindex =" - 1 "class =" airy-replay-hint-Vertical-centering-table-cell airy-Vertical-centering-table-cell airy-cursor "&gt; &lt;div tabindex =" - 1 "class = "airy-replay-hint-container airy-scalable-hint-container"&gt; &lt;div tabindex = "- 1" class = "airy-replay-hint-dummy airy-scalable-dummy"&gt; &lt;/ div&gt; &lt;div tabindex = "- 1" class = "airy-replay-hint airy-hint"&gt; &lt;/ div&gt; &lt;/ div&gt; &lt;/ div&gt; &lt;/ div&gt; &lt;div tabindex = "- 1" class = "airy-autoplay-hint -stage airy-stage "style =" visibility: hidden; "&gt; &lt;div tabindex =" - 1 "class =" airy-autoplay-hint-Vertical-centering-table-cell airy-Vertical-centering-table-cell airy- cursor "&gt; &lt;div tabindex =" - 1 "class =" autoplay airy-airy-hint-container-scalable-hint-container "&gt; &lt;div tabindex =" - 1 "class =" airy-autoplay-hint-dummy airy- scalable-dummy "&gt; &lt;/ div&gt; &lt;/ div&gt; &lt;/ div&gt; &lt;/ div&gt; &lt;/ div&gt; &lt;/ div&gt; &lt;input type =" hidden "name =" "value =" https: // images-eu .ssl-images-amazon.com / images / I / 71m6VL2QO9S.mp4 "Class =" video-url "&gt; &lt;input type =" hidden "name =" "value =" https://images-eu.ssl-images-amazon.com/images/I/81AtMETlU7S.png "class =" video-slate-img-url "&gt; &amp; nbsp; I've bought to mix protein shakes. Remarks: come two glasses, q not bring it all, for it has enough power. What I like least: - the direction to tighten the vessel to the blades is the same as to fit it to the engine, so you have to squeeze much to the blades if you do not want to the unlatch when this fact will spill over the engine, breaking it. - brings only measure 600 ml - sets that is the same material as the bottles, but the bottles can if in the dishwasher but not vessels. One of the glasses came with a slit where it hooks, but I that I did not care because I do not need</v>
      </c>
    </row>
    <row r="4630">
      <c r="A4630" s="1">
        <v>5.0</v>
      </c>
      <c r="B4630" s="1" t="s">
        <v>4603</v>
      </c>
      <c r="C4630" t="str">
        <f>IFERROR(__xludf.DUMMYFUNCTION("GOOGLETRANSLATE(B4630, ""es"", ""en"")"),"Quality Very good quality")</f>
        <v>Quality Very good quality</v>
      </c>
    </row>
    <row r="4631">
      <c r="A4631" s="1">
        <v>5.0</v>
      </c>
      <c r="B4631" s="1" t="s">
        <v>4604</v>
      </c>
      <c r="C4631" t="str">
        <f>IFERROR(__xludf.DUMMYFUNCTION("GOOGLETRANSLATE(B4631, ""es"", ""en"")"),"Lightweight, comfortable and ""cheap"" very comfortable pants. It is tight, almost like leggings. It is elastic and lightweight. I've used it to run accustomed to compressive garments or tights and comfy like me has no chafing. BRUTAL price, I bought 2, t"&amp;"o be a very cheap under armor garment. Perhaps if cold falls short layer.")</f>
        <v>Lightweight, comfortable and "cheap" very comfortable pants. It is tight, almost like leggings. It is elastic and lightweight. I've used it to run accustomed to compressive garments or tights and comfy like me has no chafing. BRUTAL price, I bought 2, to be a very cheap under armor garment. Perhaps if cold falls short layer.</v>
      </c>
    </row>
    <row r="4632">
      <c r="A4632" s="1">
        <v>5.0</v>
      </c>
      <c r="B4632" s="1" t="s">
        <v>4605</v>
      </c>
      <c r="C4632" t="str">
        <f>IFERROR(__xludf.DUMMYFUNCTION("GOOGLETRANSLATE(B4632, ""es"", ""en"")"),"Good device. It works well and fast. Perfect solution for exchanging files between devices. Robust and well finished. If a little smaller would be perfect, although the size comes within reason / manageable. Spanish support.")</f>
        <v>Good device. It works well and fast. Perfect solution for exchanging files between devices. Robust and well finished. If a little smaller would be perfect, although the size comes within reason / manageable. Spanish support.</v>
      </c>
    </row>
    <row r="4633">
      <c r="A4633" s="1">
        <v>5.0</v>
      </c>
      <c r="B4633" s="1" t="s">
        <v>4606</v>
      </c>
      <c r="C4633" t="str">
        <f>IFERROR(__xludf.DUMMYFUNCTION("GOOGLETRANSLATE(B4633, ""es"", ""en"")"),"All right all perfect")</f>
        <v>All right all perfect</v>
      </c>
    </row>
    <row r="4634">
      <c r="A4634" s="1">
        <v>5.0</v>
      </c>
      <c r="B4634" s="1" t="s">
        <v>4607</v>
      </c>
      <c r="C4634" t="str">
        <f>IFERROR(__xludf.DUMMYFUNCTION("GOOGLETRANSLATE(B4634, ""es"", ""en"")"),"Good shoes Good price for these wonderful Saucony.He had to pedir1 \ 2 no more though.")</f>
        <v>Good shoes Good price for these wonderful Saucony.He had to pedir1 \ 2 no more though.</v>
      </c>
    </row>
    <row r="4635">
      <c r="A4635" s="1">
        <v>5.0</v>
      </c>
      <c r="B4635" s="1" t="s">
        <v>4608</v>
      </c>
      <c r="C4635" t="str">
        <f>IFERROR(__xludf.DUMMYFUNCTION("GOOGLETRANSLATE(B4635, ""es"", ""en"")"),"Back to the Future 1 There q ask one or two great, otherwise perfect .... remain sizes too big")</f>
        <v>Back to the Future 1 There q ask one or two great, otherwise perfect .... remain sizes too big</v>
      </c>
    </row>
    <row r="4636">
      <c r="A4636" s="1">
        <v>5.0</v>
      </c>
      <c r="B4636" s="1" t="s">
        <v>4609</v>
      </c>
      <c r="C4636" t="str">
        <f>IFERROR(__xludf.DUMMYFUNCTION("GOOGLETRANSLATE(B4636, ""es"", ""en"")"),"5 estrelas Ótimo produto!")</f>
        <v>5 estrelas Ótimo produto!</v>
      </c>
    </row>
    <row r="4637">
      <c r="A4637" s="1">
        <v>5.0</v>
      </c>
      <c r="B4637" s="1" t="s">
        <v>4610</v>
      </c>
      <c r="C4637" t="str">
        <f>IFERROR(__xludf.DUMMYFUNCTION("GOOGLETRANSLATE(B4637, ""es"", ""en"")"),"More efficient than other juicers splash. A lot of power, but controlled I think the moment, one of the best juicers on the market that can be found for this price range, as it combines the 3 most important things you can have a blender in my point of vie"&amp;"w and experience more 25 years stuck in kitchens, both professional and domestic. 1. The design of the splash guard arm is effective (perhaps not as much as others), but the holes you have, do they can go through them liquids or foods that trituremos, whi"&amp;"ch, unlike those that do not carry these antisalicaduras holes and fully, this Taurus, yes that creates a vortex to the beat, what makes that food is finer in less time and less punishing the machine, but above all best finishes. 2. The high power of the "&amp;"machine, which to be arm is highest I've seen, they make it suitable for all kinds of foods and preparations, with particular mention of the hardest. For example, a cream almond leaves almost like soup broth. But the best thing is having a regulator 20 sp"&amp;"eeds, so it is not only powerful, but if we need to be careful with other foods, or when you connect accessories can lower it to the minimum or an intermediate term, and get accurate results. Mayonnaise, beat egg whites until stiff, emulsify, purees, sauc"&amp;"es, even home ice, resists anything and everything, your point in a blender. 3. The arm stainless steel, has two major advantages over other models. One is that is longer than usual, which will use us in deep pots without any problems, and the other is th"&amp;"at the connection of the arm with the motor, the portion of the shaft is robust enough to last years. Those are the things that I think this is a great product. Power, good speed regulation and good hitch arm. Now, to be lasting in time, especially for th"&amp;"e amount of watts you have, I would take into consideration several factors. No use full power for long periods of time, especially if we are in hot weather. A unventilated being the engine, it can be fatal for it. Use carefully and do not subject it to l"&amp;"arge work cycles at maximum power. Less power is no problem continued use. I say this because I burned a few for this very 😂 - Try to wash the arm always at hand. Although endure extreme temperatures, the dishwasher, especially if used at 70, it ends up "&amp;"damaging the blades over time. Better to wash in warm water at hand. Nor is much work and sharp blades last years. Finally, I received to test the leading glass accessories Picador and wire whisk. Both me look good accessories, especially the glass picado"&amp;"r, which has the oval walls, and makes, for example, chop the onion, do not run as much rest on the walls and return to continue grinding it down. I think a more successful design. The flexible, good quality rod in the average I've tried so far. It excels"&amp;" in this, but it's pretty good. Finally, the glass is as narrow as the base of the mixer, which is perfectly suited for chopping all types of food, especially good for making mayonnaise, and you just have to go up the arm slightly, so it is almost impossi"&amp;"ble to cut. In short, I believe that for this price, you will not find many juicers with this level of power and with such intensity regulator. If there was a word for it, it would be ""versatile"", because neither you lack power for anything in particula"&amp;"r, it is tricky if you put down revolutions and anti-splash arm is better than others, let flow between the holes and create vortex . Buy recommended. 5 stars.")</f>
        <v>More efficient than other juicers splash. A lot of power, but controlled I think the moment, one of the best juicers on the market that can be found for this price range, as it combines the 3 most important things you can have a blender in my point of view and experience more 25 years stuck in kitchens, both professional and domestic. 1. The design of the splash guard arm is effective (perhaps not as much as others), but the holes you have, do they can go through them liquids or foods that trituremos, which, unlike those that do not carry these antisalicaduras holes and fully, this Taurus, yes that creates a vortex to the beat, what makes that food is finer in less time and less punishing the machine, but above all best finishes. 2. The high power of the machine, which to be arm is highest I've seen, they make it suitable for all kinds of foods and preparations, with particular mention of the hardest. For example, a cream almond leaves almost like soup broth. But the best thing is having a regulator 20 speeds, so it is not only powerful, but if we need to be careful with other foods, or when you connect accessories can lower it to the minimum or an intermediate term, and get accurate results. Mayonnaise, beat egg whites until stiff, emulsify, purees, sauces, even home ice, resists anything and everything, your point in a blender. 3. The arm stainless steel, has two major advantages over other models. One is that is longer than usual, which will use us in deep pots without any problems, and the other is that the connection of the arm with the motor, the portion of the shaft is robust enough to last years. Those are the things that I think this is a great product. Power, good speed regulation and good hitch arm. Now, to be lasting in time, especially for the amount of watts you have, I would take into consideration several factors. No use full power for long periods of time, especially if we are in hot weather. A unventilated being the engine, it can be fatal for it. Use carefully and do not subject it to large work cycles at maximum power. Less power is no problem continued use. I say this because I burned a few for this very 😂 - Try to wash the arm always at hand. Although endure extreme temperatures, the dishwasher, especially if used at 70, it ends up damaging the blades over time. Better to wash in warm water at hand. Nor is much work and sharp blades last years. Finally, I received to test the leading glass accessories Picador and wire whisk. Both me look good accessories, especially the glass picador, which has the oval walls, and makes, for example, chop the onion, do not run as much rest on the walls and return to continue grinding it down. I think a more successful design. The flexible, good quality rod in the average I've tried so far. It excels in this, but it's pretty good. Finally, the glass is as narrow as the base of the mixer, which is perfectly suited for chopping all types of food, especially good for making mayonnaise, and you just have to go up the arm slightly, so it is almost impossible to cut. In short, I believe that for this price, you will not find many juicers with this level of power and with such intensity regulator. If there was a word for it, it would be "versatile", because neither you lack power for anything in particular, it is tricky if you put down revolutions and anti-splash arm is better than others, let flow between the holes and create vortex . Buy recommended. 5 stars.</v>
      </c>
    </row>
    <row r="4638">
      <c r="A4638" s="1">
        <v>5.0</v>
      </c>
      <c r="B4638" s="1" t="s">
        <v>4611</v>
      </c>
      <c r="C4638" t="str">
        <f>IFERROR(__xludf.DUMMYFUNCTION("GOOGLETRANSLATE(B4638, ""es"", ""en"")"),"Comfortable and nice looking and well finished shoe. They are more comfortable than I imagined")</f>
        <v>Comfortable and nice looking and well finished shoe. They are more comfortable than I imagined</v>
      </c>
    </row>
    <row r="4639">
      <c r="A4639" s="1">
        <v>5.0</v>
      </c>
      <c r="B4639" s="1" t="s">
        <v>4612</v>
      </c>
      <c r="C4639" t="str">
        <f>IFERROR(__xludf.DUMMYFUNCTION("GOOGLETRANSLATE(B4639, ""es"", ""en"")"),"Value very good I came very fast and perfect truth very happy with the product.")</f>
        <v>Value very good I came very fast and perfect truth very happy with the product.</v>
      </c>
    </row>
    <row r="4640">
      <c r="A4640" s="1">
        <v>5.0</v>
      </c>
      <c r="B4640" s="1" t="s">
        <v>4613</v>
      </c>
      <c r="C4640" t="str">
        <f>IFERROR(__xludf.DUMMYFUNCTION("GOOGLETRANSLATE(B4640, ""es"", ""en"")"),"Very good I have a large collection of consoles and cables wanted good underwriter and buy these flanges Velcro and have done very well, they are good quality and is very well placed")</f>
        <v>Very good I have a large collection of consoles and cables wanted good underwriter and buy these flanges Velcro and have done very well, they are good quality and is very well placed</v>
      </c>
    </row>
    <row r="4641">
      <c r="A4641" s="1">
        <v>5.0</v>
      </c>
      <c r="B4641" s="1" t="s">
        <v>4614</v>
      </c>
      <c r="C4641" t="str">
        <f>IFERROR(__xludf.DUMMYFUNCTION("GOOGLETRANSLATE(B4641, ""es"", ""en"")"),"Very good product good product can be washed in a dishwasher, it took my daughter leave the chest, only with these bottles has accepted the formula.")</f>
        <v>Very good product good product can be washed in a dishwasher, it took my daughter leave the chest, only with these bottles has accepted the formula.</v>
      </c>
    </row>
    <row r="4642">
      <c r="A4642" s="1">
        <v>5.0</v>
      </c>
      <c r="B4642" s="1" t="s">
        <v>4615</v>
      </c>
      <c r="C4642" t="str">
        <f>IFERROR(__xludf.DUMMYFUNCTION("GOOGLETRANSLATE(B4642, ""es"", ""en"")"),"Very good sounds much better than other mics I had. For me, highly recommended.")</f>
        <v>Very good sounds much better than other mics I had. For me, highly recommended.</v>
      </c>
    </row>
    <row r="4643">
      <c r="A4643" s="1">
        <v>5.0</v>
      </c>
      <c r="B4643" s="1" t="s">
        <v>4616</v>
      </c>
      <c r="C4643" t="str">
        <f>IFERROR(__xludf.DUMMYFUNCTION("GOOGLETRANSLATE(B4643, ""es"", ""en"")"),"It was comfortable for a gift and has been a success. It's comfortable, good cotton, and has a very nice cut.")</f>
        <v>It was comfortable for a gift and has been a success. It's comfortable, good cotton, and has a very nice cut.</v>
      </c>
    </row>
    <row r="4644">
      <c r="A4644" s="1">
        <v>5.0</v>
      </c>
      <c r="B4644" s="1" t="s">
        <v>4617</v>
      </c>
      <c r="C4644" t="str">
        <f>IFERROR(__xludf.DUMMYFUNCTION("GOOGLETRANSLATE(B4644, ""es"", ""en"")"),"It was perfect I wanted a juicer that does not occupy much. No hen locks squeeze oranges. Working properly and also has the option of having more or less pulp, so I'm delighted because I no longer have to strain after juice.")</f>
        <v>It was perfect I wanted a juicer that does not occupy much. No hen locks squeeze oranges. Working properly and also has the option of having more or less pulp, so I'm delighted because I no longer have to strain after juice.</v>
      </c>
    </row>
    <row r="4645">
      <c r="A4645" s="1">
        <v>5.0</v>
      </c>
      <c r="B4645" s="1" t="s">
        <v>4618</v>
      </c>
      <c r="C4645" t="str">
        <f>IFERROR(__xludf.DUMMYFUNCTION("GOOGLETRANSLATE(B4645, ""es"", ""en"")"),"Recommended value in perfect condition, works perfectly")</f>
        <v>Recommended value in perfect condition, works perfectly</v>
      </c>
    </row>
    <row r="4646">
      <c r="A4646" s="1">
        <v>5.0</v>
      </c>
      <c r="B4646" s="1" t="s">
        <v>4619</v>
      </c>
      <c r="C4646" t="str">
        <f>IFERROR(__xludf.DUMMYFUNCTION("GOOGLETRANSLATE(B4646, ""es"", ""en"")"),"Not purely winter footwear with this finish has come all perfect. The product is as it is seen in the images and original product. Part of fabric is aerated, so if what you want is a winter footwear, advise look at this model but is more closed and does n"&amp;"ot have this type of fabric, there are leather and non-aerated fabric and no cold air will enter feet")</f>
        <v>Not purely winter footwear with this finish has come all perfect. The product is as it is seen in the images and original product. Part of fabric is aerated, so if what you want is a winter footwear, advise look at this model but is more closed and does not have this type of fabric, there are leather and non-aerated fabric and no cold air will enter feet</v>
      </c>
    </row>
    <row r="4647">
      <c r="A4647" s="1">
        <v>5.0</v>
      </c>
      <c r="B4647" s="1" t="s">
        <v>4620</v>
      </c>
      <c r="C4647" t="str">
        <f>IFERROR(__xludf.DUMMYFUNCTION("GOOGLETRANSLATE(B4647, ""es"", ""en"")"),"Bluetooth helmets sports are very comfortable, as the appendix surrounding the ear is very flexible, but subject very well the helmet to the exercise. They have good power and sound quality. Good buy for sports.")</f>
        <v>Bluetooth helmets sports are very comfortable, as the appendix surrounding the ear is very flexible, but subject very well the helmet to the exercise. They have good power and sound quality. Good buy for sports.</v>
      </c>
    </row>
    <row r="4648">
      <c r="A4648" s="1">
        <v>5.0</v>
      </c>
      <c r="B4648" s="1" t="s">
        <v>4621</v>
      </c>
      <c r="C4648" t="str">
        <f>IFERROR(__xludf.DUMMYFUNCTION("GOOGLETRANSLATE(B4648, ""es"", ""en"")"),"Better than expected exceeds expectations, quality of materials, power, noise, by the time complies with everything. Fantastica hand mixer more q enough for a home.")</f>
        <v>Better than expected exceeds expectations, quality of materials, power, noise, by the time complies with everything. Fantastica hand mixer more q enough for a home.</v>
      </c>
    </row>
    <row r="4649">
      <c r="A4649" s="1">
        <v>2.0</v>
      </c>
      <c r="B4649" s="1" t="s">
        <v>4622</v>
      </c>
      <c r="C4649" t="str">
        <f>IFERROR(__xludf.DUMMYFUNCTION("GOOGLETRANSLATE(B4649, ""es"", ""en"")"),"Six equal purchased in a year I have arrived two broken purchased over the past year 6 units this hard drive and two have arrived broken. The last today. The first with a clear clang and can not make the spin-up. The last of today (and in return process) "&amp;"beeping every two seconds and not rotating. Really do not know if it is low quality of these discs or if Amazon is re-sending as new returned by other buyers. For today I came in a box that left much to be desired and without any bubble wrap as others. I "&amp;"appreciate the ease of returning these DOA but creates an inconvenience when you have no time to lose in this process")</f>
        <v>Six equal purchased in a year I have arrived two broken purchased over the past year 6 units this hard drive and two have arrived broken. The last today. The first with a clear clang and can not make the spin-up. The last of today (and in return process) beeping every two seconds and not rotating. Really do not know if it is low quality of these discs or if Amazon is re-sending as new returned by other buyers. For today I came in a box that left much to be desired and without any bubble wrap as others. I appreciate the ease of returning these DOA but creates an inconvenience when you have no time to lose in this process</v>
      </c>
    </row>
    <row r="4650">
      <c r="A4650" s="1">
        <v>3.0</v>
      </c>
      <c r="B4650" s="1" t="s">
        <v>4623</v>
      </c>
      <c r="C4650" t="str">
        <f>IFERROR(__xludf.DUMMYFUNCTION("GOOGLETRANSLATE(B4650, ""es"", ""en"")"),"Good headphones, but ... are exactly the same headphones that came on my Samsung S3 Neo, and I screwed up to the break the cable reaches the receiver. Have good sound quality and I like that can be operated from the control it bears the cable itself (allo"&amp;"ws to volume, pause, fast forward and rewind as well as talk when they call, or give vocal instructions to the assistant), but .... They are set to break back, for a headset and begins to fail. Its weakness is the cable near the headphones and Jack himsel"&amp;"f, and though knowingly buy anything I reinforced with the duct tape, I just extended a little duration. Although we must also take into account that for the price you have, you can change them every year ;-)")</f>
        <v>Good headphones, but ... are exactly the same headphones that came on my Samsung S3 Neo, and I screwed up to the break the cable reaches the receiver. Have good sound quality and I like that can be operated from the control it bears the cable itself (allows to volume, pause, fast forward and rewind as well as talk when they call, or give vocal instructions to the assistant), but .... They are set to break back, for a headset and begins to fail. Its weakness is the cable near the headphones and Jack himself, and though knowingly buy anything I reinforced with the duct tape, I just extended a little duration. Although we must also take into account that for the price you have, you can change them every year ;-)</v>
      </c>
    </row>
    <row r="4651">
      <c r="A4651" s="1">
        <v>1.0</v>
      </c>
      <c r="B4651" s="1" t="s">
        <v>4624</v>
      </c>
      <c r="C4651" t="str">
        <f>IFERROR(__xludf.DUMMYFUNCTION("GOOGLETRANSLATE(B4651, ""es"", ""en"")"),"The Reebok Reebok princess have two and a half months and all skin lifted and now I will make repayment and tells me that since the term is over. I think one month to return is incorrect.")</f>
        <v>The Reebok Reebok princess have two and a half months and all skin lifted and now I will make repayment and tells me that since the term is over. I think one month to return is incorrect.</v>
      </c>
    </row>
    <row r="4652">
      <c r="A4652" s="1">
        <v>1.0</v>
      </c>
      <c r="B4652" s="1" t="s">
        <v>4625</v>
      </c>
      <c r="C4652" t="str">
        <f>IFERROR(__xludf.DUMMYFUNCTION("GOOGLETRANSLATE(B4652, ""es"", ""en"")"),"Crumpled and folded I got crumpled and bent would not buy")</f>
        <v>Crumpled and folded I got crumpled and bent would not buy</v>
      </c>
    </row>
    <row r="4653">
      <c r="A4653" s="1">
        <v>1.0</v>
      </c>
      <c r="B4653" s="1" t="s">
        <v>4626</v>
      </c>
      <c r="C4653" t="str">
        <f>IFERROR(__xludf.DUMMYFUNCTION("GOOGLETRANSLATE(B4653, ""es"", ""en"")"),"TRASH headphones are a very bad purchase. It took nearly three months to arrive and lasted exactly two days. In the second day use the left earpiece stopped working for no reason (hit, crash etc). I not recommended at all, costing 3 euros not worth it, no"&amp;" waiting.")</f>
        <v>TRASH headphones are a very bad purchase. It took nearly three months to arrive and lasted exactly two days. In the second day use the left earpiece stopped working for no reason (hit, crash etc). I not recommended at all, costing 3 euros not worth it, no waiting.</v>
      </c>
    </row>
    <row r="4654">
      <c r="A4654" s="1">
        <v>4.0</v>
      </c>
      <c r="B4654" s="1" t="s">
        <v>4627</v>
      </c>
      <c r="C4654" t="str">
        <f>IFERROR(__xludf.DUMMYFUNCTION("GOOGLETRANSLATE(B4654, ""es"", ""en"")"),"Similar to the original product The product is correct, although the color of the belt is slightly yellower than the original target. Moreover, it is a completely satisfactory product")</f>
        <v>Similar to the original product The product is correct, although the color of the belt is slightly yellower than the original target. Moreover, it is a completely satisfactory product</v>
      </c>
    </row>
    <row r="4655">
      <c r="A4655" s="1">
        <v>4.0</v>
      </c>
      <c r="B4655" s="1" t="s">
        <v>4628</v>
      </c>
      <c r="C4655" t="str">
        <f>IFERROR(__xludf.DUMMYFUNCTION("GOOGLETRANSLATE(B4655, ""es"", ""en"")"),"a little big perfect material, all we would highlight is that could fit a little more, I have the wrist rather narrow and adjusting to the maximum that gives me there is still a little loose.")</f>
        <v>a little big perfect material, all we would highlight is that could fit a little more, I have the wrist rather narrow and adjusting to the maximum that gives me there is still a little loose.</v>
      </c>
    </row>
    <row r="4656">
      <c r="A4656" s="1">
        <v>4.0</v>
      </c>
      <c r="B4656" s="1" t="s">
        <v>4629</v>
      </c>
      <c r="C4656" t="str">
        <f>IFERROR(__xludf.DUMMYFUNCTION("GOOGLETRANSLATE(B4656, ""es"", ""en"")"),"Sizing perfect great, and expected quality. It notes that is a good product. In addition buy it at a good price 115 euros")</f>
        <v>Sizing perfect great, and expected quality. It notes that is a good product. In addition buy it at a good price 115 euros</v>
      </c>
    </row>
    <row r="4657">
      <c r="A4657" s="1">
        <v>4.0</v>
      </c>
      <c r="B4657" s="1" t="s">
        <v>4630</v>
      </c>
      <c r="C4657" t="str">
        <f>IFERROR(__xludf.DUMMYFUNCTION("GOOGLETRANSLATE(B4657, ""es"", ""en"")"),"Pretty good money, either in money although somewhat small")</f>
        <v>Pretty good money, either in money although somewhat small</v>
      </c>
    </row>
    <row r="4658">
      <c r="A4658" s="1">
        <v>4.0</v>
      </c>
      <c r="B4658" s="1" t="s">
        <v>4631</v>
      </c>
      <c r="C4658" t="str">
        <f>IFERROR(__xludf.DUMMYFUNCTION("GOOGLETRANSLATE(B4658, ""es"", ""en"")"),"Good product is a good size and hold time dealing all-terrain I give every day, many pocket to get many things only got him to give a negative comment, the strap to tell is too short would have to take a few centimeters, otherwise it is fine.")</f>
        <v>Good product is a good size and hold time dealing all-terrain I give every day, many pocket to get many things only got him to give a negative comment, the strap to tell is too short would have to take a few centimeters, otherwise it is fine.</v>
      </c>
    </row>
    <row r="4659">
      <c r="A4659" s="1">
        <v>5.0</v>
      </c>
      <c r="B4659" s="1" t="s">
        <v>4632</v>
      </c>
      <c r="C4659" t="str">
        <f>IFERROR(__xludf.DUMMYFUNCTION("GOOGLETRANSLATE(B4659, ""es"", ""en"")"),"Bonitas ideal and very comfortable. Saucony is sure success. It is already the third pair I buy.")</f>
        <v>Bonitas ideal and very comfortable. Saucony is sure success. It is already the third pair I buy.</v>
      </c>
    </row>
    <row r="4660">
      <c r="A4660" s="1">
        <v>5.0</v>
      </c>
      <c r="B4660" s="1" t="s">
        <v>4633</v>
      </c>
      <c r="C4660" t="str">
        <f>IFERROR(__xludf.DUMMYFUNCTION("GOOGLETRANSLATE(B4660, ""es"", ""en"")"),"Fabric easy to clean, waterproof and very good capacity has delighted my partner. The ability to carry and other tablet is perfect. The fabric is cleaned with a damp panorama and is perfect.")</f>
        <v>Fabric easy to clean, waterproof and very good capacity has delighted my partner. The ability to carry and other tablet is perfect. The fabric is cleaned with a damp panorama and is perfect.</v>
      </c>
    </row>
    <row r="4661">
      <c r="A4661" s="1">
        <v>5.0</v>
      </c>
      <c r="B4661" s="1" t="s">
        <v>4634</v>
      </c>
      <c r="C4661" t="str">
        <f>IFERROR(__xludf.DUMMYFUNCTION("GOOGLETRANSLATE(B4661, ""es"", ""en"")"),"Perfect comfort and very comfortable! Carve a bit more than the usual number")</f>
        <v>Perfect comfort and very comfortable! Carve a bit more than the usual number</v>
      </c>
    </row>
    <row r="4662">
      <c r="A4662" s="1">
        <v>5.0</v>
      </c>
      <c r="B4662" s="1" t="s">
        <v>4635</v>
      </c>
      <c r="C4662" t="str">
        <f>IFERROR(__xludf.DUMMYFUNCTION("GOOGLETRANSLATE(B4662, ""es"", ""en"")"),"ideasles if you have the milk takes the bags that come from freezing are perfect, because they come with a strap that hang in the milk, and directly brings to the refrigerator / freezer, and you save the sterilizing bottles, on the other hand the containe"&amp;"r befell me pearl to save the milk the baby was going to take that day, or even freeze, now calm tetina, I have to say that my baby was not done to it, found it difficult to suckle, and the end is tired of not get anything and it was impossible that you t"&amp;"ake a bottle with the nipple.")</f>
        <v>ideasles if you have the milk takes the bags that come from freezing are perfect, because they come with a strap that hang in the milk, and directly brings to the refrigerator / freezer, and you save the sterilizing bottles, on the other hand the container befell me pearl to save the milk the baby was going to take that day, or even freeze, now calm tetina, I have to say that my baby was not done to it, found it difficult to suckle, and the end is tired of not get anything and it was impossible that you take a bottle with the nipple.</v>
      </c>
    </row>
    <row r="4663">
      <c r="A4663" s="1">
        <v>5.0</v>
      </c>
      <c r="B4663" s="1" t="s">
        <v>4636</v>
      </c>
      <c r="C4663" t="str">
        <f>IFERROR(__xludf.DUMMYFUNCTION("GOOGLETRANSLATE(B4663, ""es"", ""en"")"),"thank you very much for shipping wine in perfect condition because I really liked and perfect wine in very good condition and capsules fall perfectly'm very happy")</f>
        <v>thank you very much for shipping wine in perfect condition because I really liked and perfect wine in very good condition and capsules fall perfectly'm very happy</v>
      </c>
    </row>
    <row r="4664">
      <c r="A4664" s="1">
        <v>5.0</v>
      </c>
      <c r="B4664" s="1" t="s">
        <v>4637</v>
      </c>
      <c r="C4664" t="str">
        <f>IFERROR(__xludf.DUMMYFUNCTION("GOOGLETRANSLATE(B4664, ""es"", ""en"")"),"Very good blender is a blender glass of a reference mark on appliances and good performance. The set is formed of two pieces, base and glass. From the first contact with it, it shows that we have a good quality product, primarily for materials and robustn"&amp;"ess that at first sight seem to have all components. It includes a book with the manual and some recipes. The blades are included in the vessel itself, more than 2l capacity, more than enough. The glass weighs enough, is glass and withstands temperatures "&amp;"high. I have found it generally quite discreet, not too bulky, because the whole jar-base occupies considerably less than other models that I could try. Regarding operation, behaves as expected, can seamlessly with any food I've tasted. It has a wheel wit"&amp;"h which we can control the power and mixing time manually or select one of the presets at its disposal. As a safety mechanism, the blender does not work if the carafe is not well located at the base and secured. To do this, you have to lock it and turn it"&amp;" until the stop. It is useful to prevent the mixer will not operate accidentally and can have a scare. The base is very stable and does not move anything, even at full power. It has suction cups that keep slipping from the top. Little more to add, so far,"&amp;" everything I've tried to do with it, has gone as expected, so far I am very happy with it.")</f>
        <v>Very good blender is a blender glass of a reference mark on appliances and good performance. The set is formed of two pieces, base and glass. From the first contact with it, it shows that we have a good quality product, primarily for materials and robustness that at first sight seem to have all components. It includes a book with the manual and some recipes. The blades are included in the vessel itself, more than 2l capacity, more than enough. The glass weighs enough, is glass and withstands temperatures high. I have found it generally quite discreet, not too bulky, because the whole jar-base occupies considerably less than other models that I could try. Regarding operation, behaves as expected, can seamlessly with any food I've tasted. It has a wheel with which we can control the power and mixing time manually or select one of the presets at its disposal. As a safety mechanism, the blender does not work if the carafe is not well located at the base and secured. To do this, you have to lock it and turn it until the stop. It is useful to prevent the mixer will not operate accidentally and can have a scare. The base is very stable and does not move anything, even at full power. It has suction cups that keep slipping from the top. Little more to add, so far, everything I've tried to do with it, has gone as expected, so far I am very happy with it.</v>
      </c>
    </row>
    <row r="4665">
      <c r="A4665" s="1">
        <v>5.0</v>
      </c>
      <c r="B4665" s="1" t="s">
        <v>4638</v>
      </c>
      <c r="C4665" t="str">
        <f>IFERROR(__xludf.DUMMYFUNCTION("GOOGLETRANSLATE(B4665, ""es"", ""en"")"),"Comfortable, practical and beautiful. Comfortable and practical are very comfortable, practical and easy to limpiar.Muy pretty happy with purchase ... Voldria to buy another Veu")</f>
        <v>Comfortable, practical and beautiful. Comfortable and practical are very comfortable, practical and easy to limpiar.Muy pretty happy with purchase ... Voldria to buy another Veu</v>
      </c>
    </row>
    <row r="4666">
      <c r="A4666" s="1">
        <v>5.0</v>
      </c>
      <c r="B4666" s="1" t="s">
        <v>4639</v>
      </c>
      <c r="C4666" t="str">
        <f>IFERROR(__xludf.DUMMYFUNCTION("GOOGLETRANSLATE(B4666, ""es"", ""en"")"),"Very good product is durable and has good quality / price.")</f>
        <v>Very good product is durable and has good quality / price.</v>
      </c>
    </row>
    <row r="4667">
      <c r="A4667" s="1">
        <v>5.0</v>
      </c>
      <c r="B4667" s="1" t="s">
        <v>4640</v>
      </c>
      <c r="C4667" t="str">
        <f>IFERROR(__xludf.DUMMYFUNCTION("GOOGLETRANSLATE(B4667, ""es"", ""en"")"),"good power surprised me the speed and power that has the mixer, very happy with it time and totally recommend purchase because value is second to none")</f>
        <v>good power surprised me the speed and power that has the mixer, very happy with it time and totally recommend purchase because value is second to none</v>
      </c>
    </row>
    <row r="4668">
      <c r="A4668" s="1">
        <v>5.0</v>
      </c>
      <c r="B4668" s="1" t="s">
        <v>4641</v>
      </c>
      <c r="C4668" t="str">
        <f>IFERROR(__xludf.DUMMYFUNCTION("GOOGLETRANSLATE(B4668, ""es"", ""en"")"),"Very satisfied very good value - price.")</f>
        <v>Very satisfied very good value - price.</v>
      </c>
    </row>
    <row r="4669">
      <c r="A4669" s="1">
        <v>5.0</v>
      </c>
      <c r="B4669" s="1" t="s">
        <v>4642</v>
      </c>
      <c r="C4669" t="str">
        <f>IFERROR(__xludf.DUMMYFUNCTION("GOOGLETRANSLATE(B4669, ""es"", ""en"")"),"Perfect for cl-625 Yamaha Clavinova Just what I needed to manipulate controls my Yamaha Clavinova piano perfect cl-625 works with the iPhone XS. Recommended and inexpensive.")</f>
        <v>Perfect for cl-625 Yamaha Clavinova Just what I needed to manipulate controls my Yamaha Clavinova piano perfect cl-625 works with the iPhone XS. Recommended and inexpensive.</v>
      </c>
    </row>
    <row r="4670">
      <c r="A4670" s="1">
        <v>5.0</v>
      </c>
      <c r="B4670" s="1" t="s">
        <v>4643</v>
      </c>
      <c r="C4670" t="str">
        <f>IFERROR(__xludf.DUMMYFUNCTION("GOOGLETRANSLATE(B4670, ""es"", ""en"")"),"Well Meets features.")</f>
        <v>Well Meets features.</v>
      </c>
    </row>
    <row r="4671">
      <c r="A4671" s="1">
        <v>5.0</v>
      </c>
      <c r="B4671" s="1" t="s">
        <v>4644</v>
      </c>
      <c r="C4671" t="str">
        <f>IFERROR(__xludf.DUMMYFUNCTION("GOOGLETRANSLATE(B4671, ""es"", ""en"")"),"Convenient and inexpensive works as a Category superior but cheaper")</f>
        <v>Convenient and inexpensive works as a Category superior but cheaper</v>
      </c>
    </row>
    <row r="4672">
      <c r="A4672" s="1">
        <v>5.0</v>
      </c>
      <c r="B4672" s="1" t="s">
        <v>4645</v>
      </c>
      <c r="C4672" t="str">
        <f>IFERROR(__xludf.DUMMYFUNCTION("GOOGLETRANSLATE(B4672, ""es"", ""en"")"),"Top Value! Weighs nothing, is very strong and is very very soft. Best juicer I bought far. superior and value for money!")</f>
        <v>Top Value! Weighs nothing, is very strong and is very very soft. Best juicer I bought far. superior and value for money!</v>
      </c>
    </row>
    <row r="4673">
      <c r="A4673" s="1">
        <v>5.0</v>
      </c>
      <c r="B4673" s="1" t="s">
        <v>4646</v>
      </c>
      <c r="C4673" t="str">
        <f>IFERROR(__xludf.DUMMYFUNCTION("GOOGLETRANSLATE(B4673, ""es"", ""en"")"),"fantastic sports bra very comfortable and, in addition, mono")</f>
        <v>fantastic sports bra very comfortable and, in addition, mono</v>
      </c>
    </row>
    <row r="4674">
      <c r="A4674" s="1">
        <v>5.0</v>
      </c>
      <c r="B4674" s="1" t="s">
        <v>4647</v>
      </c>
      <c r="C4674" t="str">
        <f>IFERROR(__xludf.DUMMYFUNCTION("GOOGLETRANSLATE(B4674, ""es"", ""en"")"),"Small comfortable and convenient and perfect for holding notes")</f>
        <v>Small comfortable and convenient and perfect for holding notes</v>
      </c>
    </row>
    <row r="4675">
      <c r="A4675" s="1">
        <v>5.0</v>
      </c>
      <c r="B4675" s="1" t="s">
        <v>4648</v>
      </c>
      <c r="C4675" t="str">
        <f>IFERROR(__xludf.DUMMYFUNCTION("GOOGLETRANSLATE(B4675, ""es"", ""en"")"),"These small and ultra-thin double-sided adhesives are perfect for photographs as they are small and ultrathin also the box itself includes a dispenser which makes it practical to remove the adhesive.")</f>
        <v>These small and ultra-thin double-sided adhesives are perfect for photographs as they are small and ultrathin also the box itself includes a dispenser which makes it practical to remove the adhesive.</v>
      </c>
    </row>
    <row r="4676">
      <c r="A4676" s="1">
        <v>5.0</v>
      </c>
      <c r="B4676" s="1" t="s">
        <v>4649</v>
      </c>
      <c r="C4676" t="str">
        <f>IFERROR(__xludf.DUMMYFUNCTION("GOOGLETRANSLATE(B4676, ""es"", ""en"")"),"I expected are very nice, as seen in the photo. They are of medium size and weigh nothing !! There are very good!")</f>
        <v>I expected are very nice, as seen in the photo. They are of medium size and weigh nothing !! There are very good!</v>
      </c>
    </row>
    <row r="4677">
      <c r="A4677" s="1">
        <v>5.0</v>
      </c>
      <c r="B4677" s="1" t="s">
        <v>4650</v>
      </c>
      <c r="C4677" t="str">
        <f>IFERROR(__xludf.DUMMYFUNCTION("GOOGLETRANSLATE(B4677, ""es"", ""en"")"),"Sneakers Very comfortable and good quality")</f>
        <v>Sneakers Very comfortable and good quality</v>
      </c>
    </row>
    <row r="4678">
      <c r="A4678" s="1">
        <v>2.0</v>
      </c>
      <c r="B4678" s="1" t="s">
        <v>4651</v>
      </c>
      <c r="C4678" t="str">
        <f>IFERROR(__xludf.DUMMYFUNCTION("GOOGLETRANSLATE(B4678, ""es"", ""en"")"),"I am super-cool I love the design. perfect size because larger would not be good. No matter how old you have to take them because the beauty wears well on anyone. I'm super-allergic and have no problems.")</f>
        <v>I am super-cool I love the design. perfect size because larger would not be good. No matter how old you have to take them because the beauty wears well on anyone. I'm super-allergic and have no problems.</v>
      </c>
    </row>
    <row r="4679">
      <c r="A4679" s="1">
        <v>3.0</v>
      </c>
      <c r="B4679" s="1" t="s">
        <v>4652</v>
      </c>
      <c r="C4679" t="str">
        <f>IFERROR(__xludf.DUMMYFUNCTION("GOOGLETRANSLATE(B4679, ""es"", ""en"")"),"The image is actually better than the advertising image is very attractive. Then it small. For the rest is fine. Despite criticism is recommended with the caveat that the so large in the photo cheats")</f>
        <v>The image is actually better than the advertising image is very attractive. Then it small. For the rest is fine. Despite criticism is recommended with the caveat that the so large in the photo cheats</v>
      </c>
    </row>
    <row r="4680">
      <c r="A4680" s="1">
        <v>3.0</v>
      </c>
      <c r="B4680" s="1" t="s">
        <v>4653</v>
      </c>
      <c r="C4680" t="str">
        <f>IFERROR(__xludf.DUMMYFUNCTION("GOOGLETRANSLATE(B4680, ""es"", ""en"")"),"Ostentatious but well it works very well and easily connects to the Bluetooth device. The charger goes well. Load acceptably fast and hard. A warns others quite a while before the battery finished with a phrase that is repeated periodically. As negative I"&amp;" say that it is not very ergonomic, and although quite well fastened in the ear protrudes much so is not much less concealed. A touch the easily falls.")</f>
        <v>Ostentatious but well it works very well and easily connects to the Bluetooth device. The charger goes well. Load acceptably fast and hard. A warns others quite a while before the battery finished with a phrase that is repeated periodically. As negative I say that it is not very ergonomic, and although quite well fastened in the ear protrudes much so is not much less concealed. A touch the easily falls.</v>
      </c>
    </row>
    <row r="4681">
      <c r="A4681" s="1">
        <v>3.0</v>
      </c>
      <c r="B4681" s="1" t="s">
        <v>4654</v>
      </c>
      <c r="C4681" t="str">
        <f>IFERROR(__xludf.DUMMYFUNCTION("GOOGLETRANSLATE(B4681, ""es"", ""en"")"),"They fall easily hear well, but they fall easily. Or windy or anything, just move you go to the ground. I guess for the price they can not ask for more")</f>
        <v>They fall easily hear well, but they fall easily. Or windy or anything, just move you go to the ground. I guess for the price they can not ask for more</v>
      </c>
    </row>
    <row r="4682">
      <c r="A4682" s="1">
        <v>1.0</v>
      </c>
      <c r="B4682" s="1" t="s">
        <v>4655</v>
      </c>
      <c r="C4682" t="str">
        <f>IFERROR(__xludf.DUMMYFUNCTION("GOOGLETRANSLATE(B4682, ""es"", ""en"")"),"Nor do I like the photo has come up with 18 days late and nothing q do with the photo, small and not even close to the photo")</f>
        <v>Nor do I like the photo has come up with 18 days late and nothing q do with the photo, small and not even close to the photo</v>
      </c>
    </row>
    <row r="4683">
      <c r="A4683" s="1">
        <v>1.0</v>
      </c>
      <c r="B4683" s="1" t="s">
        <v>4656</v>
      </c>
      <c r="C4683" t="str">
        <f>IFERROR(__xludf.DUMMYFUNCTION("GOOGLETRANSLATE(B4683, ""es"", ""en"")"),"despelacha cable is bad, you have to move the cable to operate because it has orgura and buy 7 months ago, if a cable will not last even one year that you want to tell you is not good.")</f>
        <v>despelacha cable is bad, you have to move the cable to operate because it has orgura and buy 7 months ago, if a cable will not last even one year that you want to tell you is not good.</v>
      </c>
    </row>
    <row r="4684">
      <c r="A4684" s="1">
        <v>4.0</v>
      </c>
      <c r="B4684" s="1" t="s">
        <v>4657</v>
      </c>
      <c r="C4684" t="str">
        <f>IFERROR(__xludf.DUMMYFUNCTION("GOOGLETRANSLATE(B4684, ""es"", ""en"")"),"Very good sound, a little bad materials usually perfect, work very well. The structure is a bit flimsy, but they are very comfortable and sounds great muybien. I recommend amplifier.")</f>
        <v>Very good sound, a little bad materials usually perfect, work very well. The structure is a bit flimsy, but they are very comfortable and sounds great muybien. I recommend amplifier.</v>
      </c>
    </row>
    <row r="4685">
      <c r="A4685" s="1">
        <v>4.0</v>
      </c>
      <c r="B4685" s="1" t="s">
        <v>4658</v>
      </c>
      <c r="C4685" t="str">
        <f>IFERROR(__xludf.DUMMYFUNCTION("GOOGLETRANSLATE(B4685, ""es"", ""en"")"),"Very fair shirt small shirt get in contact with me and the error is resolved")</f>
        <v>Very fair shirt small shirt get in contact with me and the error is resolved</v>
      </c>
    </row>
    <row r="4686">
      <c r="A4686" s="1">
        <v>4.0</v>
      </c>
      <c r="B4686" s="1" t="s">
        <v>4659</v>
      </c>
      <c r="C4686" t="str">
        <f>IFERROR(__xludf.DUMMYFUNCTION("GOOGLETRANSLATE(B4686, ""es"", ""en"")"),"Good to very good price covers are transparent, strong and big bags, at a great price, so they are great. I'll buy again when finished.")</f>
        <v>Good to very good price covers are transparent, strong and big bags, at a great price, so they are great. I'll buy again when finished.</v>
      </c>
    </row>
    <row r="4687">
      <c r="A4687" s="1">
        <v>4.0</v>
      </c>
      <c r="B4687" s="1" t="s">
        <v>4660</v>
      </c>
      <c r="C4687" t="str">
        <f>IFERROR(__xludf.DUMMYFUNCTION("GOOGLETRANSLATE(B4687, ""es"", ""en"")"),"As expected was received within the deadline announced without delay. Measures according to the size requested. acceptable quality, not shrink or fade with washing.")</f>
        <v>As expected was received within the deadline announced without delay. Measures according to the size requested. acceptable quality, not shrink or fade with washing.</v>
      </c>
    </row>
    <row r="4688">
      <c r="A4688" s="1">
        <v>5.0</v>
      </c>
      <c r="B4688" s="1" t="s">
        <v>4661</v>
      </c>
      <c r="C4688" t="str">
        <f>IFERROR(__xludf.DUMMYFUNCTION("GOOGLETRANSLATE(B4688, ""es"", ""en"")"),"all right I'll write some things but it sums up all that are the same as the original, but as the opinion may not be as short as dire that the color is the same, the same size as the glue that sticks the label is the same and I I think this will be enough"&amp;" long commentary.")</f>
        <v>all right I'll write some things but it sums up all that are the same as the original, but as the opinion may not be as short as dire that the color is the same, the same size as the glue that sticks the label is the same and I I think this will be enough long commentary.</v>
      </c>
    </row>
    <row r="4689">
      <c r="A4689" s="1">
        <v>5.0</v>
      </c>
      <c r="B4689" s="1" t="s">
        <v>4662</v>
      </c>
      <c r="C4689" t="str">
        <f>IFERROR(__xludf.DUMMYFUNCTION("GOOGLETRANSLATE(B4689, ""es"", ""en"")"),"Excellent for its aesthetic and its price, it is one of the most attractive USB drives on the market. Its simple design, in which you just have to worry about plugging and do not have to walk dealing with lids or anything else like that, it makes it extre"&amp;"mely practical. In addition, 32 GB for less than 10 € is a bargain. Summary: - Attractive and practical design. - Storage capacity ratio / unbeatable price.")</f>
        <v>Excellent for its aesthetic and its price, it is one of the most attractive USB drives on the market. Its simple design, in which you just have to worry about plugging and do not have to walk dealing with lids or anything else like that, it makes it extremely practical. In addition, 32 GB for less than 10 € is a bargain. Summary: - Attractive and practical design. - Storage capacity ratio / unbeatable price.</v>
      </c>
    </row>
    <row r="4690">
      <c r="A4690" s="1">
        <v>5.0</v>
      </c>
      <c r="B4690" s="1" t="s">
        <v>4663</v>
      </c>
      <c r="C4690" t="str">
        <f>IFERROR(__xludf.DUMMYFUNCTION("GOOGLETRANSLATE(B4690, ""es"", ""en"")"),"Very pretty and practical teapot, exactly what I expected.")</f>
        <v>Very pretty and practical teapot, exactly what I expected.</v>
      </c>
    </row>
    <row r="4691">
      <c r="A4691" s="1">
        <v>5.0</v>
      </c>
      <c r="B4691" s="1" t="s">
        <v>4664</v>
      </c>
      <c r="C4691" t="str">
        <f>IFERROR(__xludf.DUMMYFUNCTION("GOOGLETRANSLATE(B4691, ""es"", ""en"")"),"Very good headphones great headphones. Quality and very comfortable very robust construction. Sound very good, slightly U-shaped profile, good separation of instruments. Need amplification or yes. In the laptop I use an Asus U3 and the xduoo one topping n"&amp;"x1a. better sound with topping, as it is more powerful and neutral amplification. Unamplified sound very, very low and sound quality deficiente.Venía about Takstar hi2050, which broke down and noticed improvement in the sound.")</f>
        <v>Very good headphones great headphones. Quality and very comfortable very robust construction. Sound very good, slightly U-shaped profile, good separation of instruments. Need amplification or yes. In the laptop I use an Asus U3 and the xduoo one topping nx1a. better sound with topping, as it is more powerful and neutral amplification. Unamplified sound very, very low and sound quality deficiente.Venía about Takstar hi2050, which broke down and noticed improvement in the sound.</v>
      </c>
    </row>
    <row r="4692">
      <c r="A4692" s="1">
        <v>5.0</v>
      </c>
      <c r="B4692" s="1" t="s">
        <v>4665</v>
      </c>
      <c r="C4692" t="str">
        <f>IFERROR(__xludf.DUMMYFUNCTION("GOOGLETRANSLATE(B4692, ""es"", ""en"")"),"Quality quality unbeatable price")</f>
        <v>Quality quality unbeatable price</v>
      </c>
    </row>
    <row r="4693">
      <c r="A4693" s="1">
        <v>5.0</v>
      </c>
      <c r="B4693" s="1" t="s">
        <v>4666</v>
      </c>
      <c r="C4693" t="str">
        <f>IFERROR(__xludf.DUMMYFUNCTION("GOOGLETRANSLATE(B4693, ""es"", ""en"")"),"Precious perfect description, very comfortable, very nice, are great and very fast shipping, I have nothing more to add, I recommend 100 x 100")</f>
        <v>Precious perfect description, very comfortable, very nice, are great and very fast shipping, I have nothing more to add, I recommend 100 x 100</v>
      </c>
    </row>
    <row r="4694">
      <c r="A4694" s="1">
        <v>5.0</v>
      </c>
      <c r="B4694" s="1" t="s">
        <v>4667</v>
      </c>
      <c r="C4694" t="str">
        <f>IFERROR(__xludf.DUMMYFUNCTION("GOOGLETRANSLATE(B4694, ""es"", ""en"")"),"He has good size acceptable quality and is comfortable to wear. The quality of the material is very basic, but enough to make its function.")</f>
        <v>He has good size acceptable quality and is comfortable to wear. The quality of the material is very basic, but enough to make its function.</v>
      </c>
    </row>
    <row r="4695">
      <c r="A4695" s="1">
        <v>5.0</v>
      </c>
      <c r="B4695" s="1" t="s">
        <v>4668</v>
      </c>
      <c r="C4695" t="str">
        <f>IFERROR(__xludf.DUMMYFUNCTION("GOOGLETRANSLATE(B4695, ""es"", ""en"")"),"Quality album I bought it already several times for weddings reports specifically for Fotomatón and is perfect for this.")</f>
        <v>Quality album I bought it already several times for weddings reports specifically for Fotomatón and is perfect for this.</v>
      </c>
    </row>
    <row r="4696">
      <c r="A4696" s="1">
        <v>5.0</v>
      </c>
      <c r="B4696" s="1" t="s">
        <v>4669</v>
      </c>
      <c r="C4696" t="str">
        <f>IFERROR(__xludf.DUMMYFUNCTION("GOOGLETRANSLATE(B4696, ""es"", ""en"")"),"OKAY. All right and at a great price.")</f>
        <v>OKAY. All right and at a great price.</v>
      </c>
    </row>
    <row r="4697">
      <c r="A4697" s="1">
        <v>5.0</v>
      </c>
      <c r="B4697" s="1" t="s">
        <v>4670</v>
      </c>
      <c r="C4697" t="str">
        <f>IFERROR(__xludf.DUMMYFUNCTION("GOOGLETRANSLATE(B4697, ""es"", ""en"")"),"I recommend Good")</f>
        <v>I recommend Good</v>
      </c>
    </row>
    <row r="4698">
      <c r="A4698" s="1">
        <v>5.0</v>
      </c>
      <c r="B4698" s="1" t="s">
        <v>4671</v>
      </c>
      <c r="C4698" t="str">
        <f>IFERROR(__xludf.DUMMYFUNCTION("GOOGLETRANSLATE(B4698, ""es"", ""en"")"),"Buenos helmets for day to day was a gift Genial and stay enchanted person could personally try a little and have an amazing sound quality.")</f>
        <v>Buenos helmets for day to day was a gift Genial and stay enchanted person could personally try a little and have an amazing sound quality.</v>
      </c>
    </row>
    <row r="4699">
      <c r="A4699" s="1">
        <v>5.0</v>
      </c>
      <c r="B4699" s="1" t="s">
        <v>4672</v>
      </c>
      <c r="C4699" t="str">
        <f>IFERROR(__xludf.DUMMYFUNCTION("GOOGLETRANSLATE(B4699, ""es"", ""en"")"),"Eran original gift, the size is normally used, fully meet expectations .. comfortable and beautiful")</f>
        <v>Eran original gift, the size is normally used, fully meet expectations .. comfortable and beautiful</v>
      </c>
    </row>
    <row r="4700">
      <c r="A4700" s="1">
        <v>5.0</v>
      </c>
      <c r="B4700" s="1" t="s">
        <v>4673</v>
      </c>
      <c r="C4700" t="str">
        <f>IFERROR(__xludf.DUMMYFUNCTION("GOOGLETRANSLATE(B4700, ""es"", ""en"")"),"Perfect A great book that gets you hooked for the second")</f>
        <v>Perfect A great book that gets you hooked for the second</v>
      </c>
    </row>
    <row r="4701">
      <c r="A4701" s="1">
        <v>5.0</v>
      </c>
      <c r="B4701" s="1" t="s">
        <v>4674</v>
      </c>
      <c r="C4701" t="str">
        <f>IFERROR(__xludf.DUMMYFUNCTION("GOOGLETRANSLATE(B4701, ""es"", ""en"")"),"VERY PRACTICAL. RUSSELL HOBBS TAKES MANY DECADES MAKING EASY DAY TO DAY IN THE KITCHEN. A good example of this are the kettles. COMFORTABLE, practical, simple.")</f>
        <v>VERY PRACTICAL. RUSSELL HOBBS TAKES MANY DECADES MAKING EASY DAY TO DAY IN THE KITCHEN. A good example of this are the kettles. COMFORTABLE, practical, simple.</v>
      </c>
    </row>
    <row r="4702">
      <c r="A4702" s="1">
        <v>5.0</v>
      </c>
      <c r="B4702" s="1" t="s">
        <v>4675</v>
      </c>
      <c r="C4702" t="str">
        <f>IFERROR(__xludf.DUMMYFUNCTION("GOOGLETRANSLATE(B4702, ""es"", ""en"")"),"Precision. He came downloaded because the second hand moving every 2 seconds. Le placed near the window all day and charged. Then when I can, occasionally I put in front of the window, as it comes with overload protection. Most impressive is its accuracy."&amp;" It has been brought forward 1 second to 1 month. If you follow this progression will be about 12 seconds to the year.")</f>
        <v>Precision. He came downloaded because the second hand moving every 2 seconds. Le placed near the window all day and charged. Then when I can, occasionally I put in front of the window, as it comes with overload protection. Most impressive is its accuracy. It has been brought forward 1 second to 1 month. If you follow this progression will be about 12 seconds to the year.</v>
      </c>
    </row>
    <row r="4703">
      <c r="A4703" s="1">
        <v>5.0</v>
      </c>
      <c r="B4703" s="1" t="s">
        <v>4676</v>
      </c>
      <c r="C4703" t="str">
        <f>IFERROR(__xludf.DUMMYFUNCTION("GOOGLETRANSLATE(B4703, ""es"", ""en"")"),"Good buy! They are very comfortable, small and very well pass unnoticed, fit very well to the ear, ideal for sports. I have been using to go to the gym and I have not dropped at any time. The quality with which you hear is very good and clean and the batt"&amp;"ery has so far been holding me, looks like it hard enough. I also find it very comfortable to answer messages without having to remove the phone at all, as for calls and connects to the phone super fast, it is a hoot!")</f>
        <v>Good buy! They are very comfortable, small and very well pass unnoticed, fit very well to the ear, ideal for sports. I have been using to go to the gym and I have not dropped at any time. The quality with which you hear is very good and clean and the battery has so far been holding me, looks like it hard enough. I also find it very comfortable to answer messages without having to remove the phone at all, as for calls and connects to the phone super fast, it is a hoot!</v>
      </c>
    </row>
    <row r="4704">
      <c r="A4704" s="1">
        <v>5.0</v>
      </c>
      <c r="B4704" s="1" t="s">
        <v>4677</v>
      </c>
      <c r="C4704" t="str">
        <f>IFERROR(__xludf.DUMMYFUNCTION("GOOGLETRANSLATE(B4704, ""es"", ""en"")"),"Excellent memory 128GB 3.0 USB connector retractable excellent memory 128GB (3.0) retractable USB connector can only say, I have made a good buy. The piece received barely warm when you use loading data or vice versa. The pendrive is retractable, and my t"&amp;"aste is a success by the manufacturer as this does not take much dust the USB connector and does not disturb the metal part. Atte. Fran P. 17 / November / 2018")</f>
        <v>Excellent memory 128GB 3.0 USB connector retractable excellent memory 128GB (3.0) retractable USB connector can only say, I have made a good buy. The piece received barely warm when you use loading data or vice versa. The pendrive is retractable, and my taste is a success by the manufacturer as this does not take much dust the USB connector and does not disturb the metal part. Atte. Fran P. 17 / November / 2018</v>
      </c>
    </row>
    <row r="4705">
      <c r="A4705" s="1">
        <v>5.0</v>
      </c>
      <c r="B4705" s="1" t="s">
        <v>4678</v>
      </c>
      <c r="C4705" t="str">
        <f>IFERROR(__xludf.DUMMYFUNCTION("GOOGLETRANSLATE(B4705, ""es"", ""en"")"),"I liked very easy to assemble and with many details.")</f>
        <v>I liked very easy to assemble and with many details.</v>
      </c>
    </row>
    <row r="4706">
      <c r="A4706" s="1">
        <v>2.0</v>
      </c>
      <c r="B4706" s="1" t="s">
        <v>4679</v>
      </c>
      <c r="C4706" t="str">
        <f>IFERROR(__xludf.DUMMYFUNCTION("GOOGLETRANSLATE(B4706, ""es"", ""en"")"),"He has stopped holding some books. At the beginning, when I bought it, the lower pin fastened securely books, but with the passage of time, one has surged and now I close the books. Maybe, different incline levels you have. But the bad result of the pins "&amp;"makes no advice.")</f>
        <v>He has stopped holding some books. At the beginning, when I bought it, the lower pin fastened securely books, but with the passage of time, one has surged and now I close the books. Maybe, different incline levels you have. But the bad result of the pins makes no advice.</v>
      </c>
    </row>
    <row r="4707">
      <c r="A4707" s="1">
        <v>3.0</v>
      </c>
      <c r="B4707" s="1" t="s">
        <v>4680</v>
      </c>
      <c r="C4707" t="str">
        <f>IFERROR(__xludf.DUMMYFUNCTION("GOOGLETRANSLATE(B4707, ""es"", ""en"")"),"Panama Jack aviator My son loves but cold despite having inside I borreguito")</f>
        <v>Panama Jack aviator My son loves but cold despite having inside I borreguito</v>
      </c>
    </row>
    <row r="4708">
      <c r="A4708" s="1">
        <v>1.0</v>
      </c>
      <c r="B4708" s="1" t="s">
        <v>4681</v>
      </c>
      <c r="C4708" t="str">
        <f>IFERROR(__xludf.DUMMYFUNCTION("GOOGLETRANSLATE(B4708, ""es"", ""en"")"),"They are very good break and are released very quickly, and I do not have any that can be used. The yarn is very short and fine")</f>
        <v>They are very good break and are released very quickly, and I do not have any that can be used. The yarn is very short and fine</v>
      </c>
    </row>
    <row r="4709">
      <c r="A4709" s="1">
        <v>1.0</v>
      </c>
      <c r="B4709" s="1" t="s">
        <v>4682</v>
      </c>
      <c r="C4709" t="str">
        <f>IFERROR(__xludf.DUMMYFUNCTION("GOOGLETRANSLATE(B4709, ""es"", ""en"")"),"Baby and nothing seem to come without nuts")</f>
        <v>Baby and nothing seem to come without nuts</v>
      </c>
    </row>
    <row r="4710">
      <c r="A4710" s="1">
        <v>4.0</v>
      </c>
      <c r="B4710" s="1" t="s">
        <v>4683</v>
      </c>
      <c r="C4710" t="str">
        <f>IFERROR(__xludf.DUMMYFUNCTION("GOOGLETRANSLATE(B4710, ""es"", ""en"")"),"The best bottles, but ... I bought this pack of bottles at a great price. I had to replace latex teats by, for like my baby. He did not give 5 stars for this matter and because it has the numbers of measures blank and are not clearly")</f>
        <v>The best bottles, but ... I bought this pack of bottles at a great price. I had to replace latex teats by, for like my baby. He did not give 5 stars for this matter and because it has the numbers of measures blank and are not clearly</v>
      </c>
    </row>
    <row r="4711">
      <c r="A4711" s="1">
        <v>4.0</v>
      </c>
      <c r="B4711" s="1" t="s">
        <v>4684</v>
      </c>
      <c r="C4711" t="str">
        <f>IFERROR(__xludf.DUMMYFUNCTION("GOOGLETRANSLATE(B4711, ""es"", ""en"")"),"Good slate Slate works well, the value is great. Assembly, but you're used to ride anything ... It costs a bit different, but at the end you get it! NO I have given the maximum score because it takes me about 9 days to arrive. I recommend it to you!")</f>
        <v>Good slate Slate works well, the value is great. Assembly, but you're used to ride anything ... It costs a bit different, but at the end you get it! NO I have given the maximum score because it takes me about 9 days to arrive. I recommend it to you!</v>
      </c>
    </row>
    <row r="4712">
      <c r="A4712" s="1">
        <v>4.0</v>
      </c>
      <c r="B4712" s="1" t="s">
        <v>4685</v>
      </c>
      <c r="C4712" t="str">
        <f>IFERROR(__xludf.DUMMYFUNCTION("GOOGLETRANSLATE(B4712, ""es"", ""en"")"),"Celia Very nice, thick fabric, and flying. Not too short or too long, a little above the knees. It's great. I recommend.")</f>
        <v>Celia Very nice, thick fabric, and flying. Not too short or too long, a little above the knees. It's great. I recommend.</v>
      </c>
    </row>
    <row r="4713">
      <c r="A4713" s="1">
        <v>4.0</v>
      </c>
      <c r="B4713" s="1" t="s">
        <v>4686</v>
      </c>
      <c r="C4713" t="str">
        <f>IFERROR(__xludf.DUMMYFUNCTION("GOOGLETRANSLATE(B4713, ""es"", ""en"")"),"compact and you can take it to travel this heating pad is good to me muscle contractures, has 3 levels of heat, there q wait a little for the suitable heat goes out alone at 90 minutes")</f>
        <v>compact and you can take it to travel this heating pad is good to me muscle contractures, has 3 levels of heat, there q wait a little for the suitable heat goes out alone at 90 minutes</v>
      </c>
    </row>
    <row r="4714">
      <c r="A4714" s="1">
        <v>4.0</v>
      </c>
      <c r="B4714" s="1" t="s">
        <v>4687</v>
      </c>
      <c r="C4714" t="str">
        <f>IFERROR(__xludf.DUMMYFUNCTION("GOOGLETRANSLATE(B4714, ""es"", ""en"")"),"Highly recommended has met our expectations. My daughter is accustomed to the chest and when it started is the only bottle nipple which have proved that has not rejected. Teat very flexible and perfectly imitates the nipple. I recommend it without a doubt")</f>
        <v>Highly recommended has met our expectations. My daughter is accustomed to the chest and when it started is the only bottle nipple which have proved that has not rejected. Teat very flexible and perfectly imitates the nipple. I recommend it without a doubt</v>
      </c>
    </row>
    <row r="4715">
      <c r="A4715" s="1">
        <v>5.0</v>
      </c>
      <c r="B4715" s="1" t="s">
        <v>4688</v>
      </c>
      <c r="C4715" t="str">
        <f>IFERROR(__xludf.DUMMYFUNCTION("GOOGLETRANSLATE(B4715, ""es"", ""en"")"),"Great already he had other shoes of the same brand and really do not disappoint, are great. I took my number and is correct")</f>
        <v>Great already he had other shoes of the same brand and really do not disappoint, are great. I took my number and is correct</v>
      </c>
    </row>
    <row r="4716">
      <c r="A4716" s="1">
        <v>5.0</v>
      </c>
      <c r="B4716" s="1" t="s">
        <v>4689</v>
      </c>
      <c r="C4716" t="str">
        <f>IFERROR(__xludf.DUMMYFUNCTION("GOOGLETRANSLATE(B4716, ""es"", ""en"")"),"Fully recommended. Buy what you see. Perfect. Price. Delivery period. Product. Everything is great. Ven perhaps buy other models")</f>
        <v>Fully recommended. Buy what you see. Perfect. Price. Delivery period. Product. Everything is great. Ven perhaps buy other models</v>
      </c>
    </row>
    <row r="4717">
      <c r="A4717" s="1">
        <v>5.0</v>
      </c>
      <c r="B4717" s="1" t="s">
        <v>4690</v>
      </c>
      <c r="C4717" t="str">
        <f>IFERROR(__xludf.DUMMYFUNCTION("GOOGLETRANSLATE(B4717, ""es"", ""en"")"),"the product arrives in good condition calectador water good for travel, house etc ....")</f>
        <v>the product arrives in good condition calectador water good for travel, house etc ....</v>
      </c>
    </row>
    <row r="4718">
      <c r="A4718" s="1">
        <v>5.0</v>
      </c>
      <c r="B4718" s="1" t="s">
        <v>4691</v>
      </c>
      <c r="C4718" t="str">
        <f>IFERROR(__xludf.DUMMYFUNCTION("GOOGLETRANSLATE(B4718, ""es"", ""en"")"),"Good buy comfortable and cool")</f>
        <v>Good buy comfortable and cool</v>
      </c>
    </row>
    <row r="4719">
      <c r="A4719" s="1">
        <v>5.0</v>
      </c>
      <c r="B4719" s="1" t="s">
        <v>4692</v>
      </c>
      <c r="C4719" t="str">
        <f>IFERROR(__xludf.DUMMYFUNCTION("GOOGLETRANSLATE(B4719, ""es"", ""en"")"),"Converse original and perfect Perfect !! Always use so you conversed size. I recommend that you try them in a Antea store and then make order here. They are at a very good price.")</f>
        <v>Converse original and perfect Perfect !! Always use so you conversed size. I recommend that you try them in a Antea store and then make order here. They are at a very good price.</v>
      </c>
    </row>
    <row r="4720">
      <c r="A4720" s="1">
        <v>5.0</v>
      </c>
      <c r="B4720" s="1" t="s">
        <v>4693</v>
      </c>
      <c r="C4720" t="str">
        <f>IFERROR(__xludf.DUMMYFUNCTION("GOOGLETRANSLATE(B4720, ""es"", ""en"")"),"Great vacuum cleaner pleasantly surprised, it works better than expected. Comes with several accessories that help reach everywhere inside the car. It also comes with a cover to keep everything and kept on hand at a time. Aspira very well and is very easy"&amp;" to disassemble and clean.")</f>
        <v>Great vacuum cleaner pleasantly surprised, it works better than expected. Comes with several accessories that help reach everywhere inside the car. It also comes with a cover to keep everything and kept on hand at a time. Aspira very well and is very easy to disassemble and clean.</v>
      </c>
    </row>
    <row r="4721">
      <c r="A4721" s="1">
        <v>5.0</v>
      </c>
      <c r="B4721" s="1" t="s">
        <v>4694</v>
      </c>
      <c r="C4721" t="str">
        <f>IFERROR(__xludf.DUMMYFUNCTION("GOOGLETRANSLATE(B4721, ""es"", ""en"")"),"Great going great for the little coffee foam in the morning.")</f>
        <v>Great going great for the little coffee foam in the morning.</v>
      </c>
    </row>
    <row r="4722">
      <c r="A4722" s="1">
        <v>5.0</v>
      </c>
      <c r="B4722" s="1" t="s">
        <v>4695</v>
      </c>
      <c r="C4722" t="str">
        <f>IFERROR(__xludf.DUMMYFUNCTION("GOOGLETRANSLATE(B4722, ""es"", ""en"")"),"They have very good quality very comfortable with excellent lycra. They are very strong and elastic. The color is a gorgeous metallic blue. The size is good, I mean that the sizing is the same as the European. At the top it has a silver fabric inside the "&amp;"mesh that is making sauna effect and to sweat and lose weight. When I wash it has remained the same, as new. I would highlight how comfortable they are, stick to the skin both looks like not wearing any clothes.")</f>
        <v>They have very good quality very comfortable with excellent lycra. They are very strong and elastic. The color is a gorgeous metallic blue. The size is good, I mean that the sizing is the same as the European. At the top it has a silver fabric inside the mesh that is making sauna effect and to sweat and lose weight. When I wash it has remained the same, as new. I would highlight how comfortable they are, stick to the skin both looks like not wearing any clothes.</v>
      </c>
    </row>
    <row r="4723">
      <c r="A4723" s="1">
        <v>5.0</v>
      </c>
      <c r="B4723" s="1" t="s">
        <v>4696</v>
      </c>
      <c r="C4723" t="str">
        <f>IFERROR(__xludf.DUMMYFUNCTION("GOOGLETRANSLATE(B4723, ""es"", ""en"")"),"mirigc very happy with the order. They seem very good quality and super comfortable. And needless to say it sooo well priced are ... super recommended! I will repeat for sure!")</f>
        <v>mirigc very happy with the order. They seem very good quality and super comfortable. And needless to say it sooo well priced are ... super recommended! I will repeat for sure!</v>
      </c>
    </row>
    <row r="4724">
      <c r="A4724" s="1">
        <v>5.0</v>
      </c>
      <c r="B4724" s="1" t="s">
        <v>4697</v>
      </c>
      <c r="C4724" t="str">
        <f>IFERROR(__xludf.DUMMYFUNCTION("GOOGLETRANSLATE(B4724, ""es"", ""en"")"),"The speed of cleaning and descaling I liked the speed to remove the fat in the pan embedded long time actually really works")</f>
        <v>The speed of cleaning and descaling I liked the speed to remove the fat in the pan embedded long time actually really works</v>
      </c>
    </row>
    <row r="4725">
      <c r="A4725" s="1">
        <v>5.0</v>
      </c>
      <c r="B4725" s="1" t="s">
        <v>4698</v>
      </c>
      <c r="C4725" t="str">
        <f>IFERROR(__xludf.DUMMYFUNCTION("GOOGLETRANSLATE(B4725, ""es"", ""en"")"),"Very good very good start as a ssd drive and is seeking strong and good brand unfortunately I touch screen computer broke and I got to the service")</f>
        <v>Very good very good start as a ssd drive and is seeking strong and good brand unfortunately I touch screen computer broke and I got to the service</v>
      </c>
    </row>
    <row r="4726">
      <c r="A4726" s="1">
        <v>5.0</v>
      </c>
      <c r="B4726" s="1" t="s">
        <v>4699</v>
      </c>
      <c r="C4726" t="str">
        <f>IFERROR(__xludf.DUMMYFUNCTION("GOOGLETRANSLATE(B4726, ""es"", ""en"")"),"well we'll see when you wash.")</f>
        <v>well we'll see when you wash.</v>
      </c>
    </row>
    <row r="4727">
      <c r="A4727" s="1">
        <v>5.0</v>
      </c>
      <c r="B4727" s="1" t="s">
        <v>4700</v>
      </c>
      <c r="C4727" t="str">
        <f>IFERROR(__xludf.DUMMYFUNCTION("GOOGLETRANSLATE(B4727, ""es"", ""en"")"),"Plug and Play disc heal. Not because the hard disk that had stopped working with new Samsung TV, so I had to buy a new one. It is wonderful, very fast and no connection problems. It is thus 3.0 transfer movies to your hard drive is very fast.")</f>
        <v>Plug and Play disc heal. Not because the hard disk that had stopped working with new Samsung TV, so I had to buy a new one. It is wonderful, very fast and no connection problems. It is thus 3.0 transfer movies to your hard drive is very fast.</v>
      </c>
    </row>
    <row r="4728">
      <c r="A4728" s="1">
        <v>5.0</v>
      </c>
      <c r="B4728" s="1" t="s">
        <v>4701</v>
      </c>
      <c r="C4728" t="str">
        <f>IFERROR(__xludf.DUMMYFUNCTION("GOOGLETRANSLATE(B4728, ""es"", ""en"")"),"perfect headphones for free movement is the first time I have this type of headphones and I have real good looking, has charging base with a good finish and come with headphones magnet which makes always go to your site in the load. Use one or 2 perfectly"&amp;" matching them and 2 have microphone, I've also tested and hear you perfectly. I used several hours 2 headphones listening to music and have endured me very well. If you are someone that you usually fall this type of headphones comes a bag with different "&amp;"size pads according to choose the one that best suits. Overall very good impression.")</f>
        <v>perfect headphones for free movement is the first time I have this type of headphones and I have real good looking, has charging base with a good finish and come with headphones magnet which makes always go to your site in the load. Use one or 2 perfectly matching them and 2 have microphone, I've also tested and hear you perfectly. I used several hours 2 headphones listening to music and have endured me very well. If you are someone that you usually fall this type of headphones comes a bag with different size pads according to choose the one that best suits. Overall very good impression.</v>
      </c>
    </row>
    <row r="4729">
      <c r="A4729" s="1">
        <v>5.0</v>
      </c>
      <c r="B4729" s="1" t="s">
        <v>4702</v>
      </c>
      <c r="C4729" t="str">
        <f>IFERROR(__xludf.DUMMYFUNCTION("GOOGLETRANSLATE(B4729, ""es"", ""en"")"),"They were for a gift. Delivery time 24h. Remain so the ad. If you use size 39 is as it is, not as sneakers, you have to think of 1 or even 2 more numbers, of which chocks. Like everything Superga, with very good finishes, with every detail well maintained"&amp;".")</f>
        <v>They were for a gift. Delivery time 24h. Remain so the ad. If you use size 39 is as it is, not as sneakers, you have to think of 1 or even 2 more numbers, of which chocks. Like everything Superga, with very good finishes, with every detail well maintained.</v>
      </c>
    </row>
    <row r="4730">
      <c r="A4730" s="1">
        <v>5.0</v>
      </c>
      <c r="B4730" s="1" t="s">
        <v>4703</v>
      </c>
      <c r="C4730" t="str">
        <f>IFERROR(__xludf.DUMMYFUNCTION("GOOGLETRANSLATE(B4730, ""es"", ""en"")"),"Very nice elegant")</f>
        <v>Very nice elegant</v>
      </c>
    </row>
    <row r="4731">
      <c r="A4731" s="1">
        <v>5.0</v>
      </c>
      <c r="B4731" s="1" t="s">
        <v>4704</v>
      </c>
      <c r="C4731" t="str">
        <f>IFERROR(__xludf.DUMMYFUNCTION("GOOGLETRANSLATE(B4731, ""es"", ""en"")"),"Good Value but something really great as the dream quality of the fabric is good is anything but typical in two days these are broken. What if the size of something big comes from Spain especially waist, but not much either. if you want it too tight is be"&amp;"tter order one size smaller")</f>
        <v>Good Value but something really great as the dream quality of the fabric is good is anything but typical in two days these are broken. What if the size of something big comes from Spain especially waist, but not much either. if you want it too tight is better order one size smaller</v>
      </c>
    </row>
    <row r="4732">
      <c r="A4732" s="1">
        <v>5.0</v>
      </c>
      <c r="B4732" s="1" t="s">
        <v>4705</v>
      </c>
      <c r="C4732" t="str">
        <f>IFERROR(__xludf.DUMMYFUNCTION("GOOGLETRANSLATE(B4732, ""es"", ""en"")"),"Excellent Very good product.")</f>
        <v>Excellent Very good product.</v>
      </c>
    </row>
    <row r="4733">
      <c r="A4733" s="1">
        <v>5.0</v>
      </c>
      <c r="B4733" s="1" t="s">
        <v>4706</v>
      </c>
      <c r="C4733" t="str">
        <f>IFERROR(__xludf.DUMMYFUNCTION("GOOGLETRANSLATE(B4733, ""es"", ""en"")"),"Better than expected Although at first I found them a bit excessive and large, the truth that positions are very nice and apparent and cheer a lot.")</f>
        <v>Better than expected Although at first I found them a bit excessive and large, the truth that positions are very nice and apparent and cheer a lot.</v>
      </c>
    </row>
    <row r="4734">
      <c r="A4734" s="1">
        <v>2.0</v>
      </c>
      <c r="B4734" s="1" t="s">
        <v>4707</v>
      </c>
      <c r="C4734" t="str">
        <f>IFERROR(__xludf.DUMMYFUNCTION("GOOGLETRANSLATE(B4734, ""es"", ""en"")"),"Failure took less than a week with the robot and suddenly I put ""firmware update"" and has not returned to work. the red light flashing, you give clean, hard and nothing remains.")</f>
        <v>Failure took less than a week with the robot and suddenly I put "firmware update" and has not returned to work. the red light flashing, you give clean, hard and nothing remains.</v>
      </c>
    </row>
    <row r="4735">
      <c r="A4735" s="1">
        <v>3.0</v>
      </c>
      <c r="B4735" s="1" t="s">
        <v>4708</v>
      </c>
      <c r="C4735" t="str">
        <f>IFERROR(__xludf.DUMMYFUNCTION("GOOGLETRANSLATE(B4735, ""es"", ""en"")"),"Normal has a good price for the 32 GB you have, the problem is the writing speed, had problems with it, used to store video and capture 4k and I gave judgment for the problem of speed slow writing has, thanks Amazon who returned the money and I did not re"&amp;"turn the product.")</f>
        <v>Normal has a good price for the 32 GB you have, the problem is the writing speed, had problems with it, used to store video and capture 4k and I gave judgment for the problem of speed slow writing has, thanks Amazon who returned the money and I did not return the product.</v>
      </c>
    </row>
    <row r="4736">
      <c r="A4736" s="1">
        <v>3.0</v>
      </c>
      <c r="B4736" s="1" t="s">
        <v>4709</v>
      </c>
      <c r="C4736" t="str">
        <f>IFERROR(__xludf.DUMMYFUNCTION("GOOGLETRANSLATE(B4736, ""es"", ""en"")"),"It's very cool pretty well, save it for important things but if you look not so easy it sneaks a book. But does its job pretty")</f>
        <v>It's very cool pretty well, save it for important things but if you look not so easy it sneaks a book. But does its job pretty</v>
      </c>
    </row>
    <row r="4737">
      <c r="A4737" s="1">
        <v>1.0</v>
      </c>
      <c r="B4737" s="1" t="s">
        <v>4710</v>
      </c>
      <c r="C4737" t="str">
        <f>IFERROR(__xludf.DUMMYFUNCTION("GOOGLETRANSLATE(B4737, ""es"", ""en"")"),"Although milk leaves the anti-colic system goes well, the milk squirts out.")</f>
        <v>Although milk leaves the anti-colic system goes well, the milk squirts out.</v>
      </c>
    </row>
    <row r="4738">
      <c r="A4738" s="1">
        <v>1.0</v>
      </c>
      <c r="B4738" s="1" t="s">
        <v>4711</v>
      </c>
      <c r="C4738" t="str">
        <f>IFERROR(__xludf.DUMMYFUNCTION("GOOGLETRANSLATE(B4738, ""es"", ""en"")"),"Is a esrafa is a scam puts 1TB box but the hard drive is 256 MB")</f>
        <v>Is a esrafa is a scam puts 1TB box but the hard drive is 256 MB</v>
      </c>
    </row>
    <row r="4739">
      <c r="A4739" s="1">
        <v>4.0</v>
      </c>
      <c r="B4739" s="1" t="s">
        <v>4712</v>
      </c>
      <c r="C4739" t="str">
        <f>IFERROR(__xludf.DUMMYFUNCTION("GOOGLETRANSLATE(B4739, ""es"", ""en"")"),"Good product value the quality of the product is good value. The cable is short so an adapter is required. Moreover, the sound is not independiende for each channel is in stereo.")</f>
        <v>Good product value the quality of the product is good value. The cable is short so an adapter is required. Moreover, the sound is not independiende for each channel is in stereo.</v>
      </c>
    </row>
    <row r="4740">
      <c r="A4740" s="1">
        <v>4.0</v>
      </c>
      <c r="B4740" s="1" t="s">
        <v>4713</v>
      </c>
      <c r="C4740" t="str">
        <f>IFERROR(__xludf.DUMMYFUNCTION("GOOGLETRANSLATE(B4740, ""es"", ""en"")"),"Perfect Light and good power. Only has a speed of use. Good value for money")</f>
        <v>Perfect Light and good power. Only has a speed of use. Good value for money</v>
      </c>
    </row>
    <row r="4741">
      <c r="A4741" s="1">
        <v>4.0</v>
      </c>
      <c r="B4741" s="1" t="s">
        <v>4714</v>
      </c>
      <c r="C4741" t="str">
        <f>IFERROR(__xludf.DUMMYFUNCTION("GOOGLETRANSLATE(B4741, ""es"", ""en"")"),"Comfortable and well hey listen well, with whom I talk if I do not lie, say I also listen well, you do not notice you're wearing you, others if as it is quite big, but if you want a battery decent thing hold on, and a microphone to hear you well, all that"&amp;" needs space")</f>
        <v>Comfortable and well hey listen well, with whom I talk if I do not lie, say I also listen well, you do not notice you're wearing you, others if as it is quite big, but if you want a battery decent thing hold on, and a microphone to hear you well, all that needs space</v>
      </c>
    </row>
    <row r="4742">
      <c r="A4742" s="1">
        <v>4.0</v>
      </c>
      <c r="B4742" s="1" t="s">
        <v>4715</v>
      </c>
      <c r="C4742" t="str">
        <f>IFERROR(__xludf.DUMMYFUNCTION("GOOGLETRANSLATE(B4742, ""es"", ""en"")"),"Alicia Collects perfectly hairs of mascotas.Hace some noise, but it's pretty eficaz.Le lack a system to empty comfortably")</f>
        <v>Alicia Collects perfectly hairs of mascotas.Hace some noise, but it's pretty eficaz.Le lack a system to empty comfortably</v>
      </c>
    </row>
    <row r="4743">
      <c r="A4743" s="1">
        <v>4.0</v>
      </c>
      <c r="B4743" s="1" t="s">
        <v>4716</v>
      </c>
      <c r="C4743" t="str">
        <f>IFERROR(__xludf.DUMMYFUNCTION("GOOGLETRANSLATE(B4743, ""es"", ""en"")"),"The product works fine. It seems a bit pricey for what it is, a piece of cloth with hair. The size is perfect for Rodevideo Mic, not the Pro. It is more white than gray. In the picture looks darker than it really is.")</f>
        <v>The product works fine. It seems a bit pricey for what it is, a piece of cloth with hair. The size is perfect for Rodevideo Mic, not the Pro. It is more white than gray. In the picture looks darker than it really is.</v>
      </c>
    </row>
    <row r="4744">
      <c r="A4744" s="1">
        <v>5.0</v>
      </c>
      <c r="B4744" s="1" t="s">
        <v>4717</v>
      </c>
      <c r="C4744" t="str">
        <f>IFERROR(__xludf.DUMMYFUNCTION("GOOGLETRANSLATE(B4744, ""es"", ""en"")"),"Very comfortable Pleased with purchase. Very comfortable and durable.")</f>
        <v>Very comfortable Pleased with purchase. Very comfortable and durable.</v>
      </c>
    </row>
    <row r="4745">
      <c r="A4745" s="1">
        <v>5.0</v>
      </c>
      <c r="B4745" s="1" t="s">
        <v>4718</v>
      </c>
      <c r="C4745" t="str">
        <f>IFERROR(__xludf.DUMMYFUNCTION("GOOGLETRANSLATE(B4745, ""es"", ""en"")"),"Sound design and music for radio headphones are perfect for good and sturdy deporte.Diseño.")</f>
        <v>Sound design and music for radio headphones are perfect for good and sturdy deporte.Diseño.</v>
      </c>
    </row>
    <row r="4746">
      <c r="A4746" s="1">
        <v>5.0</v>
      </c>
      <c r="B4746" s="1" t="s">
        <v>4719</v>
      </c>
      <c r="C4746" t="str">
        <f>IFERROR(__xludf.DUMMYFUNCTION("GOOGLETRANSLATE(B4746, ""es"", ""en"")"),"Vans does not disappoint. Perfect and well priced, I saved me about 20 €. Of the few brands that make large numbers (my son is 47 and a foot wide) and out pretty good.")</f>
        <v>Vans does not disappoint. Perfect and well priced, I saved me about 20 €. Of the few brands that make large numbers (my son is 47 and a foot wide) and out pretty good.</v>
      </c>
    </row>
    <row r="4747">
      <c r="A4747" s="1">
        <v>5.0</v>
      </c>
      <c r="B4747" s="1" t="s">
        <v>4720</v>
      </c>
      <c r="C4747" t="str">
        <f>IFERROR(__xludf.DUMMYFUNCTION("GOOGLETRANSLATE(B4747, ""es"", ""en"")"),"Perfect for trekking If you like trekking or hiking or just hanging out in the field to give these boots around the Salomon brand are a perfect choice. Salomon is a world-class brand in the manufacture of products for trekking and hiking. His reputation i"&amp;"n the making of boots, boots and other materials designed to withstand the ravages of the weather comes from afar. These magnificent boots are lined on the outside fabric Gore-Tex, a material known that isolates the inside from the effects of moisture so "&amp;"that your feet are always dry. As in all boots trekking and hiking one of the things on which the first is fixed one is the drawing of the sole and rubber pads which have this pair of boots are well placed to highlight the two with the toe as part of the "&amp;"tread reinforcement when you're trying to go through steep terrain. Both the heel and at front loot is well protected but I miss a coating of skin on the toe as the only vamp is on the side and on more than one occasion I've stumbled upon a stone, branche"&amp;"s or logs and the coup has taken the instep for whatever reason and if the area is full of fabric is prone to scratches that rend the fabric. While I recognize that on the other side you have left entirely lined material had not transpire as well and the "&amp;"experience would be different. The design is another remarkable point being this very aggressive and is aesthetically very cool place and once combined with short tights that do not reach the ankle. You get a very nice look. It should also be noted that t"&amp;"he boots have a form somewhat narrow so if you have the walk a little fatter account will wear them cost and walk with them but eventually ahormaran your foot and you can enjoy the how they deserve. Very good.")</f>
        <v>Perfect for trekking If you like trekking or hiking or just hanging out in the field to give these boots around the Salomon brand are a perfect choice. Salomon is a world-class brand in the manufacture of products for trekking and hiking. His reputation in the making of boots, boots and other materials designed to withstand the ravages of the weather comes from afar. These magnificent boots are lined on the outside fabric Gore-Tex, a material known that isolates the inside from the effects of moisture so that your feet are always dry. As in all boots trekking and hiking one of the things on which the first is fixed one is the drawing of the sole and rubber pads which have this pair of boots are well placed to highlight the two with the toe as part of the tread reinforcement when you're trying to go through steep terrain. Both the heel and at front loot is well protected but I miss a coating of skin on the toe as the only vamp is on the side and on more than one occasion I've stumbled upon a stone, branches or logs and the coup has taken the instep for whatever reason and if the area is full of fabric is prone to scratches that rend the fabric. While I recognize that on the other side you have left entirely lined material had not transpire as well and the experience would be different. The design is another remarkable point being this very aggressive and is aesthetically very cool place and once combined with short tights that do not reach the ankle. You get a very nice look. It should also be noted that the boots have a form somewhat narrow so if you have the walk a little fatter account will wear them cost and walk with them but eventually ahormaran your foot and you can enjoy the how they deserve. Very good.</v>
      </c>
    </row>
    <row r="4748">
      <c r="A4748" s="1">
        <v>5.0</v>
      </c>
      <c r="B4748" s="1" t="s">
        <v>4721</v>
      </c>
      <c r="C4748" t="str">
        <f>IFERROR(__xludf.DUMMYFUNCTION("GOOGLETRANSLATE(B4748, ""es"", ""en"")"),"Very nice Las bought for my husband and he is very happy with them")</f>
        <v>Very nice Las bought for my husband and he is very happy with them</v>
      </c>
    </row>
    <row r="4749">
      <c r="A4749" s="1">
        <v>5.0</v>
      </c>
      <c r="B4749" s="1" t="s">
        <v>4722</v>
      </c>
      <c r="C4749" t="str">
        <f>IFERROR(__xludf.DUMMYFUNCTION("GOOGLETRANSLATE(B4749, ""es"", ""en"")"),"Very Good Value Very nice watch G-shock of daily use, I use it to work, the clock is exposed has vibration, dust, dirt, liquids, and most enduring hits and new. I am very happy with him and now is my favorite :) I highly recommend it in my profession, sin"&amp;"ce the countdown function with vibration alert the use between 25 and 100 times a day and I should be checking times of welding and this watch helps me a lot. the best in what I wanted with very satisfactory results, very good value.")</f>
        <v>Very Good Value Very nice watch G-shock of daily use, I use it to work, the clock is exposed has vibration, dust, dirt, liquids, and most enduring hits and new. I am very happy with him and now is my favorite :) I highly recommend it in my profession, since the countdown function with vibration alert the use between 25 and 100 times a day and I should be checking times of welding and this watch helps me a lot. the best in what I wanted with very satisfactory results, very good value.</v>
      </c>
    </row>
    <row r="4750">
      <c r="A4750" s="1">
        <v>5.0</v>
      </c>
      <c r="B4750" s="1" t="s">
        <v>4723</v>
      </c>
      <c r="C4750" t="str">
        <f>IFERROR(__xludf.DUMMYFUNCTION("GOOGLETRANSLATE(B4750, ""es"", ""en"")"),"Money Quality-price 10. Nice finish and perfect functionality. It was what I wanted and at a affordable price. recommendable")</f>
        <v>Money Quality-price 10. Nice finish and perfect functionality. It was what I wanted and at a affordable price. recommendable</v>
      </c>
    </row>
    <row r="4751">
      <c r="A4751" s="1">
        <v>5.0</v>
      </c>
      <c r="B4751" s="1" t="s">
        <v>4724</v>
      </c>
      <c r="C4751" t="str">
        <f>IFERROR(__xludf.DUMMYFUNCTION("GOOGLETRANSLATE(B4751, ""es"", ""en"")"),"The best headphones I've had for this price I can think of few better headphones. The sound is perfect for the type of music I listen to, it does not require powerful bass pounding head. They are very comfortable and also to be folded.")</f>
        <v>The best headphones I've had for this price I can think of few better headphones. The sound is perfect for the type of music I listen to, it does not require powerful bass pounding head. They are very comfortable and also to be folded.</v>
      </c>
    </row>
    <row r="4752">
      <c r="A4752" s="1">
        <v>5.0</v>
      </c>
      <c r="B4752" s="1" t="s">
        <v>4725</v>
      </c>
      <c r="C4752" t="str">
        <f>IFERROR(__xludf.DUMMYFUNCTION("GOOGLETRANSLATE(B4752, ""es"", ""en"")"),"ESTUCHE generous case wide to save everything you need. Good quality product and hope it lasts much !!! Great for my son")</f>
        <v>ESTUCHE generous case wide to save everything you need. Good quality product and hope it lasts much !!! Great for my son</v>
      </c>
    </row>
    <row r="4753">
      <c r="A4753" s="1">
        <v>5.0</v>
      </c>
      <c r="B4753" s="1" t="s">
        <v>4726</v>
      </c>
      <c r="C4753" t="str">
        <f>IFERROR(__xludf.DUMMYFUNCTION("GOOGLETRANSLATE(B4753, ""es"", ""en"")"),"All very happy with the product well: teats have the perfect flow so that the baby does not choke and bottles are typical of Medela. In fact, to me personally, the quality Medela I really like, so every purchase is a wise move.")</f>
        <v>All very happy with the product well: teats have the perfect flow so that the baby does not choke and bottles are typical of Medela. In fact, to me personally, the quality Medela I really like, so every purchase is a wise move.</v>
      </c>
    </row>
    <row r="4754">
      <c r="A4754" s="1">
        <v>5.0</v>
      </c>
      <c r="B4754" s="1" t="s">
        <v>4727</v>
      </c>
      <c r="C4754" t="str">
        <f>IFERROR(__xludf.DUMMYFUNCTION("GOOGLETRANSLATE(B4754, ""es"", ""en"")"),"Ok As I expected")</f>
        <v>Ok As I expected</v>
      </c>
    </row>
    <row r="4755">
      <c r="A4755" s="1">
        <v>5.0</v>
      </c>
      <c r="B4755" s="1" t="s">
        <v>4728</v>
      </c>
      <c r="C4755" t="str">
        <f>IFERROR(__xludf.DUMMYFUNCTION("GOOGLETRANSLATE(B4755, ""es"", ""en"")"),"Very good quality / price. The truth is that surprised me a lot these cables, the finishes are really good and very clean sound, is just what I was looking for, highly recommended.")</f>
        <v>Very good quality / price. The truth is that surprised me a lot these cables, the finishes are really good and very clean sound, is just what I was looking for, highly recommended.</v>
      </c>
    </row>
    <row r="4756">
      <c r="A4756" s="1">
        <v>5.0</v>
      </c>
      <c r="B4756" s="1" t="s">
        <v>4729</v>
      </c>
      <c r="C4756" t="str">
        <f>IFERROR(__xludf.DUMMYFUNCTION("GOOGLETRANSLATE(B4756, ""es"", ""en"")"),"Comfort and good cleaning What I like most is that no ay to do adominal force me to buy it because I operated on ernia navel and groin and with this mop only ay to push a little with the palm of your hand and give foot ..primeros days with shoelaces lol b"&amp;"ut leaves me delighted and very good ground handle small for tall people ..")</f>
        <v>Comfort and good cleaning What I like most is that no ay to do adominal force me to buy it because I operated on ernia navel and groin and with this mop only ay to push a little with the palm of your hand and give foot ..primeros days with shoelaces lol but leaves me delighted and very good ground handle small for tall people ..</v>
      </c>
    </row>
    <row r="4757">
      <c r="A4757" s="1">
        <v>5.0</v>
      </c>
      <c r="B4757" s="1" t="s">
        <v>4730</v>
      </c>
      <c r="C4757" t="str">
        <f>IFERROR(__xludf.DUMMYFUNCTION("GOOGLETRANSLATE(B4757, ""es"", ""en"")"),"Small, durable and manageable is a very small SSD speed, high capacity (500GB - 550MB / s). Very useful for carrying amount of GB from here to there. The only downside is that it does not work is media such as TV or multimedia players, that if, in Windows"&amp;" 7, Windows 10 and Mac everything perfect.")</f>
        <v>Small, durable and manageable is a very small SSD speed, high capacity (500GB - 550MB / s). Very useful for carrying amount of GB from here to there. The only downside is that it does not work is media such as TV or multimedia players, that if, in Windows 7, Windows 10 and Mac everything perfect.</v>
      </c>
    </row>
    <row r="4758">
      <c r="A4758" s="1">
        <v>5.0</v>
      </c>
      <c r="B4758" s="1" t="s">
        <v>4731</v>
      </c>
      <c r="C4758" t="str">
        <f>IFERROR(__xludf.DUMMYFUNCTION("GOOGLETRANSLATE(B4758, ""es"", ""en"")"),"At the beginning very comfortable misses you a little rebound effect of the sole, but then you get used and are very comfortable. A good buy")</f>
        <v>At the beginning very comfortable misses you a little rebound effect of the sole, but then you get used and are very comfortable. A good buy</v>
      </c>
    </row>
    <row r="4759">
      <c r="A4759" s="1">
        <v>5.0</v>
      </c>
      <c r="B4759" s="1" t="s">
        <v>4732</v>
      </c>
      <c r="C4759" t="str">
        <f>IFERROR(__xludf.DUMMYFUNCTION("GOOGLETRANSLATE(B4759, ""es"", ""en"")"),"Value is pretty great as all UA products. Recommended and nice.")</f>
        <v>Value is pretty great as all UA products. Recommended and nice.</v>
      </c>
    </row>
    <row r="4760">
      <c r="A4760" s="1">
        <v>5.0</v>
      </c>
      <c r="B4760" s="1" t="s">
        <v>4733</v>
      </c>
      <c r="C4760" t="str">
        <f>IFERROR(__xludf.DUMMYFUNCTION("GOOGLETRANSLATE(B4760, ""es"", ""en"")"),"Everything perfect and fast I'll use it for filing this year. Separate subjects or subjects has come very fast.")</f>
        <v>Everything perfect and fast I'll use it for filing this year. Separate subjects or subjects has come very fast.</v>
      </c>
    </row>
    <row r="4761">
      <c r="A4761" s="1">
        <v>5.0</v>
      </c>
      <c r="B4761" s="1" t="s">
        <v>4734</v>
      </c>
      <c r="C4761" t="str">
        <f>IFERROR(__xludf.DUMMYFUNCTION("GOOGLETRANSLATE(B4761, ""es"", ""en"")"),"Ideal gift Very nice and comfortable. Adjusted number order one size more and acertarás")</f>
        <v>Ideal gift Very nice and comfortable. Adjusted number order one size more and acertarás</v>
      </c>
    </row>
    <row r="4762">
      <c r="A4762" s="1">
        <v>5.0</v>
      </c>
      <c r="B4762" s="1" t="s">
        <v>4735</v>
      </c>
      <c r="C4762" t="str">
        <f>IFERROR(__xludf.DUMMYFUNCTION("GOOGLETRANSLATE(B4762, ""es"", ""en"")"),"Maximum comfort Very comfortable, even for very delicate feet and always they have to wear orthopedic.")</f>
        <v>Maximum comfort Very comfortable, even for very delicate feet and always they have to wear orthopedic.</v>
      </c>
    </row>
    <row r="4763">
      <c r="A4763" s="1">
        <v>2.0</v>
      </c>
      <c r="B4763" s="1" t="s">
        <v>4736</v>
      </c>
      <c r="C4763" t="str">
        <f>IFERROR(__xludf.DUMMYFUNCTION("GOOGLETRANSLATE(B4763, ""es"", ""en"")"),"No small cups fabric stiff and is not adapted to small cups as indicated. He did not like me.")</f>
        <v>No small cups fabric stiff and is not adapted to small cups as indicated. He did not like me.</v>
      </c>
    </row>
    <row r="4764">
      <c r="A4764" s="1">
        <v>3.0</v>
      </c>
      <c r="B4764" s="1" t="s">
        <v>4737</v>
      </c>
      <c r="C4764" t="str">
        <f>IFERROR(__xludf.DUMMYFUNCTION("GOOGLETRANSLATE(B4764, ""es"", ""en"")"),"Good driver but maybe too small and lag The keyboard itself is fine has good size perhaps throwing too small but the biggest problem is that I to the less I go with Lag to the press multiple keys or type I fast the next note was heard looser so on until h"&amp;"ardly heard or that note was jumping, I thought it might be a thing of the Software (FL STUDIO) or hardware but the change by another controller of another brand that was solved, the new sounds without problem and without lag and practically the same nois"&amp;"e level.")</f>
        <v>Good driver but maybe too small and lag The keyboard itself is fine has good size perhaps throwing too small but the biggest problem is that I to the less I go with Lag to the press multiple keys or type I fast the next note was heard looser so on until hardly heard or that note was jumping, I thought it might be a thing of the Software (FL STUDIO) or hardware but the change by another controller of another brand that was solved, the new sounds without problem and without lag and practically the same noise level.</v>
      </c>
    </row>
    <row r="4765">
      <c r="A4765" s="1">
        <v>3.0</v>
      </c>
      <c r="B4765" s="1" t="s">
        <v>4738</v>
      </c>
      <c r="C4765" t="str">
        <f>IFERROR(__xludf.DUMMYFUNCTION("GOOGLETRANSLATE(B4765, ""es"", ""en"")"),"It's pretty simple but does what it needed is nice and well finished. It takes a while to arrive. very affordable price can not ask for more. Very correct")</f>
        <v>It's pretty simple but does what it needed is nice and well finished. It takes a while to arrive. very affordable price can not ask for more. Very correct</v>
      </c>
    </row>
    <row r="4766">
      <c r="A4766" s="1">
        <v>1.0</v>
      </c>
      <c r="B4766" s="1" t="s">
        <v>4739</v>
      </c>
      <c r="C4766" t="str">
        <f>IFERROR(__xludf.DUMMYFUNCTION("GOOGLETRANSLATE(B4766, ""es"", ""en"")"),"They are not original I have the originals that came with the S9 and they have nothing to do with sound quality and materials. I understand that for the price they are not, but that I know now when I saw what they cost, after buying these. But do not put "&amp;"original, to put cheap fake.")</f>
        <v>They are not original I have the originals that came with the S9 and they have nothing to do with sound quality and materials. I understand that for the price they are not, but that I know now when I saw what they cost, after buying these. But do not put original, to put cheap fake.</v>
      </c>
    </row>
    <row r="4767">
      <c r="A4767" s="1">
        <v>1.0</v>
      </c>
      <c r="B4767" s="1" t="s">
        <v>4740</v>
      </c>
      <c r="C4767" t="str">
        <f>IFERROR(__xludf.DUMMYFUNCTION("GOOGLETRANSLATE(B4767, ""es"", ""en"")"),"It has not helped me not escompatible with other brands of bottles. Only it serves for Avent bottles. I could not make it serve as I have another brand of baby bottles.")</f>
        <v>It has not helped me not escompatible with other brands of bottles. Only it serves for Avent bottles. I could not make it serve as I have another brand of baby bottles.</v>
      </c>
    </row>
    <row r="4768">
      <c r="A4768" s="1">
        <v>1.0</v>
      </c>
      <c r="B4768" s="1" t="s">
        <v>4741</v>
      </c>
      <c r="C4768" t="str">
        <f>IFERROR(__xludf.DUMMYFUNCTION("GOOGLETRANSLATE(B4768, ""es"", ""en"")"),"Fiasco! Very careful not to use thick gloves because the product fibers are stuck like pins causing a lot of pain and very fine prásticamente are impossible to remove. I do not recommend, therefore also not clean as far explains the seller.")</f>
        <v>Fiasco! Very careful not to use thick gloves because the product fibers are stuck like pins causing a lot of pain and very fine prásticamente are impossible to remove. I do not recommend, therefore also not clean as far explains the seller.</v>
      </c>
    </row>
    <row r="4769">
      <c r="A4769" s="1">
        <v>4.0</v>
      </c>
      <c r="B4769" s="1" t="s">
        <v>4742</v>
      </c>
      <c r="C4769" t="str">
        <f>IFERROR(__xludf.DUMMYFUNCTION("GOOGLETRANSLATE(B4769, ""es"", ""en"")"),"Very useful when I used two units and all good. The only thing that maybe it would be a very useful 'recipes' también🙂")</f>
        <v>Very useful when I used two units and all good. The only thing that maybe it would be a very useful 'recipes' también🙂</v>
      </c>
    </row>
    <row r="4770">
      <c r="A4770" s="1">
        <v>4.0</v>
      </c>
      <c r="B4770" s="1" t="s">
        <v>4743</v>
      </c>
      <c r="C4770" t="str">
        <f>IFERROR(__xludf.DUMMYFUNCTION("GOOGLETRANSLATE(B4770, ""es"", ""en"")"),"Rasca well, and it is not possible to do Useful damage. I will be brief, practical, not click so it can not hurt, and it just scratches without hurting or leave marks.")</f>
        <v>Rasca well, and it is not possible to do Useful damage. I will be brief, practical, not click so it can not hurt, and it just scratches without hurting or leave marks.</v>
      </c>
    </row>
    <row r="4771">
      <c r="A4771" s="1">
        <v>4.0</v>
      </c>
      <c r="B4771" s="1" t="s">
        <v>4744</v>
      </c>
      <c r="C4771" t="str">
        <f>IFERROR(__xludf.DUMMYFUNCTION("GOOGLETRANSLATE(B4771, ""es"", ""en"")"),"As expected!!! Exlente, high quality and product arrived a day earlier.")</f>
        <v>As expected!!! Exlente, high quality and product arrived a day earlier.</v>
      </c>
    </row>
    <row r="4772">
      <c r="A4772" s="1">
        <v>4.0</v>
      </c>
      <c r="B4772" s="1" t="s">
        <v>4745</v>
      </c>
      <c r="C4772" t="str">
        <f>IFERROR(__xludf.DUMMYFUNCTION("GOOGLETRANSLATE(B4772, ""es"", ""en"")"),"I expected right")</f>
        <v>I expected right</v>
      </c>
    </row>
    <row r="4773">
      <c r="A4773" s="1">
        <v>5.0</v>
      </c>
      <c r="B4773" s="1" t="s">
        <v>4746</v>
      </c>
      <c r="C4773" t="str">
        <f>IFERROR(__xludf.DUMMYFUNCTION("GOOGLETRANSLATE(B4773, ""es"", ""en"")"),"I'm happy the truth, although I remain a little loose, they have exceeded my expectations. I'm very happy")</f>
        <v>I'm happy the truth, although I remain a little loose, they have exceeded my expectations. I'm very happy</v>
      </c>
    </row>
    <row r="4774">
      <c r="A4774" s="1">
        <v>5.0</v>
      </c>
      <c r="B4774" s="1" t="s">
        <v>4747</v>
      </c>
      <c r="C4774" t="str">
        <f>IFERROR(__xludf.DUMMYFUNCTION("GOOGLETRANSLATE(B4774, ""es"", ""en"")"),"great for preparing smoothies I use very often to prepare my protein shakes, and also what I liked most is that it is very easy to clean.")</f>
        <v>great for preparing smoothies I use very often to prepare my protein shakes, and also what I liked most is that it is very easy to clean.</v>
      </c>
    </row>
    <row r="4775">
      <c r="A4775" s="1">
        <v>5.0</v>
      </c>
      <c r="B4775" s="1" t="s">
        <v>4748</v>
      </c>
      <c r="C4775" t="str">
        <f>IFERROR(__xludf.DUMMYFUNCTION("GOOGLETRANSLATE(B4775, ""es"", ""en"")"),"Cracking comfort, binitas and comfortable, can not ask more of a shoe.")</f>
        <v>Cracking comfort, binitas and comfortable, can not ask more of a shoe.</v>
      </c>
    </row>
    <row r="4776">
      <c r="A4776" s="1">
        <v>5.0</v>
      </c>
      <c r="B4776" s="1" t="s">
        <v>4749</v>
      </c>
      <c r="C4776" t="str">
        <f>IFERROR(__xludf.DUMMYFUNCTION("GOOGLETRANSLATE(B4776, ""es"", ""en"")"),"Best kitchen assistant 😘😘😍 The best machine makes me love her all my stay 🚨😍😍😍 definitely makes some carrots shaven fine to the French style I love carrot salad with this machine thanks Amazon")</f>
        <v>Best kitchen assistant 😘😘😍 The best machine makes me love her all my stay 🚨😍😍😍 definitely makes some carrots shaven fine to the French style I love carrot salad with this machine thanks Amazon</v>
      </c>
    </row>
    <row r="4777">
      <c r="A4777" s="1">
        <v>5.0</v>
      </c>
      <c r="B4777" s="1" t="s">
        <v>4750</v>
      </c>
      <c r="C4777" t="str">
        <f>IFERROR(__xludf.DUMMYFUNCTION("GOOGLETRANSLATE(B4777, ""es"", ""en"")"),"Tajetas fast UHS II already are several cards that have this type and frabricante. At the moment I have not failed and cumnplen with my expectations. Needed more storage")</f>
        <v>Tajetas fast UHS II already are several cards that have this type and frabricante. At the moment I have not failed and cumnplen with my expectations. Needed more storage</v>
      </c>
    </row>
    <row r="4778">
      <c r="A4778" s="1">
        <v>5.0</v>
      </c>
      <c r="B4778" s="1" t="s">
        <v>4751</v>
      </c>
      <c r="C4778" t="str">
        <f>IFERROR(__xludf.DUMMYFUNCTION("GOOGLETRANSLATE(B4778, ""es"", ""en"")"),"Very good and takes up little space, very well to transport I bought this lectern to study both at home and in college and was a success, in fact I have 2, one for me and one my partner, very happy, hold regular books without problem and if you close it o"&amp;"ccupies roughly the same space as a book, fits in backpack without problems.")</f>
        <v>Very good and takes up little space, very well to transport I bought this lectern to study both at home and in college and was a success, in fact I have 2, one for me and one my partner, very happy, hold regular books without problem and if you close it occupies roughly the same space as a book, fits in backpack without problems.</v>
      </c>
    </row>
    <row r="4779">
      <c r="A4779" s="1">
        <v>5.0</v>
      </c>
      <c r="B4779" s="1" t="s">
        <v>4752</v>
      </c>
      <c r="C4779" t="str">
        <f>IFERROR(__xludf.DUMMYFUNCTION("GOOGLETRANSLATE(B4779, ""es"", ""en"")"),"I love them very comfortable, cute and durable. Very original. You can use them yet not I have seen anyone. Very happy with the purchase . The have about 3 years ago, I got into the washing machine a thousand times and are intact")</f>
        <v>I love them very comfortable, cute and durable. Very original. You can use them yet not I have seen anyone. Very happy with the purchase . The have about 3 years ago, I got into the washing machine a thousand times and are intact</v>
      </c>
    </row>
    <row r="4780">
      <c r="A4780" s="1">
        <v>5.0</v>
      </c>
      <c r="B4780" s="1" t="s">
        <v>4753</v>
      </c>
      <c r="C4780" t="str">
        <f>IFERROR(__xludf.DUMMYFUNCTION("GOOGLETRANSLATE(B4780, ""es"", ""en"")"),"Fantastic seems incredible how quickly cleaned everything with this. I is very convenient to use because it rotates intuitively. I also bought a crystal there for and I do not like anything that does not rotate like this, which also use it for crystals. W"&amp;"hen I get very dirty wash it by hand if required rub. Otherwise, you can also get into the washing machine.")</f>
        <v>Fantastic seems incredible how quickly cleaned everything with this. I is very convenient to use because it rotates intuitively. I also bought a crystal there for and I do not like anything that does not rotate like this, which also use it for crystals. When I get very dirty wash it by hand if required rub. Otherwise, you can also get into the washing machine.</v>
      </c>
    </row>
    <row r="4781">
      <c r="A4781" s="1">
        <v>5.0</v>
      </c>
      <c r="B4781" s="1" t="s">
        <v>4754</v>
      </c>
      <c r="C4781" t="str">
        <f>IFERROR(__xludf.DUMMYFUNCTION("GOOGLETRANSLATE(B4781, ""es"", ""en"")"),"Gift I've purchased for a gift of kings, I needed help with the theme of the carvings, but I have not had any problems with them. Recommendable.")</f>
        <v>Gift I've purchased for a gift of kings, I needed help with the theme of the carvings, but I have not had any problems with them. Recommendable.</v>
      </c>
    </row>
    <row r="4782">
      <c r="A4782" s="1">
        <v>5.0</v>
      </c>
      <c r="B4782" s="1" t="s">
        <v>4755</v>
      </c>
      <c r="C4782" t="str">
        <f>IFERROR(__xludf.DUMMYFUNCTION("GOOGLETRANSLATE(B4782, ""es"", ""en"")"),"Comfortable and practical, easy assembly. I recommend it. I am very happy with this purchase, not only because I could take advantage of an offer of the prime day, is very practical. Really convenient to have on hand without taking up space the three type"&amp;"s of paper. It helps cut more easily. The assembly and positioning are very simple. I recommend it")</f>
        <v>Comfortable and practical, easy assembly. I recommend it. I am very happy with this purchase, not only because I could take advantage of an offer of the prime day, is very practical. Really convenient to have on hand without taking up space the three types of paper. It helps cut more easily. The assembly and positioning are very simple. I recommend it</v>
      </c>
    </row>
    <row r="4783">
      <c r="A4783" s="1">
        <v>5.0</v>
      </c>
      <c r="B4783" s="1" t="s">
        <v>4756</v>
      </c>
      <c r="C4783" t="str">
        <f>IFERROR(__xludf.DUMMYFUNCTION("GOOGLETRANSLATE(B4783, ""es"", ""en"")"),"The description as it arrived well and in the expected time. Van great and fits perfectly tailored bracelet wrist with a device that brings.")</f>
        <v>The description as it arrived well and in the expected time. Van great and fits perfectly tailored bracelet wrist with a device that brings.</v>
      </c>
    </row>
    <row r="4784">
      <c r="A4784" s="1">
        <v>5.0</v>
      </c>
      <c r="B4784" s="1" t="s">
        <v>4757</v>
      </c>
      <c r="C4784" t="str">
        <f>IFERROR(__xludf.DUMMYFUNCTION("GOOGLETRANSLATE(B4784, ""es"", ""en"")"),"Deebot I not know and I was very surprised! He was torn between similar models like the robot xiaomi roborock s50, but I decided on this because it has two front brushes and although normally this is worth more, if you buy in flash deal comes cheaper. Whe"&amp;"n I received the Deebot notice anything more open that it is a quality product and robust, easy to implement, you just have to take a couple of gums and fit brushes and mop if you want to use. You can use it without the option of scrubbing, but once you f"&amp;"ill the water tank and fit into the deebot this is ready to scrub in the app will appear a few drops and options can select the amount of water you want to go dosing. In my case the dais select the minimum and the truth is that it is very effective and do"&amp;"es not leave the floor with excess water through the system Ozmo only equips this robot. The emptying of the waste container is very simple, the top cover is lifted up and is extracted very easily. It has high capacity in a month that I have and using it "&amp;"daily in 80m2 emptiness once a week and is not full yet. So it is advisable to clean the bottom brush the least once a week because usually stay long tangled hair, but if you have animals brings an accessory that eliminates the central roller and sweeps w"&amp;"ith rotating brushes and center just sucks, so avoid jams with hairs maintaining effectiveness. Furthermore the app you have a section that tells you use your brushes with accessories, filters etc .... the app notifies you when you have to replace them. I"&amp;"n my case I am using it almost every day in a month I still use 93% of what I suppose alert in about a year, although that will depend on the visual aspect that we appreciate these consumables to determine when to replace them. As for autonomy I have not "&amp;"led to the limit but with 80m2 fails to consume half the battery. The theme of the mapping is amazing, when you put up runs throughout your house and draw a virtual map on the app, you can see at all times where you are and what you have left, you can sel"&amp;"ect the room or rooms you want to clean and then return to its base. Thanks to this mapping makes cleaning effectively and efficiently saving energy and avoiding getting stuck in one room hours. You can control it from the app wherever you are and see whe"&amp;"re you work. When you leave a resting zzz indicating that you are sleeping. And if you do not know where you press deebot locate an option and speaks to you telling you where it is. In summary, the robot vacuum cleaner best value for money.")</f>
        <v>Deebot I not know and I was very surprised! He was torn between similar models like the robot xiaomi roborock s50, but I decided on this because it has two front brushes and although normally this is worth more, if you buy in flash deal comes cheaper. When I received the Deebot notice anything more open that it is a quality product and robust, easy to implement, you just have to take a couple of gums and fit brushes and mop if you want to use. You can use it without the option of scrubbing, but once you fill the water tank and fit into the deebot this is ready to scrub in the app will appear a few drops and options can select the amount of water you want to go dosing. In my case the dais select the minimum and the truth is that it is very effective and does not leave the floor with excess water through the system Ozmo only equips this robot. The emptying of the waste container is very simple, the top cover is lifted up and is extracted very easily. It has high capacity in a month that I have and using it daily in 80m2 emptiness once a week and is not full yet. So it is advisable to clean the bottom brush the least once a week because usually stay long tangled hair, but if you have animals brings an accessory that eliminates the central roller and sweeps with rotating brushes and center just sucks, so avoid jams with hairs maintaining effectiveness. Furthermore the app you have a section that tells you use your brushes with accessories, filters etc .... the app notifies you when you have to replace them. In my case I am using it almost every day in a month I still use 93% of what I suppose alert in about a year, although that will depend on the visual aspect that we appreciate these consumables to determine when to replace them. As for autonomy I have not led to the limit but with 80m2 fails to consume half the battery. The theme of the mapping is amazing, when you put up runs throughout your house and draw a virtual map on the app, you can see at all times where you are and what you have left, you can select the room or rooms you want to clean and then return to its base. Thanks to this mapping makes cleaning effectively and efficiently saving energy and avoiding getting stuck in one room hours. You can control it from the app wherever you are and see where you work. When you leave a resting zzz indicating that you are sleeping. And if you do not know where you press deebot locate an option and speaks to you telling you where it is. In summary, the robot vacuum cleaner best value for money.</v>
      </c>
    </row>
    <row r="4785">
      <c r="A4785" s="1">
        <v>5.0</v>
      </c>
      <c r="B4785" s="1" t="s">
        <v>4758</v>
      </c>
      <c r="C4785" t="str">
        <f>IFERROR(__xludf.DUMMYFUNCTION("GOOGLETRANSLATE(B4785, ""es"", ""en"")"),"Good shoes all right. Great value for the price.")</f>
        <v>Good shoes all right. Great value for the price.</v>
      </c>
    </row>
    <row r="4786">
      <c r="A4786" s="1">
        <v>5.0</v>
      </c>
      <c r="B4786" s="1" t="s">
        <v>4759</v>
      </c>
      <c r="C4786" t="str">
        <f>IFERROR(__xludf.DUMMYFUNCTION("GOOGLETRANSLATE(B4786, ""es"", ""en"")"),"Very good very good quality and corresponds to the supply and purchase. It is reversible. Has a very good fall to the wear it")</f>
        <v>Very good very good quality and corresponds to the supply and purchase. It is reversible. Has a very good fall to the wear it</v>
      </c>
    </row>
    <row r="4787">
      <c r="A4787" s="1">
        <v>5.0</v>
      </c>
      <c r="B4787" s="1" t="s">
        <v>4760</v>
      </c>
      <c r="C4787" t="str">
        <f>IFERROR(__xludf.DUMMYFUNCTION("GOOGLETRANSLATE(B4787, ""es"", ""en"")"),"Very good and well made with good materials")</f>
        <v>Very good and well made with good materials</v>
      </c>
    </row>
    <row r="4788">
      <c r="A4788" s="1">
        <v>5.0</v>
      </c>
      <c r="B4788" s="1" t="s">
        <v>4761</v>
      </c>
      <c r="C4788" t="str">
        <f>IFERROR(__xludf.DUMMYFUNCTION("GOOGLETRANSLATE(B4788, ""es"", ""en"")"),"I take work I was pleasantly surprised. I did not think it would work really well. Outwardly it does not seem very robust but it makes me a great role for me going home scouring the sector. A day playing the lounge the other day the hall and touches me so"&amp;" I organized and I also take a job and leave it dry mopping and unblemished. You have to be careful what it stop with the least possible obstacles so when I put it in a space before the tables turn away the chairs of the place so he can wash his breath an"&amp;"d let all good clean. The only downside is that the battery lasts two hours very little to do several rooms in one day so I'm thinking about buying another battery and swap over one load while the other works")</f>
        <v>I take work I was pleasantly surprised. I did not think it would work really well. Outwardly it does not seem very robust but it makes me a great role for me going home scouring the sector. A day playing the lounge the other day the hall and touches me so I organized and I also take a job and leave it dry mopping and unblemished. You have to be careful what it stop with the least possible obstacles so when I put it in a space before the tables turn away the chairs of the place so he can wash his breath and let all good clean. The only downside is that the battery lasts two hours very little to do several rooms in one day so I'm thinking about buying another battery and swap over one load while the other works</v>
      </c>
    </row>
    <row r="4789">
      <c r="A4789" s="1">
        <v>5.0</v>
      </c>
      <c r="B4789" s="1" t="s">
        <v>4762</v>
      </c>
      <c r="C4789" t="str">
        <f>IFERROR(__xludf.DUMMYFUNCTION("GOOGLETRANSLATE(B4789, ""es"", ""en"")"),"Ideals are very cool, comfortable and practical. He loves everyone q showed them. a greeting")</f>
        <v>Ideals are very cool, comfortable and practical. He loves everyone q showed them. a greeting</v>
      </c>
    </row>
    <row r="4790">
      <c r="A4790" s="1">
        <v>5.0</v>
      </c>
      <c r="B4790" s="1" t="s">
        <v>4763</v>
      </c>
      <c r="C4790" t="str">
        <f>IFERROR(__xludf.DUMMYFUNCTION("GOOGLETRANSLATE(B4790, ""es"", ""en"")"),"The shipment arrived everything perfect when to arrive and the product is simply sold. Original, well finished and with the perfect number (which was what scared me a bit). All pefect !!")</f>
        <v>The shipment arrived everything perfect when to arrive and the product is simply sold. Original, well finished and with the perfect number (which was what scared me a bit). All pefect !!</v>
      </c>
    </row>
    <row r="4791">
      <c r="A4791" s="1">
        <v>2.0</v>
      </c>
      <c r="B4791" s="1" t="s">
        <v>4764</v>
      </c>
      <c r="C4791" t="str">
        <f>IFERROR(__xludf.DUMMYFUNCTION("GOOGLETRANSLATE(B4791, ""es"", ""en"")"),"It gives little size. The fabric well but gives little size. Still being thin is too close.")</f>
        <v>It gives little size. The fabric well but gives little size. Still being thin is too close.</v>
      </c>
    </row>
    <row r="4792">
      <c r="A4792" s="1">
        <v>3.0</v>
      </c>
      <c r="B4792" s="1" t="s">
        <v>4765</v>
      </c>
      <c r="C4792" t="str">
        <f>IFERROR(__xludf.DUMMYFUNCTION("GOOGLETRANSLATE(B4792, ""es"", ""en"")"),"Good size too big, maybe too big. Very plasticky and what it is not bear the backlight, as a strong light showed in the middle that barely illuminated the rest killing me. The unit arrived I had a digit cque not fully lit and switch to another slightly sm"&amp;"aller")</f>
        <v>Good size too big, maybe too big. Very plasticky and what it is not bear the backlight, as a strong light showed in the middle that barely illuminated the rest killing me. The unit arrived I had a digit cque not fully lit and switch to another slightly smaller</v>
      </c>
    </row>
    <row r="4793">
      <c r="A4793" s="1">
        <v>3.0</v>
      </c>
      <c r="B4793" s="1" t="s">
        <v>4766</v>
      </c>
      <c r="C4793" t="str">
        <f>IFERROR(__xludf.DUMMYFUNCTION("GOOGLETRANSLATE(B4793, ""es"", ""en"")"),"Problems cloning a disk 10 for the SSD but 0 for WD. The application downloads the page you from WD to clone the hard drive does not work (Acronis WD Edition). Computer crashes and gives errors SSD sectors. After try everything and lose 1 full day I had t"&amp;"o resort to a friend who has the 2018 Acronis full, and so without problems. I nearly SSD back, thought it was defective. By the way, my laptop risen, it's amazing how I improved with the installation of a solid disk.")</f>
        <v>Problems cloning a disk 10 for the SSD but 0 for WD. The application downloads the page you from WD to clone the hard drive does not work (Acronis WD Edition). Computer crashes and gives errors SSD sectors. After try everything and lose 1 full day I had to resort to a friend who has the 2018 Acronis full, and so without problems. I nearly SSD back, thought it was defective. By the way, my laptop risen, it's amazing how I improved with the installation of a solid disk.</v>
      </c>
    </row>
    <row r="4794">
      <c r="A4794" s="1">
        <v>1.0</v>
      </c>
      <c r="B4794" s="1" t="s">
        <v>4767</v>
      </c>
      <c r="C4794" t="str">
        <f>IFERROR(__xludf.DUMMYFUNCTION("GOOGLETRANSLATE(B4794, ""es"", ""en"")"),"How badly carved come deformed and with different pattern")</f>
        <v>How badly carved come deformed and with different pattern</v>
      </c>
    </row>
    <row r="4795">
      <c r="A4795" s="1">
        <v>1.0</v>
      </c>
      <c r="B4795" s="1" t="s">
        <v>4768</v>
      </c>
      <c r="C4795" t="str">
        <f>IFERROR(__xludf.DUMMYFUNCTION("GOOGLETRANSLATE(B4795, ""es"", ""en"")"),"decepcion poor quality, cutting marks and repair itself, no nothing erases")</f>
        <v>decepcion poor quality, cutting marks and repair itself, no nothing erases</v>
      </c>
    </row>
    <row r="4796">
      <c r="A4796" s="1">
        <v>4.0</v>
      </c>
      <c r="B4796" s="1" t="s">
        <v>4769</v>
      </c>
      <c r="C4796" t="str">
        <f>IFERROR(__xludf.DUMMYFUNCTION("GOOGLETRANSLATE(B4796, ""es"", ""en"")"),"It is very fair subject perfectly but for sport is fantastic. Great subject")</f>
        <v>It is very fair subject perfectly but for sport is fantastic. Great subject</v>
      </c>
    </row>
    <row r="4797">
      <c r="A4797" s="1">
        <v>4.0</v>
      </c>
      <c r="B4797" s="1" t="s">
        <v>4770</v>
      </c>
      <c r="C4797" t="str">
        <f>IFERROR(__xludf.DUMMYFUNCTION("GOOGLETRANSLATE(B4797, ""es"", ""en"")"),"excellent coffee &lt;div id = ""video-block-R1TWCFZPNA19P6"" class = ""a-section a-spacing-small a-spacing-top mini video-block""&gt; &lt;div tabindex = ""0"" class = ""airy airy-svg vmin-unsupported airy-skin-beacon ""style ="" background-color: rgb (0, 0, 0) pos"&amp;"ition: relative; width: 100%; height: 100%; font-size: 0px; overflow: hidden; outline : none; ""&gt; &lt;div class ="" airy-renderer-container ""style ="" position: relative; height: 100%; width: 100%; ""&gt; &lt;video id ="" 7 ""preload ="" auto ""src ="" https://im"&amp;"ages-eu.ssl-images-amazon.com/images/I/B1x-ifmBRxS.mp4 ""style ="" position: absolute; left: 0px; top: 0px; overflow: hidden; height: 1px; width : 1px; ""&gt; &lt;/ video&gt; &lt;/ div&gt; &lt;div id ="" airy-slate-preload ""style ="" background-color: rgb (0, 0, 0); backg"&amp;"round-image: url (&amp; quot; https: //images-eu.ssl-images-amazon.com/images/I/91+mU3yHvtS.png&amp;quot;); background-size: Contain; background-position: center center; background-repeat: no-repeat; position: absolute ; top: 0px; left: 0px; visibility: visible; "&amp;"width: 100%; height: 100%; ""&gt; &lt;/ div&gt; &lt;iframe scroll ing = ""no"" frameborder = ""0"" src = ""about: blank"" style = ""display: none;""&gt; &lt;/ iframe&gt; &lt;div tabindex = ""- 1"" class = ""airy-controls-container"" style = "" opacity: 0; visibility: hidden; ""&gt;"&amp;" &lt;div tabindex ="" - 1 ""class ="" airy-screen-size-toggle airy-fullscreen ""&gt; &lt;/ div&gt; &lt;div tabindex ="" - 1 ""class ="" airy-container-bottom "" &gt; &lt;div tabindex = ""- 1"" class = ""airy-track-bar-spacer-left"" style = ""width: 11px;""&gt; &lt;/ div&gt; &lt;div tabin"&amp;"dex = ""- 1"" class = ""airy-play- airy toggle-play ""style ="" width: 12px; margin-right: 12px; ""&gt; &lt;/ div&gt; &lt;div tabindex ="" - 1 ""class ="" airy-audio-elements ""style ="" float: right; width: 34px; ""&gt; &lt;div tabindex ="" - 1 ""class ="" airy-audio-togg"&amp;"le airy-on ""&gt; &lt;/ div&gt; &lt;div tabindex ="" - 1 ""class ="" airy-audio-container ""style = ""opacity: 0; visibility: hidden; ""&gt; &lt;div tabindex ="" - 1 ""class ="" airy-audio-track-bar ""style ="" height: 80%; ""&gt; &lt;div tabindex ="" - 1 ""class ="" airy-audio-"&amp;" Scrubber-bar ""style ="" height: 85%; ""&gt; &lt;/ div&gt; &lt;div tabindex ="" - 1 ""class ="" airy-audio-scrubber ""style ="" height: 12px; bottom 85% ""&gt; &lt;/ div&gt; &lt;/ div&gt; &lt;/ div&gt; &lt;/ div&gt; &lt;div tabindex ="" - 1 ""class ="" airy-duration-label ""style ="" float: righ"&amp;"t; width: 26px; margin-right: 4px; text-align: center; ""&gt; 0:00 &lt;/ div&gt; &lt;div tabindex ="" - 1 ""class ="" airy-track-bar-spacer-right ""style ="" float: right; width: 11px; ""&gt; &lt;/ div&gt; &lt;div tabindex ="" - 1 ""class ="" airy-track-bar-container ""style ="""&amp;" margin-left: 35px; margin-right: 75px; ""&gt; &lt;div tabindex ="" - 1 ""class ="" airy-airy-track-bar vertically-centering-table ""&gt; &lt;div tabindex ="" - 1 ""class ="" airy-Vertical-centering- table-cell ""&gt; &lt;div tabindex ="" - 1 ""class ="" airy-track-bar-ele"&amp;"ments ""&gt; &lt;div tabindex ="" - 1 ""class ="" airy-progress-bar ""&gt; &lt;/ div&gt; &lt;div tabindex = ""- 1"" class = ""airy-scrubber-bar""&gt; &lt;/ div&gt; &lt;div tabindex = ""- 1"" class = ""airy-scrubber""&gt; &lt;div tabindex = ""- 1"" class = ""airy-scrubber- icon ""&gt; &lt;/ div&gt; &lt;"&amp;"div tabindex ="" - 1 ""class ="" airy-adjusted-AUI-tooltip ""style ="" opacity: 0; visibility: hidden; ""&gt; &lt;div tabindex ="" - 1 ""class ="" airy-adjusted-aui-tooltip-inner ""&gt; &lt;div tabindex ="" - 1 ""class ="" airy-current-time-label ""&gt; 0: 00 &lt;/ div&gt; &lt;/"&amp;" div&gt; &lt;div tabindex = ""- 1"" class = ""airy-adjusted-AUI-arrow-border""&gt; &lt;div tabindex = ""- 1"" class = ""airy-adjusted-AUI-arrow"" &gt; &lt;/ div&gt; &lt;/ div&gt; &lt;/ div&gt; &lt;/ div&gt; &lt;/ div&gt; &lt;/ div&gt; &lt;/ div&gt; &lt;/ div&gt; &lt;/ div&gt; &lt;/ div&gt; &lt;div tabindex = ""- 1"" class = ""airy-"&amp;"age-gate airy-stage airy-Vertical-centering-table airy-dialog"" style = ""opacity: 0; visibility: hidden; ""&gt; &lt;div tabindex ="" - 1 ""class ="" airy-age-gate-Vertical-centering-table-cell airy-Vertical-centering-table-cell ""&gt; &lt;div tabindex ="" - 1 ""clas"&amp;"s = ""airy-Vertical-centering-wrapper airy-age-gate-elements-wrapper""&gt; &lt;div tabindex = ""- 1"" class = ""airy-age-gate-elements airy-dialog-elements""&gt; &lt;div tabindex = "" -1 ""class ="" airy-age-gate-prompt ""&gt; This video is not Intended for all audience"&amp;"s What date were you born &lt;/ div&gt; &lt;div tabindex =.?"" - 1 ""class ="" airy-age-gate -inputs airy-dialog-inner-elements ""&gt; &lt;select tabindex ="" - 1 ""class ="" airy-age-gate-month ""&gt; &lt;option value ="" 1 ""&gt; January &lt;/ option&gt; &lt;option value ="" 2 ""&gt; Febr"&amp;"uary &lt;/ option&gt; &lt;option value ="" 3 ""&gt; March &lt;/ option&gt; &lt;option value ="" 4 ""&gt; April &lt;/ option&gt; &lt;option value ="" 5 ""&gt; May &lt;/ option&gt; &lt;option value = ""6""&gt; June &lt;/ option&gt; &lt;option value = ""7""&gt; July &lt;/ option&gt; &lt;option value = ""8""&gt; August &lt;/ option&gt;"&amp;" &lt;option value = ""9""&gt; September &lt;/ option&gt; &lt;option value = ""10""&gt; October &lt;/ option&gt; &lt;option value = ""11""&gt; November &lt;/ option&gt; &lt;option value = ""12""&gt; December &lt;/ option&gt; &lt;/ select&gt; &lt;select tabindex = ""- 1"" class = ""airy-age-gate-day""&gt; &lt;opti on v"&amp;"alue = ""1""&gt; 1 &lt;/ option&gt; &lt;option value = ""2""&gt; 2 &lt;/ option&gt; &lt;option value = ""3""&gt; 3 &lt;/ option&gt; &lt;option value = ""4""&gt; 4 &lt;/ option &gt; &lt;option value = ""5""&gt; 5 &lt;/ option&gt; &lt;option value = ""6""&gt; 6 &lt;/ option&gt; &lt;option value = ""7""&gt; 7 &lt;/ option&gt; &lt;option val"&amp;"ue = ""8""&gt; 8 &lt; / option&gt; &lt;option value = ""9""&gt; 9 &lt;/ option&gt; &lt;option value = ""10""&gt; 10 &lt;/ option&gt; &lt;option value = ""11""&gt; 11 &lt;/ option&gt; &lt;option value = ""12""&gt; 12 &lt;/ option&gt; &lt;option value = ""13""&gt; 13 &lt;/ option&gt; &lt;option value = ""14""&gt; 14 &lt;/ option&gt; &lt;op"&amp;"tion value = ""15""&gt; 15 &lt;/ option&gt; &lt;option value = ""16 ""&gt; 16 &lt;/ option&gt; &lt;option value ="" 17 ""&gt; 17 &lt;/ option&gt; &lt;option value ="" 18 ""&gt; 18 &lt;/ option&gt; &lt;option value ="" 19 ""&gt; 19 &lt;/ option&gt; &lt;option value = ""20""&gt; 20 &lt;/ option&gt; &lt;option value = ""21""&gt; 21"&amp;" &lt;/ option&gt; &lt;option value = ""22""&gt; 22 &lt;/ option&gt; &lt;option value = ""23""&gt; 23 &lt;/ option&gt; &lt;option value = ""24""&gt; 24 &lt;/ option&gt; &lt;option value = ""25""&gt; 25 &lt;/ option&gt; &lt;option value = ""26""&gt; 26 &lt;/ option&gt; &lt;option value = ""27""&gt; 27 &lt;/ option&gt; &lt;option value ="&amp;" ""28""&gt; 28 &lt;/ option&gt; &lt;option value = ""29""&gt; 29 &lt;/ option&gt; &lt;option value = ""30""&gt; 30 &lt;/ option&gt; &lt;option value = ""31""&gt; 31 &lt;/ option&gt; &lt;/ select&gt; &lt;select tabindex = ""- 1"" class = ""airy-age-gate-year""&gt; &lt;option value = ""2019""&gt; 2019 &lt;/ option&gt; &lt; opti"&amp;"on value = ""2018""&gt; 2018 &lt;/ option&gt; &lt;option value = ""2017""&gt; 2017 &lt;/ option&gt; &lt;option value = ""2016""&gt; ​​2016 &lt;/ option&gt; &lt;option value = ""2015""&gt; 2015 &lt;/ option &gt; &lt;option value = ""2014""&gt; 2014 &lt;/ option&gt; &lt;option value = ""2013""&gt; 2013 &lt;/ option&gt; &lt;opti"&amp;"on value = ""2012""&gt; 2012 &lt;/ option&gt; &lt;option value = ""2011""&gt; 2011 &lt; / option&gt; &lt;option value = ""2010""&gt; 2010 &lt;/ option&gt; &lt;option value = ""2009""&gt; 2009 &lt;/ option&gt; &lt;option value = ""2008""&gt; 2008 &lt;/ option&gt; &lt;option value = ""2007""&gt; 2007 &lt;/ option&gt; &lt;option"&amp;" value = ""2006""&gt; 2006 &lt;/ option&gt; &lt;option value = ""2005""&gt; 2005 &lt;/ option&gt; &lt;option value = ""2004""&gt; 2004 &lt;/ option&gt; &lt;option value = ""2003 ""&gt; 2003 &lt;/ option&gt; &lt;option value ="" 2002 ""&gt; 2002 &lt;/ option&gt; &lt;option value ="" 2001 ""&gt; 2001 &lt;/ option&gt; &lt;option"&amp;" value ="" 2000 ""&gt; 2000 &lt;/ option&gt; &lt;option value = ""1999""&gt; 1999 &lt;/ option&gt; &lt;option value = ""1998""&gt; 1998 &lt;/ option&gt; &lt;option value = ""1997""&gt; 1997 &lt;/ option&gt; &lt;option value = ""1996""&gt; 1996 &lt;/ option&gt; &lt;option value = ""1995""&gt; 1995 &lt;/ option&gt; &lt;option v"&amp;"alue = ""1994""&gt; 1994 &lt;/ option&gt; &lt;option value = ""1993""&gt; 1993 &lt;/ option&gt; &lt;option value = ""1992""&gt; 1992 &lt;/ option&gt; &lt;option value = ""1991""&gt; 1991 &lt;/ option&gt; &lt;option value = ""1990""&gt; 1990 &lt;/ option&gt; &lt;option value = "" 1989 ""&gt; 1989 &lt;/ option&gt; &lt;option va"&amp;"lue ="" 1988 ""&gt; 1988 &lt;/ option&gt; &lt;option value ="" 1987 ""&gt; 1987 &lt;/ option&gt; &lt;option value ="" 1986 ""&gt; 1986 &lt;/ option&gt; &lt;value option = ""1985""&gt; 1985 &lt;/ option&gt; &lt;option value = ""1984""&gt; 1984 &lt;/ option&gt; &lt;option value = ""1983""&gt; 1983 &lt;/ option&gt; &lt;option va"&amp;"lue = ""1982""&gt; 1982 &lt;/ option&gt; &lt; option value = ""1981""&gt; 1981 &lt;/ option&gt; &lt;option value = ""1980""&gt; 1980 &lt;/ option&gt; &lt;option value = ""1979""&gt; 1979 &lt;/ option&gt; &lt;option value = ""1978""&gt; 1978 &lt;/ option &gt; &lt;option value = ""1977""&gt; 1977 &lt;/ option&gt; &lt;option val"&amp;"ue = ""1976""&gt; 1976 &lt;/ option&gt; &lt;option value = ""1975""&gt; 1975 &lt;/ option&gt; &lt;option value = ""1974""&gt; 1974 &lt; / option&gt; &lt;option value = ""1973""&gt; 1973 &lt;/ option&gt; &lt;option value = ""1972""&gt; 1972 &lt;/ option&gt; &lt;option value = ""1971""&gt; 1971 &lt;/ option&gt; &lt;option value"&amp;" = ""1970""&gt; 1970 &lt;/ option&gt; &lt;option value = ""1969""&gt; 1969 &lt;/ option&gt; &lt;option value = ""1968""&gt; 1968 &lt;/ option&gt; &lt;option value = ""1967""&gt; 1967 &lt;/ option&gt; &lt;option value = ""1966 ""&gt; 1966 &lt;/ option&gt; &lt;option value ="" 1965 ""&gt; 1965 &lt;/ option&gt; &lt;option value "&amp;"="" 1964 ""&gt; 1964 &lt;/ option&gt; &lt;option value ="" 1963 ""&gt; 1963 &lt;/ option&gt; &lt;option value = ""1962""&gt; 1962 &lt;/ option&gt; &lt;option value = ""1961""&gt; 1961 &lt;/ option&gt; &lt;option value = ""1960""&gt; 1960 &lt;/ op tion&gt; &lt;option value = ""1959""&gt; 1959 &lt;/ option&gt; &lt;option value "&amp;"= ""1958""&gt; 1958 &lt;/ option&gt; &lt;option value = ""1957""&gt; 1957 &lt;/ option&gt; &lt;option value = ""1956""&gt; 1956 &lt;/ option&gt; &lt;option value = ""1955""&gt; 1955 &lt;/ option&gt; &lt;option value = ""1954""&gt; 1954 &lt;/ option&gt; &lt;option value = ""1953""&gt; 1953 &lt;/ option&gt; &lt;option value = "&amp;"""1952"" &gt; 1952 &lt;/ option&gt; &lt;option value = ""1951""&gt; 1951 &lt;/ option&gt; &lt;option value = ""1950""&gt; 1950 &lt;/ option&gt; &lt;option value = ""1949""&gt; 1949 &lt;/ option&gt; &lt;option value = "" 1948 ""&gt; 1948 &lt;/ option&gt; &lt;option value ="" 1947 ""&gt; 1947 &lt;/ option&gt; &lt;option value ="&amp;""" 1946 ""&gt; 1946 &lt;/ option&gt; &lt;option value ="" 1945 ""&gt; 1945 &lt;/ option&gt; &lt;value option = ""1944""&gt; 1944 &lt;/ option&gt; &lt;option value = ""1943""&gt; 1943 &lt;/ option&gt; &lt;option value = ""1942""&gt; 1942 &lt;/ option&gt; &lt;option value = ""1941""&gt; 1941 &lt;/ option&gt; &lt; option value ="&amp;" ""1940""&gt; 1940 &lt;/ option&gt; &lt;option value = ""1939""&gt; 1939 &lt;/ option&gt; &lt;option value = ""1938""&gt; 1938 &lt;/ option&gt; &lt;option value = ""1937""&gt; 1937 &lt;/ option &gt; &lt;option value = ""1936""&gt; 1936 &lt;/ option&gt; &lt;option value = ""1935""&gt; 1935 &lt;/ option&gt; &lt;option value = "&amp;"""1934""&gt; 1934 &lt;/ option&gt; &lt;option value = ""1933""&gt; 1933 &lt; / option&gt; &lt;option value = ""1932""&gt; 1932 &lt;/ option&gt; &lt;option value = ""1931""&gt; 1931 &lt;/ option&gt; &lt;option v alue = ""1930""&gt; 1930 &lt;/ option&gt; &lt;option value = ""1929""&gt; 1929 &lt;/ option&gt; &lt;option value = "&amp;"""1928""&gt; 1928 &lt;/ option&gt; &lt;option value = ""1927""&gt; 1927 &lt;/ option&gt; &lt;option value = ""1926""&gt; 1926 &lt;/ option&gt; &lt;option value = ""1925""&gt; 1925 &lt;/ option&gt; &lt;option value = ""1924""&gt; 1924 &lt;/ option&gt; &lt;option value = ""1923""&gt; 1923 &lt;/ option&gt; &lt;option value = ""1"&amp;"922""&gt; 1922 &lt;/ option&gt; &lt;option value = ""1921""&gt; 1921 &lt;/ option&gt; &lt;option value = ""1920""&gt; 1920 &lt;/ option&gt; &lt;option value = ""1919""&gt; 1919 &lt;/ option&gt; &lt;option value = ""1918""&gt; 1918 &lt;/ option&gt; &lt;option value = ""1917""&gt; 1917 &lt;/ option&gt; &lt;option value = ""1916"&amp;"""&gt; 1916 &lt;/ option&gt; &lt;option value = ""1915"" &gt; 1915 &lt;/ option&gt; &lt;option value = ""1914""&gt; 1914 &lt;/ option&gt; &lt;option value = ""1913""&gt; 1913 &lt;/ option&gt; &lt;option value = ""1912""&gt; 1912 &lt;/ option&gt; &lt;option value = "" 1911 ""&gt; 1911 &lt;/ option&gt; &lt;option value ="" 1910"&amp;" ""&gt; 1910 &lt;/ option&gt; &lt;option value ="" 1909 ""&gt; 1909 &lt;/ option&gt; &lt;option value ="" 1908 ""&gt; 1908 &lt;/ option&gt; &lt;value option = ""1907""&gt; 1907 &lt;/ option&gt; &lt;option value = ""1906""&gt; 1906 &lt;/ option&gt; &lt;option value = ""1905""&gt; 1905 &lt;/ option&gt; &lt;option value = ""1904"&amp;"""&gt; 1904 &lt;/ option&gt; &lt; option value = ""1903""&gt; 1903 &lt;/ option&gt; &lt;option value = ""1902""&gt; 1902 &lt;/ option&gt; &lt;option value = ""1901""&gt; 19 01 &lt;/ option&gt; &lt;option value = ""1900""&gt; 1900 &lt;/ option&gt; &lt;/ select&gt; &lt;div tabindex = ""- 1"" class = ""airy-age-gate-submit"&amp;" airy-submit-button airy airy-submit- disabled ""&gt; Submit &lt;/ div&gt; &lt;/ div&gt; &lt;/ div&gt; &lt;/ div&gt; &lt;/ div&gt; &lt;/ div&gt; &lt;div tabindex ="" - 1 ""class ="" airy-install-flash-dialog airy-stage airy -vertical-centering-table-dialog airy airy-denied ""style ="" opacity: 0;"&amp;" visibility: hidden; ""&gt; &lt;div tabindex ="" - 1 ""class ="" airy-install-flash-Vertical-centering-table-cell airy-Vertical-centering-table-cell ""&gt; &lt;div tabindex ="" - 1 ""class = ""airy-Vertical-centering-wrapper airy-install-flash-elements-wrapper""&gt; &lt;di"&amp;"v tabindex = ""- 1"" class = ""airy-install-flash-elements airy-dialog-elements""&gt; &lt;div tabindex = "" -1 ""class ="" airy-install-flash-prompt ""&gt; Adobe Flash Player is required to watch this video &lt;/ div&gt; &lt;div tabindex =."" - 1 ""class ="" airy-install-f"&amp;"lash-button-wrapper airy -dialog-inner-elements ""&gt; &lt;div tabindex ="" - 1 ""class ="" airy-install-flash-button airy-button ""&gt; install Flash Player &lt;/ div&gt; &lt;/ div&gt; &lt;/ div&gt; &lt;/ div&gt; &lt;/ div&gt; &lt;/ div&gt; &lt;div tabindex = ""- 1"" class = ""airy-video-unsupported-d"&amp;"ialog airy-stage airy-Vertical-centering-table airy-dialog airy-denied"" style = ""opacity: 0; visibility: hidden; ""&gt; &lt;div tabindex ="" - 1 ""class ="" airy-video-unsupported-Vertical-centering-table-cell airy-Vertical-centering-table-cell ""&gt; &lt;div tabin"&amp;"dex ="" - 1 ""class = ""airy-Vertical-centering-wrapper airy-video-unsupported-elements-wrapper""&gt; &lt;div tabindex = ""- 1"" class = ""airy-video-unsupported-elements airy-dialog-elements""&gt; &lt;div tabindex = "" -1 ""class ="" airy-video-unsupported-prompt """&amp;"&gt; &lt;/ div&gt; &lt;/ div&gt; &lt;/ div&gt; &lt;/ div&gt; &lt;/ div&gt; &lt;div tabindex ="" - 1 ""class ="" airy-loading- spinner-stage airy-stage ""&gt; &lt;div tabindex ="" - 1 ""class ="" airy-loading-spinner-Vertical-centering-table-cell airy-Vertical-centering-table-cell ""&gt; &lt;div tabinde"&amp;"x ="" - 1 ""class ="" airy-loading-spinner-container airy-scalable-hint-container ""&gt; &lt;div tabindex ="" - 1 ""class ="" airy-loading-spinner-dummy airy-scalable-dummy ""&gt; &lt;/ div&gt; &lt; div tabindex = ""- 1"" class = ""airy-loading-spinner airy-hint"" style = "&amp;"""visibility: hidden;""&gt; &lt;/ div&gt; &lt;/ div&gt; &lt;/ div&gt; &lt;/ div&gt; &lt;div tabindex = ""- 1 ""class ="" airy-ads-screen-size-toggle airy-screen-size-toggle-fullscreen airy ""style ="" visibility: hidden; ""&gt; &lt;/ div&gt; &lt;div tabindex = ""-1"" class = ""airy-ad-prompt-cont"&amp;"ainer"" style = ""visibility: hidden;""&gt; &lt;div tabindex = ""- 1"" class = ""airy-ad-prompt-Vertical-centering-table-vertically airy centering-table ""&gt; &lt;div tabindex ="" - 1 ""class ="" airy-ad-prompt-Vertical-centering-table-cell airy-Vertical-centering-t"&amp;"able-cell ""&gt; &lt;div tabindex ="" - 1 ""class = ""airy-ad-prompt-label""&gt; &lt;/ div&gt; &lt;/ div&gt; &lt;/ div&gt; &lt;/ div&gt; &lt;div tabindex = ""- 1"" class = ""airy-ads-controls-container"" style = ""visibility: hidden; ""&gt; &lt;div tabindex ="" - 1 ""class ="" airy-ads-audio-togg"&amp;"le airy-audio-toggle airy-on ""style ="" visibility: hidden; ""&gt; &lt;/ div&gt; &lt;div tabindex ="" - 1 ""class ="" airy-time-remaining-label-container ""&gt; &lt;div tabindex ="" - 1 ""class ="" airy-time-remaining-Vertical-centering-table airy-Vertical-centering-table"&amp;" ""&gt; &lt;div tabindex = ""- 1"" class = ""airy-time-remaining-Vertical-centering-table-cell airy-Vertical-centering-table-cell""&gt; &lt;div tabindex = ""- 1"" class = ""airy-Vertical-centering-wrapper airy-time-remaining-label-wrapper ""&gt; &lt;div tabindex ="" - 1 """&amp;"class ="" airy-time-remaining-label ""style ="" visibility: hidden; ""&gt; &lt;/ div&gt; &lt;div tabi ndex = ""- 1"" class = ""airy-ad-skip"" style = ""visibility: hidden;""&gt; &lt;/ div&gt; &lt;div tabindex = ""- 1"" class = ""airy-ad-end"" style = ""visibility: hidden ""&gt; &lt;/ "&amp;"div&gt; &lt;/ div&gt; &lt;/ div&gt; &lt;/ div&gt; &lt;/ div&gt; &lt;div tabindex ="" - 1 ""class ="" airy-learn-more ""style ="" visibility: hidden; ""&gt; &lt;/ div&gt; &lt;/ div&gt; &lt;div tabindex = ""- 1"" class = ""airy-play-toggle-hint-stage airy-stage airy-cursor""&gt; &lt;div tabindex = ""- 1"" clas"&amp;"s = ""airy-play -toggle-hint-Vertical-centering-table-cell airy-Vertical-centering-table-cell airy-cursor ""&gt; &lt;div tabindex ="" - 1 ""class ="" airy-play-toggle-hint-container airy-scalable- Hint-container ""&gt; &lt;div tabindex ="" - 1 ""class ="" airy-play-t"&amp;"oggle-hint-dummy airy-scalable-dummy ""&gt; &lt;/ div&gt; &lt;div tabindex ="" - 1 ""class ="" airy-play -toggle-hint hint airy-airy-play-hint ""style ="" opacity: 1; visibility: visible; ""&gt; &lt;/ div&gt; &lt;/ div&gt; &lt;/ div&gt; &lt;/ div&gt; &lt;div tabindex ="" - 1 ""class ="" airy-repl"&amp;"ay-hint-stage airy-stage ""style ="" visibility: hidden ; ""&gt; &lt;div tabindex ="" - 1 ""class ="" airy-replay-hint-Vertical-centering-table-cell airy-Vertical-centering-table-cell airy-cursor ""&gt; &lt;div tabindex ="" - 1 ""class = ""airy-replay-hint-container "&amp;"airy-scalable-hint-container""&gt; &lt;div tabindex = ""- 1"" class = ""airy-replay-hint-dummy airy-scalable-dummy""&gt; &lt;/ div&gt; &lt;div tabindex = ""- 1"" class = ""airy-replay-hint airy-hint""&gt; &lt;/ div&gt; &lt;/ div&gt; &lt;/ div&gt; &lt;/ div&gt; &lt;div tabindex = ""- 1"" class = ""airy-"&amp;"autoplay-hint -stage airy-stage ""style ="" visibility: hidden; ""&gt; &lt;div tabindex ="" - 1 ""class ="" airy-autoplay-hint-Vertical-centering-table-cell airy-Vertical-centering-table-cell airy- cursor ""&gt; &lt;div tabindex ="" - 1 ""class ="" autoplay airy-airy"&amp;"-hint-container-scalable-hint-container ""&gt; &lt;div tabindex ="" - 1 ""class ="" airy-autoplay-hint-dummy airy- scalable-dummy ""&gt; &lt;/ div&gt; &lt;/ div&gt; &lt;/ div&gt; &lt;/ div&gt; &lt;/ div&gt; &lt;/ div&gt; &lt;input type ="" hidden ""name ="" ""value ="" https: // images-eu .ssl-images-a"&amp;"mazon.com / images / I / B1x-ifmBRxS.mp4 ""Class ="" video-url ""&gt; &lt;input type ="" hidden ""name ="" ""value ="" https://images-eu.ssl-images-amazon.com/images/I/91+mU3yHvtS.png ""class = ""video-slate-img-url""&gt; &amp; nbsp; Good buy to forget the capsules. I"&amp;"t makes very good coffee. Easy to use, clean and maintain. Save money on coffee, is much cheaper than capsules. I do not like that every time you put up is self-cleaning and water strip, which is a little big. But these are minor inconveniences.")</f>
        <v>excellent coffee &lt;div id = "video-block-R1TWCFZPNA19P6" class = "a-section a-spacing-small a-spacing-top mini video-block"&gt; &lt;div tabindex = "0" class = "airy airy-svg vmin-unsupported airy-skin-beacon "style =" background-color: rgb (0, 0, 0) position: relative; width: 100%; height: 100%; font-size: 0px; overflow: hidden; outline : none; "&gt; &lt;div class =" airy-renderer-container "style =" position: relative; height: 100%; width: 100%; "&gt; &lt;video id =" 7 "preload =" auto "src =" https://images-eu.ssl-images-amazon.com/images/I/B1x-ifmBRxS.mp4 "style =" position: absolute; left: 0px; top: 0px; overflow: hidden; height: 1px; width : 1px; "&gt; &lt;/ video&gt; &lt;/ div&gt; &lt;div id =" airy-slate-preload "style =" background-color: rgb (0, 0, 0); background-image: url (&amp; quot; https: //images-eu.ssl-images-amazon.com/images/I/91+mU3yHvtS.png&amp;quot;); background-size: Contain; background-position: center center; background-repeat: no-repeat; position: absolute ; top: 0px; left: 0px; visibility: visible; width: 100%; height: 100%; "&gt; &lt;/ div&gt; &lt;iframe scroll ing = "no" frameborder = "0" src = "about: blank" style = "display: none;"&gt; &lt;/ iframe&gt; &lt;div tabindex = "- 1" class = "airy-controls-container" style = " opacity: 0; visibility: hidden; "&gt; &lt;div tabindex =" - 1 "class =" airy-screen-size-toggle airy-fullscreen "&gt; &lt;/ div&gt; &lt;div tabindex =" - 1 "class =" airy-container-bottom " &gt; &lt;div tabindex = "- 1" class = "airy-track-bar-spacer-left" style = "width: 11px;"&gt; &lt;/ div&gt; &lt;div tabindex = "- 1" class = "airy-play- airy toggle-play "style =" width: 12px; margin-right: 12px; "&gt; &lt;/ div&gt; &lt;div tabindex =" - 1 "class =" airy-audio-elements "style =" float: right; width: 34px; "&gt; &lt;div tabindex =" - 1 "class =" airy-audio-toggle airy-on "&gt; &lt;/ div&gt; &lt;div tabindex =" - 1 "class =" airy-audio-container "style = "opacity: 0; visibility: hidden; "&gt; &lt;div tabindex =" - 1 "class =" airy-audio-track-bar "style =" height: 80%; "&gt; &lt;div tabindex =" - 1 "class =" airy-audio- Scrubber-bar "style =" height: 85%; "&gt; &lt;/ div&gt; &lt;div tabindex =" - 1 "class =" airy-audio-scrubber "style =" height: 12px; bottom 85% "&gt; &lt;/ div&gt; &lt;/ div&gt; &lt;/ div&gt; &lt;/ div&gt; &lt;div tabindex =" - 1 "class =" airy-duration-label "style =" float: right; width: 26px; margin-right: 4px; text-align: center; "&gt; 0:00 &lt;/ div&gt; &lt;div tabindex =" - 1 "class =" airy-track-bar-spacer-right "style =" float: right; width: 11px; "&gt; &lt;/ div&gt; &lt;div tabindex =" - 1 "class =" airy-track-bar-container "style =" margin-left: 35px; margin-right: 75px; "&gt; &lt;div tabindex =" - 1 "class =" airy-airy-track-bar vertically-centering-table "&gt; &lt;div tabindex =" - 1 "class =" airy-Vertical-centering- table-cell "&gt; &lt;div tabindex =" - 1 "class =" airy-track-bar-elements "&gt; &lt;div tabindex =" - 1 "class =" airy-progress-bar "&gt; &lt;/ div&gt; &lt;div tabindex = "- 1" class = "airy-scrubber-bar"&gt; &lt;/ div&gt; &lt;div tabindex = "- 1" class = "airy-scrubber"&gt; &lt;div tabindex = "- 1" class = "airy-scrubber- icon "&gt; &lt;/ div&gt; &lt;div tabindex =" - 1 "class =" airy-adjusted-AUI-tooltip "style =" opacity: 0; visibility: hidden; "&gt; &lt;div tabindex =" - 1 "class =" airy-adjusted-aui-tooltip-inner "&gt; &lt;div tabindex =" - 1 "class =" airy-current-time-label "&gt; 0: 00 &lt;/ div&gt; &lt;/ div&gt; &lt;div tabindex = "- 1" class = "airy-adjusted-AUI-arrow-border"&gt; &lt;div tabindex = "- 1" class = "airy-adjusted-AUI-arrow" &gt; &lt;/ div&gt; &lt;/ div&gt; &lt;/ div&gt; &lt;/ div&gt; &lt;/ div&gt; &lt;/ div&gt; &lt;/ div&gt; &lt;/ div&gt; &lt;/ div&gt; &lt;/ div&gt; &lt;div tabindex = "- 1" class = "airy-age-gate airy-stage airy-Vertical-centering-table airy-dialog" style = "opacity: 0; visibility: hidden; "&gt; &lt;div tabindex =" - 1 "class =" airy-age-gate-Vertical-centering-table-cell airy-Vertical-centering-table-cell "&gt; &lt;div tabindex =" - 1 "class = "airy-Vertical-centering-wrapper airy-age-gate-elements-wrapper"&gt; &lt;div tabindex = "- 1" class = "airy-age-gate-elements airy-dialog-elements"&gt; &lt;div tabindex = " -1 "class =" airy-age-gate-prompt "&gt; This video is not Intended for all audiences What date were you born &lt;/ div&gt; &lt;div tabindex =.?" - 1 "class =" airy-age-gate -inputs airy-dialog-inner-elements "&gt; &lt;select tabindex =" - 1 "class =" airy-age-gate-month "&gt; &lt;option value =" 1 "&gt; January &lt;/ option&gt; &lt;option value =" 2 "&gt; February &lt;/ option&gt; &lt;option value =" 3 "&gt; March &lt;/ option&gt; &lt;option value =" 4 "&gt; April &lt;/ option&gt; &lt;option value =" 5 "&gt; May &lt;/ option&gt; &lt;option value = "6"&gt; June &lt;/ option&gt; &lt;option value = "7"&gt; July &lt;/ option&gt; &lt;option value = "8"&gt; August &lt;/ option&gt; &lt;option value = "9"&gt; September &lt;/ option&gt; &lt;option value = "10"&gt; October &lt;/ option&gt; &lt;option value = "11"&gt; November &lt;/ option&gt; &lt;option value = "12"&gt; December &lt;/ option&gt; &lt;/ select&gt; &lt;select tabindex = "- 1" class = "airy-age-gate-day"&gt; &lt;opti on value = "1"&gt; 1 &lt;/ option&gt; &lt;option value = "2"&gt; 2 &lt;/ option&gt; &lt;option value = "3"&gt; 3 &lt;/ option&gt; &lt;option value = "4"&gt; 4 &lt;/ option &gt; &lt;option value = "5"&gt; 5 &lt;/ option&gt; &lt;option value = "6"&gt; 6 &lt;/ option&gt; &lt;option value = "7"&gt; 7 &lt;/ option&gt; &lt;option value = "8"&gt; 8 &lt; / option&gt; &lt;option value = "9"&gt; 9 &lt;/ option&gt; &lt;option value = "10"&gt; 10 &lt;/ option&gt; &lt;option value = "11"&gt; 11 &lt;/ option&gt; &lt;option value = "12"&gt; 12 &lt;/ option&gt; &lt;option value = "13"&gt; 13 &lt;/ option&gt; &lt;option value = "14"&gt; 14 &lt;/ option&gt; &lt;option value = "15"&gt; 15 &lt;/ option&gt; &lt;option value = "16 "&gt; 16 &lt;/ option&gt; &lt;option value =" 17 "&gt; 17 &lt;/ option&gt; &lt;option value =" 18 "&gt; 18 &lt;/ option&gt; &lt;option value =" 19 "&gt; 19 &lt;/ option&gt; &lt;option value = "20"&gt; 20 &lt;/ option&gt; &lt;option value = "21"&gt; 21 &lt;/ option&gt; &lt;option value = "22"&gt; 22 &lt;/ option&gt; &lt;option value = "23"&gt; 23 &lt;/ option&gt; &lt;option value = "24"&gt; 24 &lt;/ option&gt; &lt;option value = "25"&gt; 25 &lt;/ option&gt; &lt;option value = "26"&gt; 26 &lt;/ option&gt; &lt;option value = "27"&gt; 27 &lt;/ option&gt; &lt;option value = "28"&gt; 28 &lt;/ option&gt; &lt;option value = "29"&gt; 29 &lt;/ option&gt; &lt;option value = "30"&gt; 30 &lt;/ option&gt; &lt;option value = "31"&gt; 31 &lt;/ option&gt; &lt;/ select&gt; &lt;select tabindex = "- 1" class = "airy-age-gate-year"&gt; &lt;option value = "2019"&gt; 2019 &lt;/ option&gt; &lt; option value = "2018"&gt; 2018 &lt;/ option&gt; &lt;option value = "2017"&gt; 2017 &lt;/ option&gt; &lt;option value = "2016"&gt; ​​2016 &lt;/ option&gt; &lt;option value = "2015"&gt; 2015 &lt;/ option &gt; &lt;option value = "2014"&gt; 2014 &lt;/ option&gt; &lt;option value = "2013"&gt; 2013 &lt;/ option&gt; &lt;option value = "2012"&gt; 2012 &lt;/ option&gt; &lt;option value = "2011"&gt; 2011 &lt; / option&gt; &lt;option value = "2010"&gt; 2010 &lt;/ option&gt; &lt;option value = "2009"&gt; 2009 &lt;/ option&gt; &lt;option value = "2008"&gt; 2008 &lt;/ option&gt; &lt;option value = "2007"&gt; 2007 &lt;/ option&gt; &lt;option value = "2006"&gt; 2006 &lt;/ option&gt; &lt;option value = "2005"&gt; 2005 &lt;/ option&gt; &lt;option value = "2004"&gt; 2004 &lt;/ option&gt; &lt;option value = "2003 "&gt; 2003 &lt;/ option&gt; &lt;option value =" 2002 "&gt; 2002 &lt;/ option&gt; &lt;option value =" 2001 "&gt; 2001 &lt;/ option&gt; &lt;option value =" 2000 "&gt; 2000 &lt;/ option&gt; &lt;option value = "1999"&gt; 1999 &lt;/ option&gt; &lt;option value = "1998"&gt; 1998 &lt;/ option&gt; &lt;option value = "1997"&gt; 1997 &lt;/ option&gt; &lt;option value = "1996"&gt; 1996 &lt;/ option&gt; &lt;option value = "1995"&gt; 1995 &lt;/ option&gt; &lt;option value = "1994"&gt; 1994 &lt;/ option&gt; &lt;option value = "1993"&gt; 1993 &lt;/ option&gt; &lt;option value = "1992"&gt; 1992 &lt;/ option&gt; &lt;option value = "1991"&gt; 1991 &lt;/ option&gt; &lt;option value = "1990"&gt; 1990 &lt;/ option&gt; &lt;option value = " 1989 "&gt; 1989 &lt;/ option&gt; &lt;option value =" 1988 "&gt; 1988 &lt;/ option&gt; &lt;option value =" 1987 "&gt; 1987 &lt;/ option&gt; &lt;option value =" 1986 "&gt; 1986 &lt;/ option&gt; &lt;value option = "1985"&gt; 1985 &lt;/ option&gt; &lt;option value = "1984"&gt; 1984 &lt;/ option&gt; &lt;option value = "1983"&gt; 1983 &lt;/ option&gt; &lt;option value = "1982"&gt; 1982 &lt;/ option&gt; &lt; option value = "1981"&gt; 1981 &lt;/ option&gt; &lt;option value = "1980"&gt; 1980 &lt;/ option&gt; &lt;option value = "1979"&gt; 1979 &lt;/ option&gt; &lt;option value = "1978"&gt; 1978 &lt;/ option &gt; &lt;option value = "1977"&gt; 1977 &lt;/ option&gt; &lt;option value = "1976"&gt; 1976 &lt;/ option&gt; &lt;option value = "1975"&gt; 1975 &lt;/ option&gt; &lt;option value = "1974"&gt; 1974 &lt; / option&gt; &lt;option value = "1973"&gt; 1973 &lt;/ option&gt; &lt;option value = "1972"&gt; 1972 &lt;/ option&gt; &lt;option value = "1971"&gt; 1971 &lt;/ option&gt; &lt;option value = "1970"&gt; 1970 &lt;/ option&gt; &lt;option value = "1969"&gt; 1969 &lt;/ option&gt; &lt;option value = "1968"&gt; 1968 &lt;/ option&gt; &lt;option value = "1967"&gt; 1967 &lt;/ option&gt; &lt;option value = "1966 "&gt; 1966 &lt;/ option&gt; &lt;option value =" 1965 "&gt; 1965 &lt;/ option&gt; &lt;option value =" 1964 "&gt; 1964 &lt;/ option&gt; &lt;option value =" 1963 "&gt; 1963 &lt;/ option&gt; &lt;option value = "1962"&gt; 1962 &lt;/ option&gt; &lt;option value = "1961"&gt; 1961 &lt;/ option&gt; &lt;option value = "1960"&gt; 1960 &lt;/ op tion&gt; &lt;option value = "1959"&gt; 1959 &lt;/ option&gt; &lt;option value = "1958"&gt; 1958 &lt;/ option&gt; &lt;option value = "1957"&gt; 1957 &lt;/ option&gt; &lt;option value = "1956"&gt; 1956 &lt;/ option&gt; &lt;option value = "1955"&gt; 1955 &lt;/ option&gt; &lt;option value = "1954"&gt; 1954 &lt;/ option&gt; &lt;option value = "1953"&gt; 1953 &lt;/ option&gt; &lt;option value = "1952" &gt; 1952 &lt;/ option&gt; &lt;option value = "1951"&gt; 1951 &lt;/ option&gt; &lt;option value = "1950"&gt; 1950 &lt;/ option&gt; &lt;option value = "1949"&gt; 1949 &lt;/ option&gt; &lt;option value = " 1948 "&gt; 1948 &lt;/ option&gt; &lt;option value =" 1947 "&gt; 1947 &lt;/ option&gt; &lt;option value =" 1946 "&gt; 1946 &lt;/ option&gt; &lt;option value =" 1945 "&gt; 1945 &lt;/ option&gt; &lt;value option = "1944"&gt; 1944 &lt;/ option&gt; &lt;option value = "1943"&gt; 1943 &lt;/ option&gt; &lt;option value = "1942"&gt; 1942 &lt;/ option&gt; &lt;option value = "1941"&gt; 1941 &lt;/ option&gt; &lt; option value = "1940"&gt; 1940 &lt;/ option&gt; &lt;option value = "1939"&gt; 1939 &lt;/ option&gt; &lt;option value = "1938"&gt; 1938 &lt;/ option&gt; &lt;option value = "1937"&gt; 1937 &lt;/ option &gt; &lt;option value = "1936"&gt; 1936 &lt;/ option&gt; &lt;option value = "1935"&gt; 1935 &lt;/ option&gt; &lt;option value = "1934"&gt; 1934 &lt;/ option&gt; &lt;option value = "1933"&gt; 1933 &lt; / option&gt; &lt;option value = "1932"&gt; 1932 &lt;/ option&gt; &lt;option value = "1931"&gt; 1931 &lt;/ option&gt; &lt;option v alue = "1930"&gt; 1930 &lt;/ option&gt; &lt;option value = "1929"&gt; 1929 &lt;/ option&gt; &lt;option value = "1928"&gt; 1928 &lt;/ option&gt; &lt;option value = "1927"&gt; 1927 &lt;/ option&gt; &lt;option value = "1926"&gt; 1926 &lt;/ option&gt; &lt;option value = "1925"&gt; 1925 &lt;/ option&gt; &lt;option value = "1924"&gt; 1924 &lt;/ option&gt; &lt;option value = "1923"&gt; 1923 &lt;/ option&gt; &lt;option value = "1922"&gt; 1922 &lt;/ option&gt; &lt;option value = "1921"&gt; 1921 &lt;/ option&gt; &lt;option value = "1920"&gt; 1920 &lt;/ option&gt; &lt;option value = "1919"&gt; 1919 &lt;/ option&gt; &lt;option value = "1918"&gt; 1918 &lt;/ option&gt; &lt;option value = "1917"&gt; 1917 &lt;/ option&gt; &lt;option value = "1916"&gt; 1916 &lt;/ option&gt; &lt;option value = "1915" &gt; 1915 &lt;/ option&gt; &lt;option value = "1914"&gt; 1914 &lt;/ option&gt; &lt;option value = "1913"&gt; 1913 &lt;/ option&gt; &lt;option value = "1912"&gt; 1912 &lt;/ option&gt; &lt;option value = " 1911 "&gt; 1911 &lt;/ option&gt; &lt;option value =" 1910 "&gt; 1910 &lt;/ option&gt; &lt;option value =" 1909 "&gt; 1909 &lt;/ option&gt; &lt;option value =" 1908 "&gt; 1908 &lt;/ option&gt; &lt;value option = "1907"&gt; 1907 &lt;/ option&gt; &lt;option value = "1906"&gt; 1906 &lt;/ option&gt; &lt;option value = "1905"&gt; 1905 &lt;/ option&gt; &lt;option value = "1904"&gt; 1904 &lt;/ option&gt; &lt; option value = "1903"&gt; 1903 &lt;/ option&gt; &lt;option value = "1902"&gt; 1902 &lt;/ option&gt; &lt;option value = "1901"&gt; 19 01 &lt;/ option&gt; &lt;option value = "1900"&gt; 1900 &lt;/ option&gt; &lt;/ select&gt; &lt;div tabindex = "- 1" class = "airy-age-gate-submit airy-submit-button airy airy-submit- disabled "&gt; Submit &lt;/ div&gt; &lt;/ div&gt; &lt;/ div&gt; &lt;/ div&gt; &lt;/ div&gt; &lt;/ div&gt; &lt;div tabindex =" - 1 "class =" airy-install-flash-dialog airy-stage airy -vertical-centering-table-dialog airy airy-denied "style =" opacity: 0; visibility: hidden; "&gt; &lt;div tabindex =" - 1 "class =" airy-install-flash-Vertical-centering-table-cell airy-Vertical-centering-table-cell "&gt; &lt;div tabindex =" - 1 "class = "airy-Vertical-centering-wrapper airy-install-flash-elements-wrapper"&gt; &lt;div tabindex = "- 1" class = "airy-install-flash-elements airy-dialog-elements"&gt; &lt;div tabindex = " -1 "class =" airy-install-flash-prompt "&gt; Adobe Flash Player is required to watch this video &lt;/ div&gt; &lt;div tabindex =." - 1 "class =" airy-install-flash-button-wrapper airy -dialog-inner-elements "&gt; &lt;div tabindex =" - 1 "class =" airy-install-flash-button airy-button "&gt; install Flash Player &lt;/ div&gt; &lt;/ div&gt; &lt;/ div&gt; &lt;/ div&gt; &lt;/ div&gt; &lt;/ div&gt; &lt;div tabindex = "- 1" class = "airy-video-unsupported-dialog airy-stage airy-Vertical-centering-table airy-dialog airy-denied" style = "opacity: 0; visibility: hidden; "&gt; &lt;div tabindex =" - 1 "class =" airy-video-unsupported-Vertical-centering-table-cell airy-Vertical-centering-table-cell "&gt; &lt;div tabindex =" - 1 "class = "airy-Vertical-centering-wrapper airy-video-unsupported-elements-wrapper"&gt; &lt;div tabindex = "- 1" class = "airy-video-unsupported-elements airy-dialog-elements"&gt; &lt;div tabindex = " -1 "class =" airy-video-unsupported-prompt "&gt; &lt;/ div&gt; &lt;/ div&gt; &lt;/ div&gt; &lt;/ div&gt; &lt;/ div&gt; &lt;div tabindex =" - 1 "class =" airy-loading- spinner-stage airy-stage "&gt; &lt;div tabindex =" - 1 "class =" airy-loading-spinner-Vertical-centering-table-cell airy-Vertical-centering-table-cell "&gt; &lt;div tabindex =" - 1 "class =" airy-loading-spinner-container airy-scalable-hint-container "&gt; &lt;div tabindex =" - 1 "class =" airy-loading-spinner-dummy airy-scalable-dummy "&gt; &lt;/ div&gt; &lt; div tabindex = "- 1" class = "airy-loading-spinner airy-hint" style = "visibility: hidden;"&gt; &lt;/ div&gt; &lt;/ div&gt; &lt;/ div&gt; &lt;/ div&gt; &lt;div tabindex = "- 1 "class =" airy-ads-screen-size-toggle airy-screen-size-toggle-fullscreen airy "style =" visibility: hidden; "&gt; &lt;/ div&gt; &lt;div tabindex = "-1" class = "airy-ad-prompt-container" style = "visibility: hidden;"&gt; &lt;div tabindex = "- 1" class = "airy-ad-prompt-Vertical-centering-table-vertically airy centering-table "&gt; &lt;div tabindex =" - 1 "class =" airy-ad-prompt-Vertical-centering-table-cell airy-Vertical-centering-table-cell "&gt; &lt;div tabindex =" - 1 "class = "airy-ad-prompt-label"&gt; &lt;/ div&gt; &lt;/ div&gt; &lt;/ div&gt; &lt;/ div&gt; &lt;div tabindex = "- 1" class = "airy-ads-controls-container" style = "visibility: hidden; "&gt; &lt;div tabindex =" - 1 "class =" airy-ads-audio-toggle airy-audio-toggle airy-on "style =" visibility: hidden; "&gt; &lt;/ div&gt; &lt;div tabindex =" - 1 "class =" airy-time-remaining-label-container "&gt; &lt;div tabindex =" - 1 "class =" airy-time-remaining-Vertical-centering-table airy-Vertical-centering-table "&gt; &lt;div tabindex = "- 1" class = "airy-time-remaining-Vertical-centering-table-cell airy-Vertical-centering-table-cell"&gt; &lt;div tabindex = "- 1" class = "airy-Vertical-centering-wrapper airy-time-remaining-label-wrapper "&gt; &lt;div tabindex =" - 1 "class =" airy-time-remaining-label "style =" visibility: hidden; "&gt; &lt;/ div&gt; &lt;div tabi ndex = "- 1" class = "airy-ad-skip" style = "visibility: hidden;"&gt; &lt;/ div&gt; &lt;div tabindex = "- 1" class = "airy-ad-end" style = "visibility: hidden "&gt; &lt;/ div&gt; &lt;/ div&gt; &lt;/ div&gt; &lt;/ div&gt; &lt;/ div&gt; &lt;div tabindex =" - 1 "class =" airy-learn-more "style =" visibility: hidden; "&gt; &lt;/ div&gt; &lt;/ div&gt; &lt;div tabindex = "- 1" class = "airy-play-toggle-hint-stage airy-stage airy-cursor"&gt; &lt;div tabindex = "- 1" class = "airy-play -toggle-hint-Vertical-centering-table-cell airy-Vertical-centering-table-cell airy-cursor "&gt; &lt;div tabindex =" - 1 "class =" airy-play-toggle-hint-container airy-scalable- Hint-container "&gt; &lt;div tabindex =" - 1 "class =" airy-play-toggle-hint-dummy airy-scalable-dummy "&gt; &lt;/ div&gt; &lt;div tabindex =" - 1 "class =" airy-play -toggle-hint hint airy-airy-play-hint "style =" opacity: 1; visibility: visible; "&gt; &lt;/ div&gt; &lt;/ div&gt; &lt;/ div&gt; &lt;/ div&gt; &lt;div tabindex =" - 1 "class =" airy-replay-hint-stage airy-stage "style =" visibility: hidden ; "&gt; &lt;div tabindex =" - 1 "class =" airy-replay-hint-Vertical-centering-table-cell airy-Vertical-centering-table-cell airy-cursor "&gt; &lt;div tabindex =" - 1 "class = "airy-replay-hint-container airy-scalable-hint-container"&gt; &lt;div tabindex = "- 1" class = "airy-replay-hint-dummy airy-scalable-dummy"&gt; &lt;/ div&gt; &lt;div tabindex = "- 1" class = "airy-replay-hint airy-hint"&gt; &lt;/ div&gt; &lt;/ div&gt; &lt;/ div&gt; &lt;/ div&gt; &lt;div tabindex = "- 1" class = "airy-autoplay-hint -stage airy-stage "style =" visibility: hidden; "&gt; &lt;div tabindex =" - 1 "class =" airy-autoplay-hint-Vertical-centering-table-cell airy-Vertical-centering-table-cell airy- cursor "&gt; &lt;div tabindex =" - 1 "class =" autoplay airy-airy-hint-container-scalable-hint-container "&gt; &lt;div tabindex =" - 1 "class =" airy-autoplay-hint-dummy airy- scalable-dummy "&gt; &lt;/ div&gt; &lt;/ div&gt; &lt;/ div&gt; &lt;/ div&gt; &lt;/ div&gt; &lt;/ div&gt; &lt;input type =" hidden "name =" "value =" https: // images-eu .ssl-images-amazon.com / images / I / B1x-ifmBRxS.mp4 "Class =" video-url "&gt; &lt;input type =" hidden "name =" "value =" https://images-eu.ssl-images-amazon.com/images/I/91+mU3yHvtS.png "class = "video-slate-img-url"&gt; &amp; nbsp; Good buy to forget the capsules. It makes very good coffee. Easy to use, clean and maintain. Save money on coffee, is much cheaper than capsules. I do not like that every time you put up is self-cleaning and water strip, which is a little big. But these are minor inconveniences.</v>
      </c>
    </row>
    <row r="4798">
      <c r="A4798" s="1">
        <v>4.0</v>
      </c>
      <c r="B4798" s="1" t="s">
        <v>4771</v>
      </c>
      <c r="C4798" t="str">
        <f>IFERROR(__xludf.DUMMYFUNCTION("GOOGLETRANSLATE(B4798, ""es"", ""en"")"),"Okay moment I was going very well are comfortable and are perfect if you do not break soon I'll definitely buy")</f>
        <v>Okay moment I was going very well are comfortable and are perfect if you do not break soon I'll definitely buy</v>
      </c>
    </row>
    <row r="4799">
      <c r="A4799" s="1">
        <v>4.0</v>
      </c>
      <c r="B4799" s="1" t="s">
        <v>4772</v>
      </c>
      <c r="C4799" t="str">
        <f>IFERROR(__xludf.DUMMYFUNCTION("GOOGLETRANSLATE(B4799, ""es"", ""en"")"),"A great surprise. Weigh little, squishy soles .... they are comfortable and now I have no bad words for them. If you take less he gave sending 5 Stars.")</f>
        <v>A great surprise. Weigh little, squishy soles .... they are comfortable and now I have no bad words for them. If you take less he gave sending 5 Stars.</v>
      </c>
    </row>
    <row r="4800">
      <c r="A4800" s="1">
        <v>4.0</v>
      </c>
      <c r="B4800" s="1" t="s">
        <v>4773</v>
      </c>
      <c r="C4800" t="str">
        <f>IFERROR(__xludf.DUMMYFUNCTION("GOOGLETRANSLATE(B4800, ""es"", ""en"")"),"Large shoulder bag with several compartments large enough with plenty of pockets to store things.")</f>
        <v>Large shoulder bag with several compartments large enough with plenty of pockets to store things.</v>
      </c>
    </row>
    <row r="4801">
      <c r="A4801" s="1">
        <v>5.0</v>
      </c>
      <c r="B4801" s="1" t="s">
        <v>4774</v>
      </c>
      <c r="C4801" t="str">
        <f>IFERROR(__xludf.DUMMYFUNCTION("GOOGLETRANSLATE(B4801, ""es"", ""en"")"),"Versatile I like to serve both the computer and for the smartphone. I use the SmartTV, tablet and smartphone. Release movies with the tablet and see the TV.")</f>
        <v>Versatile I like to serve both the computer and for the smartphone. I use the SmartTV, tablet and smartphone. Release movies with the tablet and see the TV.</v>
      </c>
    </row>
    <row r="4802">
      <c r="A4802" s="1">
        <v>5.0</v>
      </c>
      <c r="B4802" s="1" t="s">
        <v>4775</v>
      </c>
      <c r="C4802" t="str">
        <f>IFERROR(__xludf.DUMMYFUNCTION("GOOGLETRANSLATE(B4802, ""es"", ""en"")"),"cleaning robot Had long been wanting a cleaning robot as several of my friends have and they're doing great. The ECOVACS Deebot 900 OZMO has recommended me one of my friends. I put it yesterday and I really like how you leave the house. Posibiilidad has t"&amp;"o choose areas where you want to happen to make cleaning that seems like a hoot! ment is better and I can be doing other things while a robot cleans my house is great hahaha")</f>
        <v>cleaning robot Had long been wanting a cleaning robot as several of my friends have and they're doing great. The ECOVACS Deebot 900 OZMO has recommended me one of my friends. I put it yesterday and I really like how you leave the house. Posibiilidad has to choose areas where you want to happen to make cleaning that seems like a hoot! ment is better and I can be doing other things while a robot cleans my house is great hahaha</v>
      </c>
    </row>
    <row r="4803">
      <c r="A4803" s="1">
        <v>5.0</v>
      </c>
      <c r="B4803" s="1" t="s">
        <v>4776</v>
      </c>
      <c r="C4803" t="str">
        <f>IFERROR(__xludf.DUMMYFUNCTION("GOOGLETRANSLATE(B4803, ""es"", ""en"")"),"Round good product for children. Pringan No, do not smell or stain. Well in general. Value very good. but not too dry afternoons in use")</f>
        <v>Round good product for children. Pringan No, do not smell or stain. Well in general. Value very good. but not too dry afternoons in use</v>
      </c>
    </row>
    <row r="4804">
      <c r="A4804" s="1">
        <v>5.0</v>
      </c>
      <c r="B4804" s="1" t="s">
        <v>4777</v>
      </c>
      <c r="C4804" t="str">
        <f>IFERROR(__xludf.DUMMYFUNCTION("GOOGLETRANSLATE(B4804, ""es"", ""en"")"),"Good buy enough for what I needed, good size and easy to fix to the wall. DIN A4 documents fit and carries a shelf ...")</f>
        <v>Good buy enough for what I needed, good size and easy to fix to the wall. DIN A4 documents fit and carries a shelf ...</v>
      </c>
    </row>
    <row r="4805">
      <c r="A4805" s="1">
        <v>5.0</v>
      </c>
      <c r="B4805" s="1" t="s">
        <v>4778</v>
      </c>
      <c r="C4805" t="str">
        <f>IFERROR(__xludf.DUMMYFUNCTION("GOOGLETRANSLATE(B4805, ""es"", ""en"")"),"Excellent quality and very good smell, has helped me recover from a tendonitis.")</f>
        <v>Excellent quality and very good smell, has helped me recover from a tendonitis.</v>
      </c>
    </row>
    <row r="4806">
      <c r="A4806" s="1">
        <v>5.0</v>
      </c>
      <c r="B4806" s="1" t="s">
        <v>4779</v>
      </c>
      <c r="C4806" t="str">
        <f>IFERROR(__xludf.DUMMYFUNCTION("GOOGLETRANSLATE(B4806, ""es"", ""en"")"),"This very tough and flexible adhesive tape brings very good so once this stuck on both sides resists very well any weight. The tape is thicker than the normal double-sided tapes, is flexible and transparent to be almost not noticeable is set.")</f>
        <v>This very tough and flexible adhesive tape brings very good so once this stuck on both sides resists very well any weight. The tape is thicker than the normal double-sided tapes, is flexible and transparent to be almost not noticeable is set.</v>
      </c>
    </row>
    <row r="4807">
      <c r="A4807" s="1">
        <v>5.0</v>
      </c>
      <c r="B4807" s="1" t="s">
        <v>4780</v>
      </c>
      <c r="C4807" t="str">
        <f>IFERROR(__xludf.DUMMYFUNCTION("GOOGLETRANSLATE(B4807, ""es"", ""en"")"),"Very nice and good Nice warm")</f>
        <v>Very nice and good Nice warm</v>
      </c>
    </row>
    <row r="4808">
      <c r="A4808" s="1">
        <v>5.0</v>
      </c>
      <c r="B4808" s="1" t="s">
        <v>4781</v>
      </c>
      <c r="C4808" t="str">
        <f>IFERROR(__xludf.DUMMYFUNCTION("GOOGLETRANSLATE(B4808, ""es"", ""en"")"),"good blender &lt;a data-hook = ""product-link-linked"" class = ""link-to-normal"" href = ""/ Bosch-ErgoMixx-MSM66110-Mixer-de-hand-600-W-regulator-de-speed- and-function-Turbo-dome-with-four-blade-with-glass-of-mixtures-color-white-and-gray / dp / B00A925G3A"&amp;" / ref = cm_cr_getr_d_rvw_txt ie = UTF8 ""&gt; Bosch ErgoMixx MSM66110 - hand Mixer , 600 W, and Turbo speed regulator function, dome with four blades, with mixing vessel, white and gray &lt;/a&gt;, is just what is needed powerful and convenient")</f>
        <v>good blender &lt;a data-hook = "product-link-linked" class = "link-to-normal" href = "/ Bosch-ErgoMixx-MSM66110-Mixer-de-hand-600-W-regulator-de-speed- and-function-Turbo-dome-with-four-blade-with-glass-of-mixtures-color-white-and-gray / dp / B00A925G3A / ref = cm_cr_getr_d_rvw_txt ie = UTF8 "&gt; Bosch ErgoMixx MSM66110 - hand Mixer , 600 W, and Turbo speed regulator function, dome with four blades, with mixing vessel, white and gray &lt;/a&gt;, is just what is needed powerful and convenient</v>
      </c>
    </row>
    <row r="4809">
      <c r="A4809" s="1">
        <v>5.0</v>
      </c>
      <c r="B4809" s="1" t="s">
        <v>4782</v>
      </c>
      <c r="C4809" t="str">
        <f>IFERROR(__xludf.DUMMYFUNCTION("GOOGLETRANSLATE(B4809, ""es"", ""en"")"),"good kettle good product and good price")</f>
        <v>good kettle good product and good price</v>
      </c>
    </row>
    <row r="4810">
      <c r="A4810" s="1">
        <v>5.0</v>
      </c>
      <c r="B4810" s="1" t="s">
        <v>4783</v>
      </c>
      <c r="C4810" t="str">
        <f>IFERROR(__xludf.DUMMYFUNCTION("GOOGLETRANSLATE(B4810, ""es"", ""en"")"),"Great happy. Super comfortable and very useful for carrying items like mobile ... The snuff ... Lighters ... wallet ... Anything medium sized ... Very pleased with. Purchase. good quality. I recommend it.")</f>
        <v>Great happy. Super comfortable and very useful for carrying items like mobile ... The snuff ... Lighters ... wallet ... Anything medium sized ... Very pleased with. Purchase. good quality. I recommend it.</v>
      </c>
    </row>
    <row r="4811">
      <c r="A4811" s="1">
        <v>5.0</v>
      </c>
      <c r="B4811" s="1" t="s">
        <v>4784</v>
      </c>
      <c r="C4811" t="str">
        <f>IFERROR(__xludf.DUMMYFUNCTION("GOOGLETRANSLATE(B4811, ""es"", ""en"")"),"Comfortable and with good finishes distrusting I bought a little, because this type of headphone me fails to convince a lot. But there have been a surprise, they are comfortable and do not weigh anything prácticamnete. Only time I've used a couple of time"&amp;"s in the gym and I have only good words. Regarding the battery no complaints (so far), it goes well. They have a small downside is that charge via USB instead by a connector per magnet or something similar, which means it has a cap for USB ... we'll see w"&amp;"hat lasts. They bring a proper case, with two larger sizes ear. So far everything ok.")</f>
        <v>Comfortable and with good finishes distrusting I bought a little, because this type of headphone me fails to convince a lot. But there have been a surprise, they are comfortable and do not weigh anything prácticamnete. Only time I've used a couple of times in the gym and I have only good words. Regarding the battery no complaints (so far), it goes well. They have a small downside is that charge via USB instead by a connector per magnet or something similar, which means it has a cap for USB ... we'll see what lasts. They bring a proper case, with two larger sizes ear. So far everything ok.</v>
      </c>
    </row>
    <row r="4812">
      <c r="A4812" s="1">
        <v>5.0</v>
      </c>
      <c r="B4812" s="1" t="s">
        <v>4785</v>
      </c>
      <c r="C4812" t="str">
        <f>IFERROR(__xludf.DUMMYFUNCTION("GOOGLETRANSLATE(B4812, ""es"", ""en"")"),"Squeezer excellent quality / price The product is as described in the description. Works very well, it is easy to disassemble and clean. The only drawback I've found has been the difficulty of fitting the small oranges for juice extraction, having to plac"&amp;"e them carefully and slowly lowering the cap to keep moving.")</f>
        <v>Squeezer excellent quality / price The product is as described in the description. Works very well, it is easy to disassemble and clean. The only drawback I've found has been the difficulty of fitting the small oranges for juice extraction, having to place them carefully and slowly lowering the cap to keep moving.</v>
      </c>
    </row>
    <row r="4813">
      <c r="A4813" s="1">
        <v>5.0</v>
      </c>
      <c r="B4813" s="1" t="s">
        <v>4786</v>
      </c>
      <c r="C4813" t="str">
        <f>IFERROR(__xludf.DUMMYFUNCTION("GOOGLETRANSLATE(B4813, ""es"", ""en"")"),"Essential for the kitchen do not know how I could live without it. The reason for buying was to prepare infusions fastest in the morning in the thermos. But now I use daily cooking to add hot water or cooking to bring water to boil faster. A great product"&amp;" for the kitchen.")</f>
        <v>Essential for the kitchen do not know how I could live without it. The reason for buying was to prepare infusions fastest in the morning in the thermos. But now I use daily cooking to add hot water or cooking to bring water to boil faster. A great product for the kitchen.</v>
      </c>
    </row>
    <row r="4814">
      <c r="A4814" s="1">
        <v>5.0</v>
      </c>
      <c r="B4814" s="1" t="s">
        <v>4787</v>
      </c>
      <c r="C4814" t="str">
        <f>IFERROR(__xludf.DUMMYFUNCTION("GOOGLETRANSLATE(B4814, ""es"", ""en"")"),"Very good. Perfect. Very good. It works well and we had no problems with the product. Perfect for a tiny kitchen. It's very basic.")</f>
        <v>Very good. Perfect. Very good. It works well and we had no problems with the product. Perfect for a tiny kitchen. It's very basic.</v>
      </c>
    </row>
    <row r="4815">
      <c r="A4815" s="1">
        <v>5.0</v>
      </c>
      <c r="B4815" s="1" t="s">
        <v>4788</v>
      </c>
      <c r="C4815" t="str">
        <f>IFERROR(__xludf.DUMMYFUNCTION("GOOGLETRANSLATE(B4815, ""es"", ""en"")"),"Just like that photo. Just like that photo. Very pretty.")</f>
        <v>Just like that photo. Just like that photo. Very pretty.</v>
      </c>
    </row>
    <row r="4816">
      <c r="A4816" s="1">
        <v>5.0</v>
      </c>
      <c r="B4816" s="1" t="s">
        <v>4789</v>
      </c>
      <c r="C4816" t="str">
        <f>IFERROR(__xludf.DUMMYFUNCTION("GOOGLETRANSLATE(B4816, ""es"", ""en"")"),"perfect and well suited to our expectations and is of very good quality fit what we needed perfect")</f>
        <v>perfect and well suited to our expectations and is of very good quality fit what we needed perfect</v>
      </c>
    </row>
    <row r="4817">
      <c r="A4817" s="1">
        <v>5.0</v>
      </c>
      <c r="B4817" s="1" t="s">
        <v>4790</v>
      </c>
      <c r="C4817" t="str">
        <f>IFERROR(__xludf.DUMMYFUNCTION("GOOGLETRANSLATE(B4817, ""es"", ""en"")"),"Good buy. Good buy.")</f>
        <v>Good buy. Good buy.</v>
      </c>
    </row>
    <row r="4818">
      <c r="A4818" s="1">
        <v>5.0</v>
      </c>
      <c r="B4818" s="1" t="s">
        <v>4791</v>
      </c>
      <c r="C4818" t="str">
        <f>IFERROR(__xludf.DUMMYFUNCTION("GOOGLETRANSLATE(B4818, ""es"", ""en"")"),"Great Better than I expected")</f>
        <v>Great Better than I expected</v>
      </c>
    </row>
    <row r="4819">
      <c r="A4819" s="1">
        <v>5.0</v>
      </c>
      <c r="B4819" s="1" t="s">
        <v>4792</v>
      </c>
      <c r="C4819" t="str">
        <f>IFERROR(__xludf.DUMMYFUNCTION("GOOGLETRANSLATE(B4819, ""es"", ""en"")"),"Good product compact, small and reliable. I only had problem with tv, shark who does not recognize it. It's fast")</f>
        <v>Good product compact, small and reliable. I only had problem with tv, shark who does not recognize it. It's fast</v>
      </c>
    </row>
    <row r="4820">
      <c r="A4820" s="1">
        <v>2.0</v>
      </c>
      <c r="B4820" s="1" t="s">
        <v>4793</v>
      </c>
      <c r="C4820" t="str">
        <f>IFERROR(__xludf.DUMMYFUNCTION("GOOGLETRANSLATE(B4820, ""es"", ""en"")"),"I did not like was not what I expected to strap being so thin I had to give it away I like wider belt and was not as seen on the screen")</f>
        <v>I did not like was not what I expected to strap being so thin I had to give it away I like wider belt and was not as seen on the screen</v>
      </c>
    </row>
    <row r="4821">
      <c r="A4821" s="1">
        <v>3.0</v>
      </c>
      <c r="B4821" s="1" t="s">
        <v>4794</v>
      </c>
      <c r="C4821" t="str">
        <f>IFERROR(__xludf.DUMMYFUNCTION("GOOGLETRANSLATE(B4821, ""es"", ""en"")"),"Connection problems I do not know what happens with this album that sometimes get to see it and it is sometimes impossible. Right now it works but I had to uninstall the driver, to clean up the registry and a couple of other things. I hope that everything"&amp;" remains the same, I have the GoFlex Cinema of the brand and buy the best I've done, I hope this one did not disappoint.")</f>
        <v>Connection problems I do not know what happens with this album that sometimes get to see it and it is sometimes impossible. Right now it works but I had to uninstall the driver, to clean up the registry and a couple of other things. I hope that everything remains the same, I have the GoFlex Cinema of the brand and buy the best I've done, I hope this one did not disappoint.</v>
      </c>
    </row>
    <row r="4822">
      <c r="A4822" s="1">
        <v>3.0</v>
      </c>
      <c r="B4822" s="1" t="s">
        <v>4795</v>
      </c>
      <c r="C4822" t="str">
        <f>IFERROR(__xludf.DUMMYFUNCTION("GOOGLETRANSLATE(B4822, ""es"", ""en"")"),"A Little Olgado not well adjusted to the lines of the body. It's a little Olgado and is a big deal when you're wearing.")</f>
        <v>A Little Olgado not well adjusted to the lines of the body. It's a little Olgado and is a big deal when you're wearing.</v>
      </c>
    </row>
    <row r="4823">
      <c r="A4823" s="1">
        <v>1.0</v>
      </c>
      <c r="B4823" s="1" t="s">
        <v>4796</v>
      </c>
      <c r="C4823" t="str">
        <f>IFERROR(__xludf.DUMMYFUNCTION("GOOGLETRANSLATE(B4823, ""es"", ""en"")"),"Not recommended at all Las've been using 8 hours a day and I have lasted 3 months, and that they work in a workshop paint and body. One after month I buy that put them gel insoles because the sole had become quite hard and now after 3 months of use have I"&amp;" had to throw because the sole had disposed inside and it was impossible to spend two hours with them on . Very disappointed with them last tube 20 to € lasted me much more and were more comfortable. I not recommend if you go to work walking a lot or if y"&amp;"ou spend enough time squatting.")</f>
        <v>Not recommended at all Las've been using 8 hours a day and I have lasted 3 months, and that they work in a workshop paint and body. One after month I buy that put them gel insoles because the sole had become quite hard and now after 3 months of use have I had to throw because the sole had disposed inside and it was impossible to spend two hours with them on . Very disappointed with them last tube 20 to € lasted me much more and were more comfortable. I not recommend if you go to work walking a lot or if you spend enough time squatting.</v>
      </c>
    </row>
    <row r="4824">
      <c r="A4824" s="1">
        <v>1.0</v>
      </c>
      <c r="B4824" s="1" t="s">
        <v>4797</v>
      </c>
      <c r="C4824" t="str">
        <f>IFERROR(__xludf.DUMMYFUNCTION("GOOGLETRANSLATE(B4824, ""es"", ""en"")"),"Come running because I wanted to know is on time and running ... q would not come with a tab to remove so you can set the clock ... not if someone happened ... If you have been working or you have put in march ... Thanks")</f>
        <v>Come running because I wanted to know is on time and running ... q would not come with a tab to remove so you can set the clock ... not if someone happened ... If you have been working or you have put in march ... Thanks</v>
      </c>
    </row>
    <row r="4825">
      <c r="A4825" s="1">
        <v>4.0</v>
      </c>
      <c r="B4825" s="1" t="s">
        <v>4798</v>
      </c>
      <c r="C4825" t="str">
        <f>IFERROR(__xludf.DUMMYFUNCTION("GOOGLETRANSLATE(B4825, ""es"", ""en"")"),"As Picture Las bought for my husband I am happy, comfortable, everything combines color and also the quality of puma.")</f>
        <v>As Picture Las bought for my husband I am happy, comfortable, everything combines color and also the quality of puma.</v>
      </c>
    </row>
    <row r="4826">
      <c r="A4826" s="1">
        <v>4.0</v>
      </c>
      <c r="B4826" s="1" t="s">
        <v>4799</v>
      </c>
      <c r="C4826" t="str">
        <f>IFERROR(__xludf.DUMMYFUNCTION("GOOGLETRANSLATE(B4826, ""es"", ""en"")"),"Small but strong these magnets have been expected to be a little bigger, because there is no picture comparing sizes between a regular article and this magnet. In other words, they are very small. Anyway, although very small, they are strong. I can not us"&amp;"e these for the original reason I bought it, but I'm sure you find other things to use. Another thing is that they are a little fragile. He was proving that when it broke one. I attached photos so you can see how small they are.")</f>
        <v>Small but strong these magnets have been expected to be a little bigger, because there is no picture comparing sizes between a regular article and this magnet. In other words, they are very small. Anyway, although very small, they are strong. I can not use these for the original reason I bought it, but I'm sure you find other things to use. Another thing is that they are a little fragile. He was proving that when it broke one. I attached photos so you can see how small they are.</v>
      </c>
    </row>
    <row r="4827">
      <c r="A4827" s="1">
        <v>4.0</v>
      </c>
      <c r="B4827" s="1" t="s">
        <v>4800</v>
      </c>
      <c r="C4827" t="str">
        <f>IFERROR(__xludf.DUMMYFUNCTION("GOOGLETRANSLATE(B4827, ""es"", ""en"")"),"Good, nice and Barato..y 10 years of Pila !! I bought it for a friend by features that tiene.Es clock reliable and known brand (Casio), full and beautiful, green lights and the battery is guaranteed for 10 years. I do not give the fifth estrella..porque a"&amp;"lthough the picture the dial looks good, when actually looks as if the stack would be a little worn, but I suppose it well so you can endure 10 years, because although the strap is acero..el body clock is painted gray plastic, and although the picture is "&amp;"not nota..al naturally is quite noticeable, and do not know how to grow old said plastic (if you go later color painting ..) time will tell.")</f>
        <v>Good, nice and Barato..y 10 years of Pila !! I bought it for a friend by features that tiene.Es clock reliable and known brand (Casio), full and beautiful, green lights and the battery is guaranteed for 10 years. I do not give the fifth estrella..porque although the picture the dial looks good, when actually looks as if the stack would be a little worn, but I suppose it well so you can endure 10 years, because although the strap is acero..el body clock is painted gray plastic, and although the picture is not nota..al naturally is quite noticeable, and do not know how to grow old said plastic (if you go later color painting ..) time will tell.</v>
      </c>
    </row>
    <row r="4828">
      <c r="A4828" s="1">
        <v>4.0</v>
      </c>
      <c r="B4828" s="1" t="s">
        <v>4801</v>
      </c>
      <c r="C4828" t="str">
        <f>IFERROR(__xludf.DUMMYFUNCTION("GOOGLETRANSLATE(B4828, ""es"", ""en"")"),"Very big. Good quality but big mut.")</f>
        <v>Very big. Good quality but big mut.</v>
      </c>
    </row>
    <row r="4829">
      <c r="A4829" s="1">
        <v>4.0</v>
      </c>
      <c r="B4829" s="1" t="s">
        <v>4802</v>
      </c>
      <c r="C4829" t="str">
        <f>IFERROR(__xludf.DUMMYFUNCTION("GOOGLETRANSLATE(B4829, ""es"", ""en"")"),"Good quality but very large are of good quality, but the sizing is great, I ordered a 35-38 and 40-42 rather a")</f>
        <v>Good quality but very large are of good quality, but the sizing is great, I ordered a 35-38 and 40-42 rather a</v>
      </c>
    </row>
    <row r="4830">
      <c r="A4830" s="1">
        <v>5.0</v>
      </c>
      <c r="B4830" s="1" t="s">
        <v>4803</v>
      </c>
      <c r="C4830" t="str">
        <f>IFERROR(__xludf.DUMMYFUNCTION("GOOGLETRANSLATE(B4830, ""es"", ""en"")"),"Excellent price / capacity / performance. I always look for higher capacities but in very good brands like this, the price soars from 256 GB. I will use for full-resolution RAW photos or short videos with the camera. So far, only've had in photos and the "&amp;"response is very positive: saves a burst of 8 photos of about 70 MB in less than 3 seconds, just 3 tenths of a second of the last shot, I start another burst. I recommend it to those who need high performance without the price to skyrocket.")</f>
        <v>Excellent price / capacity / performance. I always look for higher capacities but in very good brands like this, the price soars from 256 GB. I will use for full-resolution RAW photos or short videos with the camera. So far, only've had in photos and the response is very positive: saves a burst of 8 photos of about 70 MB in less than 3 seconds, just 3 tenths of a second of the last shot, I start another burst. I recommend it to those who need high performance without the price to skyrocket.</v>
      </c>
    </row>
    <row r="4831">
      <c r="A4831" s="1">
        <v>5.0</v>
      </c>
      <c r="B4831" s="1" t="s">
        <v>4804</v>
      </c>
      <c r="C4831" t="str">
        <f>IFERROR(__xludf.DUMMYFUNCTION("GOOGLETRANSLATE(B4831, ""es"", ""en"")"),"Perfect comfortable than I expected and very nice place")</f>
        <v>Perfect comfortable than I expected and very nice place</v>
      </c>
    </row>
    <row r="4832">
      <c r="A4832" s="1">
        <v>5.0</v>
      </c>
      <c r="B4832" s="1" t="s">
        <v>4805</v>
      </c>
      <c r="C4832" t="str">
        <f>IFERROR(__xludf.DUMMYFUNCTION("GOOGLETRANSLATE(B4832, ""es"", ""en"")"),"Great! Great, of great quality and very good finishes. The great size.")</f>
        <v>Great! Great, of great quality and very good finishes. The great size.</v>
      </c>
    </row>
    <row r="4833">
      <c r="A4833" s="1">
        <v>5.0</v>
      </c>
      <c r="B4833" s="1" t="s">
        <v>4806</v>
      </c>
      <c r="C4833" t="str">
        <f>IFERROR(__xludf.DUMMYFUNCTION("GOOGLETRANSLATE(B4833, ""es"", ""en"")"),"Perfect Very good and great time")</f>
        <v>Perfect Very good and great time</v>
      </c>
    </row>
    <row r="4834">
      <c r="A4834" s="1">
        <v>5.0</v>
      </c>
      <c r="B4834" s="1" t="s">
        <v>4807</v>
      </c>
      <c r="C4834" t="str">
        <f>IFERROR(__xludf.DUMMYFUNCTION("GOOGLETRANSLATE(B4834, ""es"", ""en"")"),"Genial very useful. To go fast going very well. I do not agree with the comments calineta much. The only bad thing lanlongitud of the cable")</f>
        <v>Genial very useful. To go fast going very well. I do not agree with the comments calineta much. The only bad thing lanlongitud of the cable</v>
      </c>
    </row>
    <row r="4835">
      <c r="A4835" s="1">
        <v>5.0</v>
      </c>
      <c r="B4835" s="1" t="s">
        <v>4808</v>
      </c>
      <c r="C4835" t="str">
        <f>IFERROR(__xludf.DUMMYFUNCTION("GOOGLETRANSLATE(B4835, ""es"", ""en"")"),"Good driver water tank buy this item to regulate the DC and pH levels, reduces nitrate (NO3) and phosphate (PO4. ^ Vitamins Add and valuable minerals essential for health of fish and plants. (Not used to remove tap water color !!!) the truth then stabiliz"&amp;"ed try all values ​​described above. and the brand is well known throughout regards aquariums. highly recommended. it Comes with measuring cup and instructions in Spanish by peeling back of the label.")</f>
        <v>Good driver water tank buy this item to regulate the DC and pH levels, reduces nitrate (NO3) and phosphate (PO4. ^ Vitamins Add and valuable minerals essential for health of fish and plants. (Not used to remove tap water color !!!) the truth then stabilized try all values ​​described above. and the brand is well known throughout regards aquariums. highly recommended. it Comes with measuring cup and instructions in Spanish by peeling back of the label.</v>
      </c>
    </row>
    <row r="4836">
      <c r="A4836" s="1">
        <v>5.0</v>
      </c>
      <c r="B4836" s="1" t="s">
        <v>4809</v>
      </c>
      <c r="C4836" t="str">
        <f>IFERROR(__xludf.DUMMYFUNCTION("GOOGLETRANSLATE(B4836, ""es"", ""en"")"),"Shoes comfortable shoes comfortable and durable enough")</f>
        <v>Shoes comfortable shoes comfortable and durable enough</v>
      </c>
    </row>
    <row r="4837">
      <c r="A4837" s="1">
        <v>5.0</v>
      </c>
      <c r="B4837" s="1" t="s">
        <v>4810</v>
      </c>
      <c r="C4837" t="str">
        <f>IFERROR(__xludf.DUMMYFUNCTION("GOOGLETRANSLATE(B4837, ""es"", ""en"")"),"For videos I've purchased for videos and no one is the end")</f>
        <v>For videos I've purchased for videos and no one is the end</v>
      </c>
    </row>
    <row r="4838">
      <c r="A4838" s="1">
        <v>5.0</v>
      </c>
      <c r="B4838" s="1" t="s">
        <v>4811</v>
      </c>
      <c r="C4838" t="str">
        <f>IFERROR(__xludf.DUMMYFUNCTION("GOOGLETRANSLATE(B4838, ""es"", ""en"")"),"It is perfect right all")</f>
        <v>It is perfect right all</v>
      </c>
    </row>
    <row r="4839">
      <c r="A4839" s="1">
        <v>5.0</v>
      </c>
      <c r="B4839" s="1" t="s">
        <v>4812</v>
      </c>
      <c r="C4839" t="str">
        <f>IFERROR(__xludf.DUMMYFUNCTION("GOOGLETRANSLATE(B4839, ""es"", ""en"")"),"Correct size arrived before the stated time, are perfect")</f>
        <v>Correct size arrived before the stated time, are perfect</v>
      </c>
    </row>
    <row r="4840">
      <c r="A4840" s="1">
        <v>5.0</v>
      </c>
      <c r="B4840" s="1" t="s">
        <v>4813</v>
      </c>
      <c r="C4840" t="str">
        <f>IFERROR(__xludf.DUMMYFUNCTION("GOOGLETRANSLATE(B4840, ""es"", ""en"")"),"Very good reach and comfort The sound quality is expected in your price range but the Bluetooth range and comfort me surprised for good. The cargo box is not very strong but at the moment holds perfectly. Matching is easy but I can not control the volume "&amp;"from the headset, although in my case is not a drawback, it regulo from mobile.")</f>
        <v>Very good reach and comfort The sound quality is expected in your price range but the Bluetooth range and comfort me surprised for good. The cargo box is not very strong but at the moment holds perfectly. Matching is easy but I can not control the volume from the headset, although in my case is not a drawback, it regulo from mobile.</v>
      </c>
    </row>
    <row r="4841">
      <c r="A4841" s="1">
        <v>5.0</v>
      </c>
      <c r="B4841" s="1" t="s">
        <v>4814</v>
      </c>
      <c r="C4841" t="str">
        <f>IFERROR(__xludf.DUMMYFUNCTION("GOOGLETRANSLATE(B4841, ""es"", ""en"")"),"Utilísima very simple and practical.")</f>
        <v>Utilísima very simple and practical.</v>
      </c>
    </row>
    <row r="4842">
      <c r="A4842" s="1">
        <v>5.0</v>
      </c>
      <c r="B4842" s="1" t="s">
        <v>4815</v>
      </c>
      <c r="C4842" t="str">
        <f>IFERROR(__xludf.DUMMYFUNCTION("GOOGLETRANSLATE(B4842, ""es"", ""en"")"),"Very good quality and original posts A necklace nice silver goes with everything, my partner loved it apart from the original and its hidden message I LOVE YOU in 100 languages ​​which is easy to see if you approach Light mobile camera to your cubic zirco"&amp;"nia will reflect on any surface the word I love you in 100 languages, ideal to surprise your partner.")</f>
        <v>Very good quality and original posts A necklace nice silver goes with everything, my partner loved it apart from the original and its hidden message I LOVE YOU in 100 languages ​​which is easy to see if you approach Light mobile camera to your cubic zirconia will reflect on any surface the word I love you in 100 languages, ideal to surprise your partner.</v>
      </c>
    </row>
    <row r="4843">
      <c r="A4843" s="1">
        <v>5.0</v>
      </c>
      <c r="B4843" s="1" t="s">
        <v>4816</v>
      </c>
      <c r="C4843" t="str">
        <f>IFERROR(__xludf.DUMMYFUNCTION("GOOGLETRANSLATE(B4843, ""es"", ""en"")"),"Only they thrive well in the description that puts teats have two holes but only have 1")</f>
        <v>Only they thrive well in the description that puts teats have two holes but only have 1</v>
      </c>
    </row>
    <row r="4844">
      <c r="A4844" s="1">
        <v>5.0</v>
      </c>
      <c r="B4844" s="1" t="s">
        <v>4817</v>
      </c>
      <c r="C4844" t="str">
        <f>IFERROR(__xludf.DUMMYFUNCTION("GOOGLETRANSLATE(B4844, ""es"", ""en"")"),"Barbecue cleaning cleans very well")</f>
        <v>Barbecue cleaning cleans very well</v>
      </c>
    </row>
    <row r="4845">
      <c r="A4845" s="1">
        <v>5.0</v>
      </c>
      <c r="B4845" s="1" t="s">
        <v>4818</v>
      </c>
      <c r="C4845" t="str">
        <f>IFERROR(__xludf.DUMMYFUNCTION("GOOGLETRANSLATE(B4845, ""es"", ""en"")"),"To throw some good times very funny. Modulators have multiple voice, echo, you can connect via Bluetooth and use it as karaoke. It has good sound and good quality. I would buy.")</f>
        <v>To throw some good times very funny. Modulators have multiple voice, echo, you can connect via Bluetooth and use it as karaoke. It has good sound and good quality. I would buy.</v>
      </c>
    </row>
    <row r="4846">
      <c r="A4846" s="1">
        <v>5.0</v>
      </c>
      <c r="B4846" s="1" t="s">
        <v>4819</v>
      </c>
      <c r="C4846" t="str">
        <f>IFERROR(__xludf.DUMMYFUNCTION("GOOGLETRANSLATE(B4846, ""es"", ""en"")"),"Fulfilling expectations. I bought for my wife, she has said it is working well, she liked the device.")</f>
        <v>Fulfilling expectations. I bought for my wife, she has said it is working well, she liked the device.</v>
      </c>
    </row>
    <row r="4847">
      <c r="A4847" s="1">
        <v>5.0</v>
      </c>
      <c r="B4847" s="1" t="s">
        <v>4820</v>
      </c>
      <c r="C4847" t="str">
        <f>IFERROR(__xludf.DUMMYFUNCTION("GOOGLETRANSLATE(B4847, ""es"", ""en"")"),"Perfect. Fully recommended are quality shoes, and are informal, I apply to all, even to go to the office. It gives me lately by black buy, and these have been a success. The size corresponds well.")</f>
        <v>Perfect. Fully recommended are quality shoes, and are informal, I apply to all, even to go to the office. It gives me lately by black buy, and these have been a success. The size corresponds well.</v>
      </c>
    </row>
    <row r="4848">
      <c r="A4848" s="1">
        <v>5.0</v>
      </c>
      <c r="B4848" s="1" t="s">
        <v>4821</v>
      </c>
      <c r="C4848" t="str">
        <f>IFERROR(__xludf.DUMMYFUNCTION("GOOGLETRANSLATE(B4848, ""es"", ""en"")"),"Good moment Good quality product brand. Happy moment.")</f>
        <v>Good moment Good quality product brand. Happy moment.</v>
      </c>
    </row>
    <row r="4849">
      <c r="A4849" s="1">
        <v>2.0</v>
      </c>
      <c r="B4849" s="1" t="s">
        <v>4822</v>
      </c>
      <c r="C4849" t="str">
        <f>IFERROR(__xludf.DUMMYFUNCTION("GOOGLETRANSLATE(B4849, ""es"", ""en"")"),"Does not work well to connect with a box on the laptop, hear, all fatal, I want it back. Amazon deserves 10 delivery is very fast, but the product does not achieve the expected expectations, regarding the precio.esto went with a feeder box or as it is cal"&amp;"led, all fatal was for a microphone I buy my son and I want to return.")</f>
        <v>Does not work well to connect with a box on the laptop, hear, all fatal, I want it back. Amazon deserves 10 delivery is very fast, but the product does not achieve the expected expectations, regarding the precio.esto went with a feeder box or as it is called, all fatal was for a microphone I buy my son and I want to return.</v>
      </c>
    </row>
    <row r="4850">
      <c r="A4850" s="1">
        <v>3.0</v>
      </c>
      <c r="B4850" s="1" t="s">
        <v>4823</v>
      </c>
      <c r="C4850" t="str">
        <f>IFERROR(__xludf.DUMMYFUNCTION("GOOGLETRANSLATE(B4850, ""es"", ""en"")"),"Good value for money Obviously a product of this price can only be compared with another low-end. As for construction, the cable is quite acceptable and headphones seem to be made of an ordinary plastic. If we talk about sound, the handset behaves well to"&amp;" listen poscast, television, radio, etc. As for music, I have to say that sound good for its price but I have some similar JVC these sounds best prices and last. The sound, though acceptable, is not clean and dirty and opaque enough in the media. In short"&amp;", sound good for its price and not bad buy. But one can not expect the sound of momentum Senheisser M2, or the same Sony MDR-EX650APT, because they play in different leagues. I apologize to whom this last will seem a simple no-brainer.")</f>
        <v>Good value for money Obviously a product of this price can only be compared with another low-end. As for construction, the cable is quite acceptable and headphones seem to be made of an ordinary plastic. If we talk about sound, the handset behaves well to listen poscast, television, radio, etc. As for music, I have to say that sound good for its price but I have some similar JVC these sounds best prices and last. The sound, though acceptable, is not clean and dirty and opaque enough in the media. In short, sound good for its price and not bad buy. But one can not expect the sound of momentum Senheisser M2, or the same Sony MDR-EX650APT, because they play in different leagues. I apologize to whom this last will seem a simple no-brainer.</v>
      </c>
    </row>
    <row r="4851">
      <c r="A4851" s="1">
        <v>1.0</v>
      </c>
      <c r="B4851" s="1" t="s">
        <v>4824</v>
      </c>
      <c r="C4851" t="str">
        <f>IFERROR(__xludf.DUMMYFUNCTION("GOOGLETRANSLATE(B4851, ""es"", ""en"")"),"Are false is seen from afar that are false and the case is puma or bring labels or anything imitacion are not recommended at all.")</f>
        <v>Are false is seen from afar that are false and the case is puma or bring labels or anything imitacion are not recommended at all.</v>
      </c>
    </row>
    <row r="4852">
      <c r="A4852" s="1">
        <v>1.0</v>
      </c>
      <c r="B4852" s="1" t="s">
        <v>4825</v>
      </c>
      <c r="C4852" t="str">
        <f>IFERROR(__xludf.DUMMYFUNCTION("GOOGLETRANSLATE(B4852, ""es"", ""en"")"),"Garbage. It's rubbish. Fatal work, heard worse. Looks like a toy. The instructions are explained fatal. It is money thrown away.")</f>
        <v>Garbage. It's rubbish. Fatal work, heard worse. Looks like a toy. The instructions are explained fatal. It is money thrown away.</v>
      </c>
    </row>
    <row r="4853">
      <c r="A4853" s="1">
        <v>4.0</v>
      </c>
      <c r="B4853" s="1" t="s">
        <v>4826</v>
      </c>
      <c r="C4853" t="str">
        <f>IFERROR(__xludf.DUMMYFUNCTION("GOOGLETRANSLATE(B4853, ""es"", ""en"")"),"Perfect nice watch very well finished and easy to read I recommend you forget about having to change the battery or to wind")</f>
        <v>Perfect nice watch very well finished and easy to read I recommend you forget about having to change the battery or to wind</v>
      </c>
    </row>
    <row r="4854">
      <c r="A4854" s="1">
        <v>4.0</v>
      </c>
      <c r="B4854" s="1" t="s">
        <v>4827</v>
      </c>
      <c r="C4854" t="str">
        <f>IFERROR(__xludf.DUMMYFUNCTION("GOOGLETRANSLATE(B4854, ""es"", ""en"")"),"I liked very comfortable, yes. It's just that if you're a small carvings appearance looks a bit different from what I expected.")</f>
        <v>I liked very comfortable, yes. It's just that if you're a small carvings appearance looks a bit different from what I expected.</v>
      </c>
    </row>
    <row r="4855">
      <c r="A4855" s="1">
        <v>4.0</v>
      </c>
      <c r="B4855" s="1" t="s">
        <v>4828</v>
      </c>
      <c r="C4855" t="str">
        <f>IFERROR(__xludf.DUMMYFUNCTION("GOOGLETRANSLATE(B4855, ""es"", ""en"")"),"request the return of the product for being too big, a smaller size. the yoga pants I liked it, but it's too big. I request your return and will ask another size smaller.")</f>
        <v>request the return of the product for being too big, a smaller size. the yoga pants I liked it, but it's too big. I request your return and will ask another size smaller.</v>
      </c>
    </row>
    <row r="4856">
      <c r="A4856" s="1">
        <v>4.0</v>
      </c>
      <c r="B4856" s="1" t="s">
        <v>4829</v>
      </c>
      <c r="C4856" t="str">
        <f>IFERROR(__xludf.DUMMYFUNCTION("GOOGLETRANSLATE(B4856, ""es"", ""en"")"),"Good product meets perfectly directed. I bought 4 TB, why is it needed and comes perfectly. Windows 10 recognized me without problems. Not noisy. Good product. I recommend it.")</f>
        <v>Good product meets perfectly directed. I bought 4 TB, why is it needed and comes perfectly. Windows 10 recognized me without problems. Not noisy. Good product. I recommend it.</v>
      </c>
    </row>
    <row r="4857">
      <c r="A4857" s="1">
        <v>4.0</v>
      </c>
      <c r="B4857" s="1" t="s">
        <v>4830</v>
      </c>
      <c r="C4857" t="str">
        <f>IFERROR(__xludf.DUMMYFUNCTION("GOOGLETRANSLATE(B4857, ""es"", ""en"")"),"Ana &lt;div id = ""video-block-R2JR8UQSO7R196"" class = ""a-section a-spacing-small a-spacing-top mini video-block""&gt; &lt;div tabindex = ""0"" class = ""airy airy-svg vmin -unsupported airy-skin-beacon ""style ="" background-color: rgb (0, 0, 0) position: relat"&amp;"ive; width: 100%; height: 100%; font-size: 0px; overflow: hidden; outline: none; ""&gt; &lt;div class ="" airy-renderer-container ""style ="" position: relative; height: 100%; width: 100%; ""&gt; &lt;video id ="" 7 ""preload ="" auto ""src ="" https : //images-eu.ssl"&amp;"-images-amazon.com/images/I/81W8+zP10lS.mp4 ""style ="" position: absolute; left: 0px; top: 0px; overflow: hidden; height: 1px; width: 1px; ""&gt; &lt;/ video&gt; &lt;/ div&gt; &lt;div id ="" airy-slate-preload ""style ="" background-color: rgb (0, 0, 0); background-image:"&amp;" url (&amp; quot; https: / /images-eu.ssl-images-amazon.com/images/I/71HALLPJOPS.png&amp;quot;); background-size: Contain; background-position: center center; background-repeat: no-repeat; position: absolute; top: 0px; left: 0px; visibility: visible; width: 100%;"&amp;" height: 100%; ""&gt; &lt;/ div&gt; &lt;iframe scrolling ="" no ""FrameB order = ""0"" src = ""about: blank"" style = ""display: none;""&gt; &lt;/ iframe&gt; &lt;div tabindex = ""- 1"" class = ""airy-controls-container"" style = ""opacity: 0; visibility: hidden; ""&gt; &lt;div tabinde"&amp;"x ="" - 1 ""class ="" airy-screen-size-toggle airy-fullscreen ""&gt; &lt;/ div&gt; &lt;div tabindex ="" - 1 ""class ="" airy-container-bottom "" &gt; &lt;div tabindex = ""- 1"" class = ""airy-track-bar-spacer-left"" style = ""width: 11px;""&gt; &lt;/ div&gt; &lt;div tabindex = ""- 1"""&amp;" class = ""airy-play- airy toggle-play ""style ="" width: 12px; margin-right: 12px; ""&gt; &lt;/ div&gt; &lt;div tabindex ="" - 1 ""class ="" airy-audio-elements ""style ="" float: right; width: 34px; ""&gt; &lt;div tabindex ="" - 1 ""class ="" airy-audio-toggle airy-on """&amp;"&gt; &lt;/ div&gt; &lt;div tabindex ="" - 1 ""class ="" airy-audio-container ""style = ""opacity: 0; visibility: hidden; ""&gt; &lt;div tabindex ="" - 1 ""class ="" airy-audio-track-bar ""style ="" height: 80%; ""&gt; &lt;div tabindex ="" - 1 ""class ="" airy-audio- Scrubber-bar"&amp;" ""style ="" height: 85%; ""&gt; &lt;/ div&gt; &lt;div tabindex ="" - 1 ""class ="" airy-audio-scrubber ""style ="" height: 12px; bottom 85% ""&gt; &lt;/ div&gt; &lt;/ div&gt; &lt;/ div&gt; &lt;/ div&gt; &lt;div tabindex ="" - 1 ""class ="" airy-duration-label ""style ="" float: right; width: 26p"&amp;"x; margin-right: 4px; text-align: center; ""&gt; 0:06 &lt;/ div&gt; &lt;div tabindex ="" - 1 ""class ="" airy-track-bar-spacer-right ""style ="" float: right; width: 11px; ""&gt; &lt;/ div&gt; &lt;div tabindex ="" - 1 ""class ="" airy-track-bar-container ""style ="" margin-left:"&amp;" 35px; margin-right: 75px; ""&gt; &lt;div tabindex ="" - 1 ""class ="" airy-airy-track-bar vertically-centering-table ""&gt; &lt;div tabindex ="" - 1 ""class ="" airy-Vertical-centering- table-cell ""&gt; &lt;div tabindex ="" - 1 ""class ="" airy-track bar-elements ""&gt; &lt;di"&amp;"v tabindex ="" - 1 ""class ="" airy-progress bar ""style ="" width: 100%; ""&gt; &lt;/ div&gt; &lt;div tabindex ="" - 1 ""class ="" airy-scrubber-bar ""&gt; &lt;/ div&gt; &lt;div tabindex ="" - 1 ""class ="" airy-scrubber ""&gt; &lt;div tabindex ="" - 1 ""class ="" airy-scrubber-icon "&amp;"""&gt; &lt;/ div&gt; &lt;div tabindex ="" - 1 ""class ="" airy-adjusted-AUI-tooltip ""style ="" opacity: 0; visibility: hidden; ""&gt; &lt;div tabindex ="" - 1 ""class ="" airy-adjusted-aui-tooltip-inner ""&gt; &lt;div tabindex ="" - 1 ""class ="" airy-current-time-label ""&gt; 0: "&amp;"00 &lt;/ div&gt; &lt;/ div&gt; &lt;div tabindex = ""- 1"" class = ""airy-adjusted-AUI-arrow-border""&gt; &lt;div tabindex = ""- 1"" class = ""airy-adjusted-AUI-arrow"" &gt; &lt;/ div&gt; &lt;/ div&gt; &lt;/ div&gt; &lt;/ div&gt; &lt;/ div&gt; &lt;/ div&gt; &lt;/ div&gt; &lt;/ div&gt; &lt;/ div&gt; &lt;/ div&gt; &lt;div tabindex = ""- 1"" cl"&amp;"ass = ""airy-age-gate airy-stage airy-Vertical-centering-table airy-dialog"" style = ""opacity: 0; visibility: hidden; ""&gt; &lt;div tabindex ="" - 1 ""class ="" airy-age-gate-Vertical-centering-table-cell airy-Vertical-centering-table-cell ""&gt; &lt;div tabindex ="&amp;""" - 1 ""class = ""airy-Vertical-centering-wrapper airy-age-gate-elements-wrapper""&gt; &lt;div tabindex = ""- 1"" class = ""airy-age-gate-elements airy-dialog-elements""&gt; &lt;div tabindex = "" -1 ""class ="" airy-age-gate-prompt ""&gt; This video is not Intended for"&amp;" all audiences What date were you born &lt;/ div&gt; &lt;div tabindex =.?"" - 1 ""class ="" airy-age-gate -inputs airy-dialog-inner-elements ""&gt; &lt;select tabindex ="" - 1 ""class ="" airy-age-gate-month ""&gt; &lt;option value ="" 1 ""&gt; January &lt;/ option&gt; &lt;option value ="&amp;""" 2 ""&gt; February &lt;/ option&gt; &lt;option value ="" 3 ""&gt; March &lt;/ option&gt; &lt;option value ="" 4 ""&gt; April &lt;/ option&gt; &lt;option value ="" 5 ""&gt; May &lt;/ option&gt; &lt;option value = ""6""&gt; June &lt;/ option&gt; &lt;option value = ""7""&gt; July &lt;/ option&gt; &lt;option value = ""8""&gt; Augu"&amp;"st &lt;/ option&gt; &lt;option value = ""9""&gt; September &lt;/ option&gt; &lt;option value = ""10""&gt; October &lt;/ option&gt; &lt;option value = ""11""&gt; November &lt;/ option&gt; &lt;option value = ""12""&gt; December &lt;/ option&gt; &lt;/ select&gt; &lt;select tabindex = ""- 1"" class = ""airy-age-gate-day"&amp;"""&gt; &lt;opti on value = ""1""&gt; 1 &lt;/ option&gt; &lt;option value = ""2""&gt; 2 &lt;/ option&gt; &lt;option value = ""3""&gt; 3 &lt;/ option&gt; &lt;option value = ""4""&gt; 4 &lt;/ option &gt; &lt;option value = ""5""&gt; 5 &lt;/ option&gt; &lt;option value = ""6""&gt; 6 &lt;/ option&gt; &lt;option value = ""7""&gt; 7 &lt;/ optio"&amp;"n&gt; &lt;option value = ""8""&gt; 8 &lt; / option&gt; &lt;option value = ""9""&gt; 9 &lt;/ option&gt; &lt;option value = ""10""&gt; 10 &lt;/ option&gt; &lt;option value = ""11""&gt; 11 &lt;/ option&gt; &lt;option value = ""12""&gt; 12 &lt;/ option&gt; &lt;option value = ""13""&gt; 13 &lt;/ option&gt; &lt;option value = ""14""&gt; 14 "&amp;"&lt;/ option&gt; &lt;option value = ""15""&gt; 15 &lt;/ option&gt; &lt;option value = ""16 ""&gt; 16 &lt;/ option&gt; &lt;option value ="" 17 ""&gt; 17 &lt;/ option&gt; &lt;option value ="" 18 ""&gt; 18 &lt;/ option&gt; &lt;option value ="" 19 ""&gt; 19 &lt;/ option&gt; &lt;option value = ""20""&gt; 20 &lt;/ option&gt; &lt;option valu"&amp;"e = ""21""&gt; 21 &lt;/ option&gt; &lt;option value = ""22""&gt; 22 &lt;/ option&gt; &lt;option value = ""23""&gt; 23 &lt;/ option&gt; &lt;option value = ""24""&gt; 24 &lt;/ option&gt; &lt;option value = ""25""&gt; 25 &lt;/ option&gt; &lt;option value = ""26""&gt; 26 &lt;/ option&gt; &lt;option value = ""27""&gt; 27 &lt;/ option&gt; &lt;"&amp;"option value = ""28""&gt; 28 &lt;/ option&gt; &lt;option value = ""29""&gt; 29 &lt;/ option&gt; &lt;option value = ""30""&gt; 30 &lt;/ option&gt; &lt;option value = ""31""&gt; 31 &lt;/ option&gt; &lt;/ select&gt; &lt;select tabindex = ""- 1"" class = ""airy-age-gate-year""&gt; &lt;option value = ""2019""&gt; 2019 &lt;/ "&amp;"option&gt; &lt; option value = ""2018""&gt; 2018 &lt;/ option&gt; &lt;option value = ""2017""&gt; 2017 &lt;/ option&gt; &lt;option value = ""2016""&gt; ​​2016 &lt;/ option&gt; &lt;option value = ""2015""&gt; 2015 &lt;/ option &gt; &lt;option value = ""2014""&gt; 2014 &lt;/ option&gt; &lt;option value = ""2013""&gt; 2013 &lt;/"&amp;" option&gt; &lt;option value = ""2012""&gt; 2012 &lt;/ option&gt; &lt;option value = ""2011""&gt; 2011 &lt; / option&gt; &lt;option value = ""2010""&gt; 2010 &lt;/ option&gt; &lt;option value = ""2009""&gt; 2009 &lt;/ option&gt; &lt;option value = ""2008""&gt; 2008 &lt;/ option&gt; &lt;option value = ""2007""&gt; 2007 &lt;/ o"&amp;"ption&gt; &lt;option value = ""2006""&gt; 2006 &lt;/ option&gt; &lt;option value = ""2005""&gt; 2005 &lt;/ option&gt; &lt;option value = ""2004""&gt; 2004 &lt;/ option&gt; &lt;option value = ""2003 ""&gt; 2003 &lt;/ option&gt; &lt;option value ="" 2002 ""&gt; 2002 &lt;/ option&gt; &lt;option value ="" 2001 ""&gt; 2001 &lt;/ o"&amp;"ption&gt; &lt;option value ="" 2000 ""&gt; 2000 &lt;/ option&gt; &lt;option value = ""1999""&gt; 1999 &lt;/ option&gt; &lt;option value = ""1998""&gt; 1998 &lt;/ option&gt; &lt;option value = ""1997""&gt; 1997 &lt;/ option&gt; &lt;option value = ""1996""&gt; 1996 &lt;/ option&gt; &lt;option value = ""1995""&gt; 1995 &lt;/ opt"&amp;"ion&gt; &lt;option value = ""1994""&gt; 1994 &lt;/ option&gt; &lt;option value = ""1993""&gt; 1993 &lt;/ option&gt; &lt;option value = ""1992""&gt; 1992 &lt;/ option&gt; &lt;option value = ""1991""&gt; 1991 &lt;/ option&gt; &lt;option value = ""1990""&gt; 1990 &lt;/ option&gt; &lt;option value = "" 1989 ""&gt; 1989 &lt;/ opti"&amp;"on&gt; &lt;option value ="" 1988 ""&gt; 1988 &lt;/ option&gt; &lt;option value ="" 1987 ""&gt; 1987 &lt;/ option&gt; &lt;option value ="" 1986 ""&gt; 1986 &lt;/ option&gt; &lt;value option = ""1985""&gt; 1985 &lt;/ option&gt; &lt;option value = ""1984""&gt; 1984 &lt;/ option&gt; &lt;option value = ""1983""&gt; 1983 &lt;/ opti"&amp;"on&gt; &lt;option value = ""1982""&gt; 1982 &lt;/ option&gt; &lt; option value = ""1981""&gt; 1981 &lt;/ option&gt; &lt;option value = ""1980""&gt; 1980 &lt;/ option&gt; &lt;option value = ""1979""&gt; 1979 &lt;/ option&gt; &lt;option value = ""1978""&gt; 1978 &lt;/ option &gt; &lt;option value = ""1977""&gt; 1977 &lt;/ optio"&amp;"n&gt; &lt;option value = ""1976""&gt; 1976 &lt;/ option&gt; &lt;option value = ""1975""&gt; 1975 &lt;/ option&gt; &lt;option value = ""1974""&gt; 1974 &lt; / option&gt; &lt;option value = ""1973""&gt; 1973 &lt;/ option&gt; &lt;option value = ""1972""&gt; 1972 &lt;/ option&gt; &lt;option value = ""1971""&gt; 1971 &lt;/ option&gt;"&amp;" &lt;option value = ""1970""&gt; 1970 &lt;/ option&gt; &lt;option value = ""1969""&gt; 1969 &lt;/ option&gt; &lt;option value = ""1968""&gt; 1968 &lt;/ option&gt; &lt;option value = ""1967""&gt; 1967 &lt;/ option&gt; &lt;option value = ""1966 ""&gt; 1966 &lt;/ option&gt; &lt;option value ="" 1965 ""&gt; 1965 &lt;/ option&gt; "&amp;"&lt;option value ="" 1964 ""&gt; 1964 &lt;/ option&gt; &lt;option value ="" 1963 ""&gt; 1963 &lt;/ option&gt; &lt;option value = ""1962""&gt; 1962 &lt;/ option&gt; &lt;option value = ""1961""&gt; 1961 &lt;/ option&gt; &lt;option value = ""1960""&gt; 1960 &lt;/ op tion&gt; &lt;option value = ""1959""&gt; 1959 &lt;/ option&gt; "&amp;"&lt;option value = ""1958""&gt; 1958 &lt;/ option&gt; &lt;option value = ""1957""&gt; 1957 &lt;/ option&gt; &lt;option value = ""1956""&gt; 1956 &lt;/ option&gt; &lt;option value = ""1955""&gt; 1955 &lt;/ option&gt; &lt;option value = ""1954""&gt; 1954 &lt;/ option&gt; &lt;option value = ""1953""&gt; 1953 &lt;/ option&gt; &lt;op"&amp;"tion value = ""1952"" &gt; 1952 &lt;/ option&gt; &lt;option value = ""1951""&gt; 1951 &lt;/ option&gt; &lt;option value = ""1950""&gt; 1950 &lt;/ option&gt; &lt;option value = ""1949""&gt; 1949 &lt;/ option&gt; &lt;option value = "" 1948 ""&gt; 1948 &lt;/ option&gt; &lt;option value ="" 1947 ""&gt; 1947 &lt;/ option&gt; &lt;o"&amp;"ption value ="" 1946 ""&gt; 1946 &lt;/ option&gt; &lt;option value ="" 1945 ""&gt; 1945 &lt;/ option&gt; &lt;value option = ""1944""&gt; 1944 &lt;/ option&gt; &lt;option value = ""1943""&gt; 1943 &lt;/ option&gt; &lt;option value = ""1942""&gt; 1942 &lt;/ option&gt; &lt;option value = ""1941""&gt; 1941 &lt;/ option&gt; &lt; o"&amp;"ption value = ""1940""&gt; 1940 &lt;/ option&gt; &lt;option value = ""1939""&gt; 1939 &lt;/ option&gt; &lt;option value = ""1938""&gt; 1938 &lt;/ option&gt; &lt;option value = ""1937""&gt; 1937 &lt;/ option &gt; &lt;option value = ""1936""&gt; 1936 &lt;/ option&gt; &lt;option value = ""1935""&gt; 1935 &lt;/ option&gt; &lt;opt"&amp;"ion value = ""1934""&gt; 1934 &lt;/ option&gt; &lt;option value = ""1933""&gt; 1933 &lt; / option&gt; &lt;option value = ""1932""&gt; 1932 &lt;/ option&gt; &lt;option value = ""1931""&gt; 1931 &lt;/ option&gt; &lt;option v alue = ""1930""&gt; 1930 &lt;/ option&gt; &lt;option value = ""1929""&gt; 1929 &lt;/ option&gt; &lt;opti"&amp;"on value = ""1928""&gt; 1928 &lt;/ option&gt; &lt;option value = ""1927""&gt; 1927 &lt;/ option&gt; &lt;option value = ""1926""&gt; 1926 &lt;/ option&gt; &lt;option value = ""1925""&gt; 1925 &lt;/ option&gt; &lt;option value = ""1924""&gt; 1924 &lt;/ option&gt; &lt;option value = ""1923""&gt; 1923 &lt;/ option&gt; &lt;option "&amp;"value = ""1922""&gt; 1922 &lt;/ option&gt; &lt;option value = ""1921""&gt; 1921 &lt;/ option&gt; &lt;option value = ""1920""&gt; 1920 &lt;/ option&gt; &lt;option value = ""1919""&gt; 1919 &lt;/ option&gt; &lt;option value = ""1918""&gt; 1918 &lt;/ option&gt; &lt;option value = ""1917""&gt; 1917 &lt;/ option&gt; &lt;option val"&amp;"ue = ""1916""&gt; 1916 &lt;/ option&gt; &lt;option value = ""1915"" &gt; 1915 &lt;/ option&gt; &lt;option value = ""1914""&gt; 1914 &lt;/ option&gt; &lt;option value = ""1913""&gt; 1913 &lt;/ option&gt; &lt;option value = ""1912""&gt; 1912 &lt;/ option&gt; &lt;option value = "" 1911 ""&gt; 1911 &lt;/ option&gt; &lt;option val"&amp;"ue ="" 1910 ""&gt; 1910 &lt;/ option&gt; &lt;option value ="" 1909 ""&gt; 1909 &lt;/ option&gt; &lt;option value ="" 1908 ""&gt; 1908 &lt;/ option&gt; &lt;value option = ""1907""&gt; 1907 &lt;/ option&gt; &lt;option value = ""1906""&gt; 1906 &lt;/ option&gt; &lt;option value = ""1905""&gt; 1905 &lt;/ option&gt; &lt;option val"&amp;"ue = ""1904""&gt; 1904 &lt;/ option&gt; &lt; option value = ""1903""&gt; 1903 &lt;/ option&gt; &lt;option value = ""1902""&gt; 1902 &lt;/ option&gt; &lt;option value = ""1901""&gt; 19 01 &lt;/ option&gt; &lt;option value = ""1900""&gt; 1900 &lt;/ option&gt; &lt;/ select&gt; &lt;div tabindex = ""- 1"" class = ""airy-age-"&amp;"gate-submit airy-submit-button airy airy-submit- disabled ""&gt; Submit &lt;/ div&gt; &lt;/ div&gt; &lt;/ div&gt; &lt;/ div&gt; &lt;/ div&gt; &lt;/ div&gt; &lt;div tabindex ="" - 1 ""class ="" airy-install-flash-dialog airy-stage airy -vertical-centering-table-dialog airy airy-denied ""style ="" "&amp;"opacity: 0; visibility: hidden; ""&gt; &lt;div tabindex ="" - 1 ""class ="" airy-install-flash-Vertical-centering-table-cell airy-Vertical-centering-table-cell ""&gt; &lt;div tabindex ="" - 1 ""class = ""airy-Vertical-centering-wrapper airy-install-flash-elements-wra"&amp;"pper""&gt; &lt;div tabindex = ""- 1"" class = ""airy-install-flash-elements airy-dialog-elements""&gt; &lt;div tabindex = "" -1 ""class ="" airy-install-flash-prompt ""&gt; Adobe Flash Player is required to watch this video &lt;/ div&gt; &lt;div tabindex =."" - 1 ""class ="" air"&amp;"y-install-flash-button-wrapper airy -dialog-inner-elements ""&gt; &lt;div tabindex ="" - 1 ""class ="" airy-install-flash-button airy-button ""&gt; install Flash Player &lt;/ div&gt; &lt;/ div&gt; &lt;/ div&gt; &lt;/ div&gt; &lt;/ div&gt; &lt;/ div&gt; &lt;div tabindex = ""- 1"" class = ""airy-video-un"&amp;"supported-dialog airy-stage airy-Vertical-centering-table airy-dialog airy-denied"" style = ""opacity: 0; visibility: hidden; ""&gt; &lt;div tabindex ="" - 1 ""class ="" airy-video-unsupported-Vertical-centering-table-cell airy-Vertical-centering-table-cell ""&gt;"&amp;" &lt;div tabindex ="" - 1 ""class = ""airy-Vertical-centering-wrapper airy-video-unsupported-elements-wrapper""&gt; &lt;div tabindex = ""- 1"" class = ""airy-video-unsupported-elements airy-dialog-elements""&gt; &lt;div tabindex = "" -1 ""class ="" airy-video-unsupporte"&amp;"d-prompt ""&gt; &lt;/ div&gt; &lt;/ div&gt; &lt;/ div&gt; &lt;/ div&gt; &lt;/ div&gt; &lt;div tabindex ="" - 1 ""class ="" airy-loading- spinner-stage airy-stage ""&gt; &lt;div tabindex ="" - 1 ""class ="" airy-loading-spinner-Vertical-centering-table-cell airy-Vertical-centering-table-cell ""&gt; &lt;"&amp;"div tabindex ="" - 1 ""class ="" airy-loading-spinner-container airy-scalable-hint-container ""&gt; &lt;div tabindex ="" - 1 ""class ="" airy-loading-spinner-dummy airy-scalable-dummy ""&gt; &lt;/ div&gt; &lt; div tabindex = ""- 1"" class = ""airy-loading-spinner airy-hint"&amp;""" style = ""visibility: hidden;""&gt; &lt;/ div&gt; &lt;/ div&gt; &lt;/ div&gt; &lt;/ div&gt; &lt;div tabindex = ""- 1 ""class ="" airy-ads-screen-size-toggle airy-screen-size-toggle-fullscreen airy ""style ="" visibility: hidden; ""&gt; &lt;/ div&gt; &lt;div tabindex = ""-1"" class = ""airy-ad-"&amp;"prompt-container"" style = ""visibility: hidden;""&gt; &lt;div tabindex = ""- 1"" class = ""airy-ad-prompt-Vertical-centering-table-vertically airy centering-table ""&gt; &lt;div tabindex ="" - 1 ""class ="" airy-ad-prompt-Vertical-centering-table-cell airy-Vertical-"&amp;"centering-table-cell ""&gt; &lt;div tabindex ="" - 1 ""class = ""airy-ad-prompt-label""&gt; &lt;/ div&gt; &lt;/ div&gt; &lt;/ div&gt; &lt;/ div&gt; &lt;div tabindex = ""- 1"" class = ""airy-ads-controls-container"" style = ""visibility: hidden; ""&gt; &lt;div tabindex ="" - 1 ""class ="" airy-ads"&amp;"-audio-toggle airy-audio-toggle airy-on ""style ="" visibility: hidden; ""&gt; &lt;/ div&gt; &lt;div tabindex ="" - 1 ""class ="" airy-time-remaining-label-container ""&gt; &lt;div tabindex ="" - 1 ""class ="" airy-time-remaining-Vertical-centering-table airy-Vertical-cent"&amp;"ering-table ""&gt; &lt;div tabindex = ""- 1"" class = ""airy-time-remaining-Vertical-centering-table-cell airy-Vertical-centering-table-cell""&gt; &lt;div tabindex = ""- 1"" class = ""airy-Vertical-centering-wrapper airy-time-remaining-label-wrapper ""&gt; &lt;div tabindex"&amp;" ="" - 1 ""class ="" airy-time-remaining-label ""style ="" visibility: hidden; ""&gt; &lt;/ div&gt; &lt;div tabi ndex = ""- 1"" class = ""airy-ad-skip"" style = ""visibility: hidden;""&gt; &lt;/ div&gt; &lt;div tabindex = ""- 1"" class = ""airy-ad-end"" style = ""visibility: hid"&amp;"den ""&gt; &lt;/ div&gt; &lt;/ div&gt; &lt;/ div&gt; &lt;/ div&gt; &lt;/ div&gt; &lt;div tabindex ="" - 1 ""class ="" airy-learn-more ""style ="" visibility: hidden; ""&gt; &lt;/ div&gt; &lt;/ div&gt; &lt;div tabindex = ""- 1"" class = ""airy-play-toggle-hint-stage airy-stage airy-cursor""&gt; &lt;div tabindex = "&amp;"""- 1"" class = ""airy-play -toggle-hint-Vertical-centering-table-cell airy-Vertical-centering-table-cell airy-cursor ""&gt; &lt;div tabindex ="" - 1 ""class ="" airy-play-toggle-hint-container airy-scalable- Hint-container ""&gt; &lt;div tabindex ="" - 1 ""class ="""&amp;" airy-play-toggle-hint-dummy airy-scalable-dummy ""&gt; &lt;/ div&gt; &lt;div tabindex ="" - 1 ""class ="" airy-play -toggle-hint hint airy-airy-play-hint ""style ="" opacity: 1; visibility: visible; ""&gt; &lt;/ div&gt; &lt;/ div&gt; &lt;/ div&gt; &lt;/ div&gt; &lt;div tabindex ="" - 1 ""class ="&amp;""" airy-replay-hint-stage airy-stage ""style ="" visibility: hidden ; ""&gt; &lt;div tabindex ="" - 1 ""class ="" airy-replay-hint-Vertical-centering-table-cell airy-Vertical-centering-table-cell airy-cursor ""&gt; &lt;div tabindex ="" - 1 ""class = ""airy-replay-hin"&amp;"t-container airy-scalable-hint-container""&gt; &lt;div tabindex = ""- 1"" class = ""airy-replay-hint-dummy airy-scalable-dummy""&gt; &lt;/ div&gt; &lt;div tabindex = ""- 1"" class = ""airy-replay-hint airy-hint""&gt; &lt;/ div&gt; &lt;/ div&gt; &lt;/ div&gt; &lt;/ div&gt; &lt;div tabindex = ""- 1"" cla"&amp;"ss = ""airy-autoplay-hint -stage airy-stage ""style ="" visibility: hidden; ""&gt; &lt;div tabindex ="" - 1 ""class ="" airy-autoplay-hint-Vertical-centering-table-cell airy-Vertical-centering-table-cell airy- cursor ""&gt; &lt;div tabindex ="" - 1 ""class ="" autopl"&amp;"ay airy-airy-hint-container-scalable-hint-container ""&gt; &lt;div tabindex ="" - 1 ""class ="" airy-autoplay-hint-dummy airy- scalable-dummy ""&gt; &lt;/ div&gt; &lt;/ div&gt; &lt;/ div&gt; &lt;/ div&gt; &lt;/ div&gt; &lt;/ div&gt; &lt;input type ="" hidden ""name ="" ""value ="" https: // images-eu ."&amp;"ssl-images-amazon.com / images / I / 81W8 + zP10lS.mp4 ""Class ="" video-url ""&gt; &lt;input type ="" hidden ""name ="" ""value ="" https://images-eu.ssl-images-amazon.com/images/I/71HALLPJOPS.png ""class ="" video-slate-img-url ""&gt; &amp; nbsp; is beautiful, pay d"&amp;"esign, because it makes a lot of noise. It's bigger than it looks. Good finishes! Good! Good use")</f>
        <v>Ana &lt;div id = "video-block-R2JR8UQSO7R196" class = "a-section a-spacing-small a-spacing-top mini video-block"&gt; &lt;div tabindex = "0" class = "airy airy-svg vmin -unsupported airy-skin-beacon "style =" background-color: rgb (0, 0, 0) position: relative; width: 100%; height: 100%; font-size: 0px; overflow: hidden; outline: none; "&gt; &lt;div class =" airy-renderer-container "style =" position: relative; height: 100%; width: 100%; "&gt; &lt;video id =" 7 "preload =" auto "src =" https : //images-eu.ssl-images-amazon.com/images/I/81W8+zP10lS.mp4 "style =" position: absolute; left: 0px; top: 0px; overflow: hidden; height: 1px; width: 1px; "&gt; &lt;/ video&gt; &lt;/ div&gt; &lt;div id =" airy-slate-preload "style =" background-color: rgb (0, 0, 0); background-image: url (&amp; quot; https: / /images-eu.ssl-images-amazon.com/images/I/71HALLPJOPS.png&amp;quot;); background-size: Contain; background-position: center center; background-repeat: no-repeat; position: absolute; top: 0px; left: 0px; visibility: visible; width: 100%; height: 100%; "&gt; &lt;/ div&gt; &lt;iframe scrolling =" no "FrameB order = "0" src = "about: blank" style = "display: none;"&gt; &lt;/ iframe&gt; &lt;div tabindex = "- 1" class = "airy-controls-container" style = "opacity: 0; visibility: hidden; "&gt; &lt;div tabindex =" - 1 "class =" airy-screen-size-toggle airy-fullscreen "&gt; &lt;/ div&gt; &lt;div tabindex =" - 1 "class =" airy-container-bottom " &gt; &lt;div tabindex = "- 1" class = "airy-track-bar-spacer-left" style = "width: 11px;"&gt; &lt;/ div&gt; &lt;div tabindex = "- 1" class = "airy-play- airy toggle-play "style =" width: 12px; margin-right: 12px; "&gt; &lt;/ div&gt; &lt;div tabindex =" - 1 "class =" airy-audio-elements "style =" float: right; width: 34px; "&gt; &lt;div tabindex =" - 1 "class =" airy-audio-toggle airy-on "&gt; &lt;/ div&gt; &lt;div tabindex =" - 1 "class =" airy-audio-container "style = "opacity: 0; visibility: hidden; "&gt; &lt;div tabindex =" - 1 "class =" airy-audio-track-bar "style =" height: 80%; "&gt; &lt;div tabindex =" - 1 "class =" airy-audio- Scrubber-bar "style =" height: 85%; "&gt; &lt;/ div&gt; &lt;div tabindex =" - 1 "class =" airy-audio-scrubber "style =" height: 12px; bottom 85% "&gt; &lt;/ div&gt; &lt;/ div&gt; &lt;/ div&gt; &lt;/ div&gt; &lt;div tabindex =" - 1 "class =" airy-duration-label "style =" float: right; width: 26px; margin-right: 4px; text-align: center; "&gt; 0:06 &lt;/ div&gt; &lt;div tabindex =" - 1 "class =" airy-track-bar-spacer-right "style =" float: right; width: 11px; "&gt; &lt;/ div&gt; &lt;div tabindex =" - 1 "class =" airy-track-bar-container "style =" margin-left: 35px; margin-right: 75px; "&gt; &lt;div tabindex =" - 1 "class =" airy-airy-track-bar vertically-centering-table "&gt; &lt;div tabindex =" - 1 "class =" airy-Vertical-centering- table-cell "&gt; &lt;div tabindex =" - 1 "class =" airy-track bar-elements "&gt; &lt;div tabindex =" - 1 "class =" airy-progress bar "style =" width: 100%; "&gt; &lt;/ div&gt; &lt;div tabindex =" - 1 "class =" airy-scrubber-bar "&gt; &lt;/ div&gt; &lt;div tabindex =" - 1 "class =" airy-scrubber "&gt; &lt;div tabindex =" - 1 "class =" airy-scrubber-icon "&gt; &lt;/ div&gt; &lt;div tabindex =" - 1 "class =" airy-adjusted-AUI-tooltip "style =" opacity: 0; visibility: hidden; "&gt; &lt;div tabindex =" - 1 "class =" airy-adjusted-aui-tooltip-inner "&gt; &lt;div tabindex =" - 1 "class =" airy-current-time-label "&gt; 0: 00 &lt;/ div&gt; &lt;/ div&gt; &lt;div tabindex = "- 1" class = "airy-adjusted-AUI-arrow-border"&gt; &lt;div tabindex = "- 1" class = "airy-adjusted-AUI-arrow" &gt; &lt;/ div&gt; &lt;/ div&gt; &lt;/ div&gt; &lt;/ div&gt; &lt;/ div&gt; &lt;/ div&gt; &lt;/ div&gt; &lt;/ div&gt; &lt;/ div&gt; &lt;/ div&gt; &lt;div tabindex = "- 1" class = "airy-age-gate airy-stage airy-Vertical-centering-table airy-dialog" style = "opacity: 0; visibility: hidden; "&gt; &lt;div tabindex =" - 1 "class =" airy-age-gate-Vertical-centering-table-cell airy-Vertical-centering-table-cell "&gt; &lt;div tabindex =" - 1 "class = "airy-Vertical-centering-wrapper airy-age-gate-elements-wrapper"&gt; &lt;div tabindex = "- 1" class = "airy-age-gate-elements airy-dialog-elements"&gt; &lt;div tabindex = " -1 "class =" airy-age-gate-prompt "&gt; This video is not Intended for all audiences What date were you born &lt;/ div&gt; &lt;div tabindex =.?" - 1 "class =" airy-age-gate -inputs airy-dialog-inner-elements "&gt; &lt;select tabindex =" - 1 "class =" airy-age-gate-month "&gt; &lt;option value =" 1 "&gt; January &lt;/ option&gt; &lt;option value =" 2 "&gt; February &lt;/ option&gt; &lt;option value =" 3 "&gt; March &lt;/ option&gt; &lt;option value =" 4 "&gt; April &lt;/ option&gt; &lt;option value =" 5 "&gt; May &lt;/ option&gt; &lt;option value = "6"&gt; June &lt;/ option&gt; &lt;option value = "7"&gt; July &lt;/ option&gt; &lt;option value = "8"&gt; August &lt;/ option&gt; &lt;option value = "9"&gt; September &lt;/ option&gt; &lt;option value = "10"&gt; October &lt;/ option&gt; &lt;option value = "11"&gt; November &lt;/ option&gt; &lt;option value = "12"&gt; December &lt;/ option&gt; &lt;/ select&gt; &lt;select tabindex = "- 1" class = "airy-age-gate-day"&gt; &lt;opti on value = "1"&gt; 1 &lt;/ option&gt; &lt;option value = "2"&gt; 2 &lt;/ option&gt; &lt;option value = "3"&gt; 3 &lt;/ option&gt; &lt;option value = "4"&gt; 4 &lt;/ option &gt; &lt;option value = "5"&gt; 5 &lt;/ option&gt; &lt;option value = "6"&gt; 6 &lt;/ option&gt; &lt;option value = "7"&gt; 7 &lt;/ option&gt; &lt;option value = "8"&gt; 8 &lt; / option&gt; &lt;option value = "9"&gt; 9 &lt;/ option&gt; &lt;option value = "10"&gt; 10 &lt;/ option&gt; &lt;option value = "11"&gt; 11 &lt;/ option&gt; &lt;option value = "12"&gt; 12 &lt;/ option&gt; &lt;option value = "13"&gt; 13 &lt;/ option&gt; &lt;option value = "14"&gt; 14 &lt;/ option&gt; &lt;option value = "15"&gt; 15 &lt;/ option&gt; &lt;option value = "16 "&gt; 16 &lt;/ option&gt; &lt;option value =" 17 "&gt; 17 &lt;/ option&gt; &lt;option value =" 18 "&gt; 18 &lt;/ option&gt; &lt;option value =" 19 "&gt; 19 &lt;/ option&gt; &lt;option value = "20"&gt; 20 &lt;/ option&gt; &lt;option value = "21"&gt; 21 &lt;/ option&gt; &lt;option value = "22"&gt; 22 &lt;/ option&gt; &lt;option value = "23"&gt; 23 &lt;/ option&gt; &lt;option value = "24"&gt; 24 &lt;/ option&gt; &lt;option value = "25"&gt; 25 &lt;/ option&gt; &lt;option value = "26"&gt; 26 &lt;/ option&gt; &lt;option value = "27"&gt; 27 &lt;/ option&gt; &lt;option value = "28"&gt; 28 &lt;/ option&gt; &lt;option value = "29"&gt; 29 &lt;/ option&gt; &lt;option value = "30"&gt; 30 &lt;/ option&gt; &lt;option value = "31"&gt; 31 &lt;/ option&gt; &lt;/ select&gt; &lt;select tabindex = "- 1" class = "airy-age-gate-year"&gt; &lt;option value = "2019"&gt; 2019 &lt;/ option&gt; &lt; option value = "2018"&gt; 2018 &lt;/ option&gt; &lt;option value = "2017"&gt; 2017 &lt;/ option&gt; &lt;option value = "2016"&gt; ​​2016 &lt;/ option&gt; &lt;option value = "2015"&gt; 2015 &lt;/ option &gt; &lt;option value = "2014"&gt; 2014 &lt;/ option&gt; &lt;option value = "2013"&gt; 2013 &lt;/ option&gt; &lt;option value = "2012"&gt; 2012 &lt;/ option&gt; &lt;option value = "2011"&gt; 2011 &lt; / option&gt; &lt;option value = "2010"&gt; 2010 &lt;/ option&gt; &lt;option value = "2009"&gt; 2009 &lt;/ option&gt; &lt;option value = "2008"&gt; 2008 &lt;/ option&gt; &lt;option value = "2007"&gt; 2007 &lt;/ option&gt; &lt;option value = "2006"&gt; 2006 &lt;/ option&gt; &lt;option value = "2005"&gt; 2005 &lt;/ option&gt; &lt;option value = "2004"&gt; 2004 &lt;/ option&gt; &lt;option value = "2003 "&gt; 2003 &lt;/ option&gt; &lt;option value =" 2002 "&gt; 2002 &lt;/ option&gt; &lt;option value =" 2001 "&gt; 2001 &lt;/ option&gt; &lt;option value =" 2000 "&gt; 2000 &lt;/ option&gt; &lt;option value = "1999"&gt; 1999 &lt;/ option&gt; &lt;option value = "1998"&gt; 1998 &lt;/ option&gt; &lt;option value = "1997"&gt; 1997 &lt;/ option&gt; &lt;option value = "1996"&gt; 1996 &lt;/ option&gt; &lt;option value = "1995"&gt; 1995 &lt;/ option&gt; &lt;option value = "1994"&gt; 1994 &lt;/ option&gt; &lt;option value = "1993"&gt; 1993 &lt;/ option&gt; &lt;option value = "1992"&gt; 1992 &lt;/ option&gt; &lt;option value = "1991"&gt; 1991 &lt;/ option&gt; &lt;option value = "1990"&gt; 1990 &lt;/ option&gt; &lt;option value = " 1989 "&gt; 1989 &lt;/ option&gt; &lt;option value =" 1988 "&gt; 1988 &lt;/ option&gt; &lt;option value =" 1987 "&gt; 1987 &lt;/ option&gt; &lt;option value =" 1986 "&gt; 1986 &lt;/ option&gt; &lt;value option = "1985"&gt; 1985 &lt;/ option&gt; &lt;option value = "1984"&gt; 1984 &lt;/ option&gt; &lt;option value = "1983"&gt; 1983 &lt;/ option&gt; &lt;option value = "1982"&gt; 1982 &lt;/ option&gt; &lt; option value = "1981"&gt; 1981 &lt;/ option&gt; &lt;option value = "1980"&gt; 1980 &lt;/ option&gt; &lt;option value = "1979"&gt; 1979 &lt;/ option&gt; &lt;option value = "1978"&gt; 1978 &lt;/ option &gt; &lt;option value = "1977"&gt; 1977 &lt;/ option&gt; &lt;option value = "1976"&gt; 1976 &lt;/ option&gt; &lt;option value = "1975"&gt; 1975 &lt;/ option&gt; &lt;option value = "1974"&gt; 1974 &lt; / option&gt; &lt;option value = "1973"&gt; 1973 &lt;/ option&gt; &lt;option value = "1972"&gt; 1972 &lt;/ option&gt; &lt;option value = "1971"&gt; 1971 &lt;/ option&gt; &lt;option value = "1970"&gt; 1970 &lt;/ option&gt; &lt;option value = "1969"&gt; 1969 &lt;/ option&gt; &lt;option value = "1968"&gt; 1968 &lt;/ option&gt; &lt;option value = "1967"&gt; 1967 &lt;/ option&gt; &lt;option value = "1966 "&gt; 1966 &lt;/ option&gt; &lt;option value =" 1965 "&gt; 1965 &lt;/ option&gt; &lt;option value =" 1964 "&gt; 1964 &lt;/ option&gt; &lt;option value =" 1963 "&gt; 1963 &lt;/ option&gt; &lt;option value = "1962"&gt; 1962 &lt;/ option&gt; &lt;option value = "1961"&gt; 1961 &lt;/ option&gt; &lt;option value = "1960"&gt; 1960 &lt;/ op tion&gt; &lt;option value = "1959"&gt; 1959 &lt;/ option&gt; &lt;option value = "1958"&gt; 1958 &lt;/ option&gt; &lt;option value = "1957"&gt; 1957 &lt;/ option&gt; &lt;option value = "1956"&gt; 1956 &lt;/ option&gt; &lt;option value = "1955"&gt; 1955 &lt;/ option&gt; &lt;option value = "1954"&gt; 1954 &lt;/ option&gt; &lt;option value = "1953"&gt; 1953 &lt;/ option&gt; &lt;option value = "1952" &gt; 1952 &lt;/ option&gt; &lt;option value = "1951"&gt; 1951 &lt;/ option&gt; &lt;option value = "1950"&gt; 1950 &lt;/ option&gt; &lt;option value = "1949"&gt; 1949 &lt;/ option&gt; &lt;option value = " 1948 "&gt; 1948 &lt;/ option&gt; &lt;option value =" 1947 "&gt; 1947 &lt;/ option&gt; &lt;option value =" 1946 "&gt; 1946 &lt;/ option&gt; &lt;option value =" 1945 "&gt; 1945 &lt;/ option&gt; &lt;value option = "1944"&gt; 1944 &lt;/ option&gt; &lt;option value = "1943"&gt; 1943 &lt;/ option&gt; &lt;option value = "1942"&gt; 1942 &lt;/ option&gt; &lt;option value = "1941"&gt; 1941 &lt;/ option&gt; &lt; option value = "1940"&gt; 1940 &lt;/ option&gt; &lt;option value = "1939"&gt; 1939 &lt;/ option&gt; &lt;option value = "1938"&gt; 1938 &lt;/ option&gt; &lt;option value = "1937"&gt; 1937 &lt;/ option &gt; &lt;option value = "1936"&gt; 1936 &lt;/ option&gt; &lt;option value = "1935"&gt; 1935 &lt;/ option&gt; &lt;option value = "1934"&gt; 1934 &lt;/ option&gt; &lt;option value = "1933"&gt; 1933 &lt; / option&gt; &lt;option value = "1932"&gt; 1932 &lt;/ option&gt; &lt;option value = "1931"&gt; 1931 &lt;/ option&gt; &lt;option v alue = "1930"&gt; 1930 &lt;/ option&gt; &lt;option value = "1929"&gt; 1929 &lt;/ option&gt; &lt;option value = "1928"&gt; 1928 &lt;/ option&gt; &lt;option value = "1927"&gt; 1927 &lt;/ option&gt; &lt;option value = "1926"&gt; 1926 &lt;/ option&gt; &lt;option value = "1925"&gt; 1925 &lt;/ option&gt; &lt;option value = "1924"&gt; 1924 &lt;/ option&gt; &lt;option value = "1923"&gt; 1923 &lt;/ option&gt; &lt;option value = "1922"&gt; 1922 &lt;/ option&gt; &lt;option value = "1921"&gt; 1921 &lt;/ option&gt; &lt;option value = "1920"&gt; 1920 &lt;/ option&gt; &lt;option value = "1919"&gt; 1919 &lt;/ option&gt; &lt;option value = "1918"&gt; 1918 &lt;/ option&gt; &lt;option value = "1917"&gt; 1917 &lt;/ option&gt; &lt;option value = "1916"&gt; 1916 &lt;/ option&gt; &lt;option value = "1915" &gt; 1915 &lt;/ option&gt; &lt;option value = "1914"&gt; 1914 &lt;/ option&gt; &lt;option value = "1913"&gt; 1913 &lt;/ option&gt; &lt;option value = "1912"&gt; 1912 &lt;/ option&gt; &lt;option value = " 1911 "&gt; 1911 &lt;/ option&gt; &lt;option value =" 1910 "&gt; 1910 &lt;/ option&gt; &lt;option value =" 1909 "&gt; 1909 &lt;/ option&gt; &lt;option value =" 1908 "&gt; 1908 &lt;/ option&gt; &lt;value option = "1907"&gt; 1907 &lt;/ option&gt; &lt;option value = "1906"&gt; 1906 &lt;/ option&gt; &lt;option value = "1905"&gt; 1905 &lt;/ option&gt; &lt;option value = "1904"&gt; 1904 &lt;/ option&gt; &lt; option value = "1903"&gt; 1903 &lt;/ option&gt; &lt;option value = "1902"&gt; 1902 &lt;/ option&gt; &lt;option value = "1901"&gt; 19 01 &lt;/ option&gt; &lt;option value = "1900"&gt; 1900 &lt;/ option&gt; &lt;/ select&gt; &lt;div tabindex = "- 1" class = "airy-age-gate-submit airy-submit-button airy airy-submit- disabled "&gt; Submit &lt;/ div&gt; &lt;/ div&gt; &lt;/ div&gt; &lt;/ div&gt; &lt;/ div&gt; &lt;/ div&gt; &lt;div tabindex =" - 1 "class =" airy-install-flash-dialog airy-stage airy -vertical-centering-table-dialog airy airy-denied "style =" opacity: 0; visibility: hidden; "&gt; &lt;div tabindex =" - 1 "class =" airy-install-flash-Vertical-centering-table-cell airy-Vertical-centering-table-cell "&gt; &lt;div tabindex =" - 1 "class = "airy-Vertical-centering-wrapper airy-install-flash-elements-wrapper"&gt; &lt;div tabindex = "- 1" class = "airy-install-flash-elements airy-dialog-elements"&gt; &lt;div tabindex = " -1 "class =" airy-install-flash-prompt "&gt; Adobe Flash Player is required to watch this video &lt;/ div&gt; &lt;div tabindex =." - 1 "class =" airy-install-flash-button-wrapper airy -dialog-inner-elements "&gt; &lt;div tabindex =" - 1 "class =" airy-install-flash-button airy-button "&gt; install Flash Player &lt;/ div&gt; &lt;/ div&gt; &lt;/ div&gt; &lt;/ div&gt; &lt;/ div&gt; &lt;/ div&gt; &lt;div tabindex = "- 1" class = "airy-video-unsupported-dialog airy-stage airy-Vertical-centering-table airy-dialog airy-denied" style = "opacity: 0; visibility: hidden; "&gt; &lt;div tabindex =" - 1 "class =" airy-video-unsupported-Vertical-centering-table-cell airy-Vertical-centering-table-cell "&gt; &lt;div tabindex =" - 1 "class = "airy-Vertical-centering-wrapper airy-video-unsupported-elements-wrapper"&gt; &lt;div tabindex = "- 1" class = "airy-video-unsupported-elements airy-dialog-elements"&gt; &lt;div tabindex = " -1 "class =" airy-video-unsupported-prompt "&gt; &lt;/ div&gt; &lt;/ div&gt; &lt;/ div&gt; &lt;/ div&gt; &lt;/ div&gt; &lt;div tabindex =" - 1 "class =" airy-loading- spinner-stage airy-stage "&gt; &lt;div tabindex =" - 1 "class =" airy-loading-spinner-Vertical-centering-table-cell airy-Vertical-centering-table-cell "&gt; &lt;div tabindex =" - 1 "class =" airy-loading-spinner-container airy-scalable-hint-container "&gt; &lt;div tabindex =" - 1 "class =" airy-loading-spinner-dummy airy-scalable-dummy "&gt; &lt;/ div&gt; &lt; div tabindex = "- 1" class = "airy-loading-spinner airy-hint" style = "visibility: hidden;"&gt; &lt;/ div&gt; &lt;/ div&gt; &lt;/ div&gt; &lt;/ div&gt; &lt;div tabindex = "- 1 "class =" airy-ads-screen-size-toggle airy-screen-size-toggle-fullscreen airy "style =" visibility: hidden; "&gt; &lt;/ div&gt; &lt;div tabindex = "-1" class = "airy-ad-prompt-container" style = "visibility: hidden;"&gt; &lt;div tabindex = "- 1" class = "airy-ad-prompt-Vertical-centering-table-vertically airy centering-table "&gt; &lt;div tabindex =" - 1 "class =" airy-ad-prompt-Vertical-centering-table-cell airy-Vertical-centering-table-cell "&gt; &lt;div tabindex =" - 1 "class = "airy-ad-prompt-label"&gt; &lt;/ div&gt; &lt;/ div&gt; &lt;/ div&gt; &lt;/ div&gt; &lt;div tabindex = "- 1" class = "airy-ads-controls-container" style = "visibility: hidden; "&gt; &lt;div tabindex =" - 1 "class =" airy-ads-audio-toggle airy-audio-toggle airy-on "style =" visibility: hidden; "&gt; &lt;/ div&gt; &lt;div tabindex =" - 1 "class =" airy-time-remaining-label-container "&gt; &lt;div tabindex =" - 1 "class =" airy-time-remaining-Vertical-centering-table airy-Vertical-centering-table "&gt; &lt;div tabindex = "- 1" class = "airy-time-remaining-Vertical-centering-table-cell airy-Vertical-centering-table-cell"&gt; &lt;div tabindex = "- 1" class = "airy-Vertical-centering-wrapper airy-time-remaining-label-wrapper "&gt; &lt;div tabindex =" - 1 "class =" airy-time-remaining-label "style =" visibility: hidden; "&gt; &lt;/ div&gt; &lt;div tabi ndex = "- 1" class = "airy-ad-skip" style = "visibility: hidden;"&gt; &lt;/ div&gt; &lt;div tabindex = "- 1" class = "airy-ad-end" style = "visibility: hidden "&gt; &lt;/ div&gt; &lt;/ div&gt; &lt;/ div&gt; &lt;/ div&gt; &lt;/ div&gt; &lt;div tabindex =" - 1 "class =" airy-learn-more "style =" visibility: hidden; "&gt; &lt;/ div&gt; &lt;/ div&gt; &lt;div tabindex = "- 1" class = "airy-play-toggle-hint-stage airy-stage airy-cursor"&gt; &lt;div tabindex = "- 1" class = "airy-play -toggle-hint-Vertical-centering-table-cell airy-Vertical-centering-table-cell airy-cursor "&gt; &lt;div tabindex =" - 1 "class =" airy-play-toggle-hint-container airy-scalable- Hint-container "&gt; &lt;div tabindex =" - 1 "class =" airy-play-toggle-hint-dummy airy-scalable-dummy "&gt; &lt;/ div&gt; &lt;div tabindex =" - 1 "class =" airy-play -toggle-hint hint airy-airy-play-hint "style =" opacity: 1; visibility: visible; "&gt; &lt;/ div&gt; &lt;/ div&gt; &lt;/ div&gt; &lt;/ div&gt; &lt;div tabindex =" - 1 "class =" airy-replay-hint-stage airy-stage "style =" visibility: hidden ; "&gt; &lt;div tabindex =" - 1 "class =" airy-replay-hint-Vertical-centering-table-cell airy-Vertical-centering-table-cell airy-cursor "&gt; &lt;div tabindex =" - 1 "class = "airy-replay-hint-container airy-scalable-hint-container"&gt; &lt;div tabindex = "- 1" class = "airy-replay-hint-dummy airy-scalable-dummy"&gt; &lt;/ div&gt; &lt;div tabindex = "- 1" class = "airy-replay-hint airy-hint"&gt; &lt;/ div&gt; &lt;/ div&gt; &lt;/ div&gt; &lt;/ div&gt; &lt;div tabindex = "- 1" class = "airy-autoplay-hint -stage airy-stage "style =" visibility: hidden; "&gt; &lt;div tabindex =" - 1 "class =" airy-autoplay-hint-Vertical-centering-table-cell airy-Vertical-centering-table-cell airy- cursor "&gt; &lt;div tabindex =" - 1 "class =" autoplay airy-airy-hint-container-scalable-hint-container "&gt; &lt;div tabindex =" - 1 "class =" airy-autoplay-hint-dummy airy- scalable-dummy "&gt; &lt;/ div&gt; &lt;/ div&gt; &lt;/ div&gt; &lt;/ div&gt; &lt;/ div&gt; &lt;/ div&gt; &lt;input type =" hidden "name =" "value =" https: // images-eu .ssl-images-amazon.com / images / I / 81W8 + zP10lS.mp4 "Class =" video-url "&gt; &lt;input type =" hidden "name =" "value =" https://images-eu.ssl-images-amazon.com/images/I/71HALLPJOPS.png "class =" video-slate-img-url "&gt; &amp; nbsp; is beautiful, pay design, because it makes a lot of noise. It's bigger than it looks. Good finishes! Good! Good use</v>
      </c>
    </row>
    <row r="4858">
      <c r="A4858" s="1">
        <v>5.0</v>
      </c>
      <c r="B4858" s="1" t="s">
        <v>4831</v>
      </c>
      <c r="C4858" t="str">
        <f>IFERROR(__xludf.DUMMYFUNCTION("GOOGLETRANSLATE(B4858, ""es"", ""en"")"),"A good memory card for that price. I've always used the SanDisk brand cards and have never been disappointed. This, though not very fast, is a good buy at that price.")</f>
        <v>A good memory card for that price. I've always used the SanDisk brand cards and have never been disappointed. This, though not very fast, is a good buy at that price.</v>
      </c>
    </row>
    <row r="4859">
      <c r="A4859" s="1">
        <v>5.0</v>
      </c>
      <c r="B4859" s="1" t="s">
        <v>4832</v>
      </c>
      <c r="C4859" t="str">
        <f>IFERROR(__xludf.DUMMYFUNCTION("GOOGLETRANSLATE(B4859, ""es"", ""en"")"),"I love Precious pendant is very fine and beautiful place")</f>
        <v>I love Precious pendant is very fine and beautiful place</v>
      </c>
    </row>
    <row r="4860">
      <c r="A4860" s="1">
        <v>5.0</v>
      </c>
      <c r="B4860" s="1" t="s">
        <v>4833</v>
      </c>
      <c r="C4860" t="str">
        <f>IFERROR(__xludf.DUMMYFUNCTION("GOOGLETRANSLATE(B4860, ""es"", ""en"")"),"Small high capacity as an offer, I have been very pleased with their quality compared to the price. They are items that today are used as both lost ... The pros is the great capacity. Cons that given its small size, is just as great for transport as easy "&amp;"to lose. Thank you.")</f>
        <v>Small high capacity as an offer, I have been very pleased with their quality compared to the price. They are items that today are used as both lost ... The pros is the great capacity. Cons that given its small size, is just as great for transport as easy to lose. Thank you.</v>
      </c>
    </row>
    <row r="4861">
      <c r="A4861" s="1">
        <v>5.0</v>
      </c>
      <c r="B4861" s="1" t="s">
        <v>4834</v>
      </c>
      <c r="C4861" t="str">
        <f>IFERROR(__xludf.DUMMYFUNCTION("GOOGLETRANSLATE(B4861, ""es"", ""en"")"),"The best thing about portable blender is that you do not need to be plugged into the current so can take it anywhere, use it a lot for children and so eat fruit daily")</f>
        <v>The best thing about portable blender is that you do not need to be plugged into the current so can take it anywhere, use it a lot for children and so eat fruit daily</v>
      </c>
    </row>
    <row r="4862">
      <c r="A4862" s="1">
        <v>5.0</v>
      </c>
      <c r="B4862" s="1" t="s">
        <v>4835</v>
      </c>
      <c r="C4862" t="str">
        <f>IFERROR(__xludf.DUMMYFUNCTION("GOOGLETRANSLATE(B4862, ""es"", ""en"")"),"Masajeador powerful recimendado Very good excellent massager. It was just what we expected came in one day. It has good power and is durable in addition to accessories and good battery life")</f>
        <v>Masajeador powerful recimendado Very good excellent massager. It was just what we expected came in one day. It has good power and is durable in addition to accessories and good battery life</v>
      </c>
    </row>
    <row r="4863">
      <c r="A4863" s="1">
        <v>5.0</v>
      </c>
      <c r="B4863" s="1" t="s">
        <v>4836</v>
      </c>
      <c r="C4863" t="str">
        <f>IFERROR(__xludf.DUMMYFUNCTION("GOOGLETRANSLATE(B4863, ""es"", ""en"")"),"It smells good fast shipping and good quality product, really nourishes the leather is not prigoso and leaves a good finish and also smells good")</f>
        <v>It smells good fast shipping and good quality product, really nourishes the leather is not prigoso and leaves a good finish and also smells good</v>
      </c>
    </row>
    <row r="4864">
      <c r="A4864" s="1">
        <v>5.0</v>
      </c>
      <c r="B4864" s="1" t="s">
        <v>4837</v>
      </c>
      <c r="C4864" t="str">
        <f>IFERROR(__xludf.DUMMYFUNCTION("GOOGLETRANSLATE(B4864, ""es"", ""en"")"),"pleasantly surprised pleasantly surprised, I was reluctant to headphones without a hitch on to the ear for fear falling during sports and lose the handset, and buy this model for its price and because I aesthetically look nice and discreet black is very e"&amp;"legant . The first thing I liked was the presentation a black box with pleasure. After the cargo box also has a very nice and elegant design, the rounded edges charm me that makes touch to the catch better. Headphones inside fit with a system of magnetism"&amp;" that makes it impossible to get him in the box wrong and avoid surprises later, the cargo box has a small battery that is charged in 90 minutes or less and headphones take more or less the same to be ready for use. You can also charge the headset without"&amp;" being in power, the battery can last 4 hours it is not bad. Both headphones are discreet and small with a nice touch are matched smoothly and quickly between them and then the phone or tablet is very simple like any other handset. When using fits perfect"&amp;"ly in your ear and you can not go wrong because it does not fit if not her. I have used the bike and no problems have not fallen at any time that was what I was afraid. In the headset it has a central button that handles everything on and off, pick up cal"&amp;"l or not, if we double clip on the right is next song and we do it on the left is previous song. If we do triple clip on the up right volume and if the left volume down. In short I loved her long battery life touch on the ear which is very comfortable for"&amp;" sport is fine is not easily dropped, easy to use.")</f>
        <v>pleasantly surprised pleasantly surprised, I was reluctant to headphones without a hitch on to the ear for fear falling during sports and lose the handset, and buy this model for its price and because I aesthetically look nice and discreet black is very elegant . The first thing I liked was the presentation a black box with pleasure. After the cargo box also has a very nice and elegant design, the rounded edges charm me that makes touch to the catch better. Headphones inside fit with a system of magnetism that makes it impossible to get him in the box wrong and avoid surprises later, the cargo box has a small battery that is charged in 90 minutes or less and headphones take more or less the same to be ready for use. You can also charge the headset without being in power, the battery can last 4 hours it is not bad. Both headphones are discreet and small with a nice touch are matched smoothly and quickly between them and then the phone or tablet is very simple like any other handset. When using fits perfectly in your ear and you can not go wrong because it does not fit if not her. I have used the bike and no problems have not fallen at any time that was what I was afraid. In the headset it has a central button that handles everything on and off, pick up call or not, if we double clip on the right is next song and we do it on the left is previous song. If we do triple clip on the up right volume and if the left volume down. In short I loved her long battery life touch on the ear which is very comfortable for sport is fine is not easily dropped, easy to use.</v>
      </c>
    </row>
    <row r="4865">
      <c r="A4865" s="1">
        <v>5.0</v>
      </c>
      <c r="B4865" s="1" t="s">
        <v>4838</v>
      </c>
      <c r="C4865" t="str">
        <f>IFERROR(__xludf.DUMMYFUNCTION("GOOGLETRANSLATE(B4865, ""es"", ""en"")"),"Good headphones caundo came not all him, resembled the typical first Chinese product without any pretensions, but here the first surprise: the manual was in perfect Spanish. Easy pairing, as they take them out practically to accept on the phone already pa"&amp;"ired easy to load, only to leave them at their base and provide for about 2 or 2.5 hours Sound spectacular for what seem some pretty good bass (council : change the number pads by other thicker to have an experience of brutal sound) the basis given for 2-"&amp;"3 loads so a whole day to spare you work for me have been the revelation: I work in a factory and I have to wear headphones 3M type to muffle the noise, well I can now take and also listen to music without inventions making cables and super comfortable fo"&amp;"r my work has been milk truth, not as will be more expensive but they go and they sound great.")</f>
        <v>Good headphones caundo came not all him, resembled the typical first Chinese product without any pretensions, but here the first surprise: the manual was in perfect Spanish. Easy pairing, as they take them out practically to accept on the phone already paired easy to load, only to leave them at their base and provide for about 2 or 2.5 hours Sound spectacular for what seem some pretty good bass (council : change the number pads by other thicker to have an experience of brutal sound) the basis given for 2-3 loads so a whole day to spare you work for me have been the revelation: I work in a factory and I have to wear headphones 3M type to muffle the noise, well I can now take and also listen to music without inventions making cables and super comfortable for my work has been milk truth, not as will be more expensive but they go and they sound great.</v>
      </c>
    </row>
    <row r="4866">
      <c r="A4866" s="1">
        <v>5.0</v>
      </c>
      <c r="B4866" s="1" t="s">
        <v>4839</v>
      </c>
      <c r="C4866" t="str">
        <f>IFERROR(__xludf.DUMMYFUNCTION("GOOGLETRANSLATE(B4866, ""es"", ""en"")"),"A wonder I love these shoes are better than I expected. They are very comfortable and are extremely well placed with a cowboy. The size is European size can fit.")</f>
        <v>A wonder I love these shoes are better than I expected. They are very comfortable and are extremely well placed with a cowboy. The size is European size can fit.</v>
      </c>
    </row>
    <row r="4867">
      <c r="A4867" s="1">
        <v>5.0</v>
      </c>
      <c r="B4867" s="1" t="s">
        <v>238</v>
      </c>
      <c r="C4867" t="str">
        <f>IFERROR(__xludf.DUMMYFUNCTION("GOOGLETRANSLATE(B4867, ""es"", ""en"")"),"perfect perfect")</f>
        <v>perfect perfect</v>
      </c>
    </row>
    <row r="4868">
      <c r="A4868" s="1">
        <v>5.0</v>
      </c>
      <c r="B4868" s="1" t="s">
        <v>4840</v>
      </c>
      <c r="C4868" t="str">
        <f>IFERROR(__xludf.DUMMYFUNCTION("GOOGLETRANSLATE(B4868, ""es"", ""en"")"),"pleasant heat for hours After two months of use are delighted. Ten minutes charge reaches a relatively high temperature. Then unplug and keeps the heat for hours. We put it in the footwell on the bed and is making us very cold bearable. I also used to app"&amp;"ly dry heat for back pain and is perfect. Highly recommended, although I bought another in a physical store cheaper than Amazon.")</f>
        <v>pleasant heat for hours After two months of use are delighted. Ten minutes charge reaches a relatively high temperature. Then unplug and keeps the heat for hours. We put it in the footwell on the bed and is making us very cold bearable. I also used to apply dry heat for back pain and is perfect. Highly recommended, although I bought another in a physical store cheaper than Amazon.</v>
      </c>
    </row>
    <row r="4869">
      <c r="A4869" s="1">
        <v>5.0</v>
      </c>
      <c r="B4869" s="1" t="s">
        <v>4841</v>
      </c>
      <c r="C4869" t="str">
        <f>IFERROR(__xludf.DUMMYFUNCTION("GOOGLETRANSLATE(B4869, ""es"", ""en"")"),"Salomon very happy with my Amazon iloecable Service, as always. Great product, great price, I'll take that. I shall not use or wear evaluate, that other users already do, and I'm not a pro.")</f>
        <v>Salomon very happy with my Amazon iloecable Service, as always. Great product, great price, I'll take that. I shall not use or wear evaluate, that other users already do, and I'm not a pro.</v>
      </c>
    </row>
    <row r="4870">
      <c r="A4870" s="1">
        <v>5.0</v>
      </c>
      <c r="B4870" s="1" t="s">
        <v>4842</v>
      </c>
      <c r="C4870" t="str">
        <f>IFERROR(__xludf.DUMMYFUNCTION("GOOGLETRANSLATE(B4870, ""es"", ""en"")"),"Encantado very practical. At the end I could get all videos from my iPhone without answering it to the PC.")</f>
        <v>Encantado very practical. At the end I could get all videos from my iPhone without answering it to the PC.</v>
      </c>
    </row>
    <row r="4871">
      <c r="A4871" s="1">
        <v>5.0</v>
      </c>
      <c r="B4871" s="1" t="s">
        <v>4843</v>
      </c>
      <c r="C4871" t="str">
        <f>IFERROR(__xludf.DUMMYFUNCTION("GOOGLETRANSLATE(B4871, ""es"", ""en"")"),"ADIDAS Duramo I liked everything. Pretty shoe, it is comodisima and you can walk all you want with it or is it perfect")</f>
        <v>ADIDAS Duramo I liked everything. Pretty shoe, it is comodisima and you can walk all you want with it or is it perfect</v>
      </c>
    </row>
    <row r="4872">
      <c r="A4872" s="1">
        <v>5.0</v>
      </c>
      <c r="B4872" s="1" t="s">
        <v>4844</v>
      </c>
      <c r="C4872" t="str">
        <f>IFERROR(__xludf.DUMMYFUNCTION("GOOGLETRANSLATE(B4872, ""es"", ""en"")"),"Comfortable and hard. They offer premium sound. The quality is quite loud and clear, perfect for music, movies and even phone calls. It has a control key, used to answer a call by pressing once work perfectly, they listen very bien.Son a robust headphones"&amp;" and with exceptional quality, for which the price / quality ratio is very good. Fully recommended.")</f>
        <v>Comfortable and hard. They offer premium sound. The quality is quite loud and clear, perfect for music, movies and even phone calls. It has a control key, used to answer a call by pressing once work perfectly, they listen very bien.Son a robust headphones and with exceptional quality, for which the price / quality ratio is very good. Fully recommended.</v>
      </c>
    </row>
    <row r="4873">
      <c r="A4873" s="1">
        <v>5.0</v>
      </c>
      <c r="B4873" s="1" t="s">
        <v>4845</v>
      </c>
      <c r="C4873" t="str">
        <f>IFERROR(__xludf.DUMMYFUNCTION("GOOGLETRANSLATE(B4873, ""es"", ""en"")"),"Blender Blender Philips brand quality. The mixer is simple, but is a solid product, and resistant. The main body of the mixer is finished in stainless steel, on the front, we have a rotary knob with which we light'll turn off the mixer, ye go by selecting"&amp;" the stirring speed. At the bottom four suction cups that hold us the mixer on the kitchen counter, you, prevent it from moving when we are working. Pitcher, strong and heavy, with a capacity of 2 liters. The cap, carrying the contact area with the mixer,"&amp;" a blade of silicon, so that nothing spills. As an accessory, comes a glass to make fruit smoothies, very practical, it comes with its set of blades in a separate accessory, and other accessory, which is the lid, pour the juices which, once crushed. Excep"&amp;"t the main body, all other parts and accessories, we put it in the dishwasher. Detail as to say it is not very noisy, far less than my old mixer. Philips puts us in our hand, lots of recipes and smoothies. We can access these, installed on mobile the ""He"&amp;"althy Drinks"" application, which can be found in Play Store. The power is 700 W. The speed selector has many positions.")</f>
        <v>Blender Blender Philips brand quality. The mixer is simple, but is a solid product, and resistant. The main body of the mixer is finished in stainless steel, on the front, we have a rotary knob with which we light'll turn off the mixer, ye go by selecting the stirring speed. At the bottom four suction cups that hold us the mixer on the kitchen counter, you, prevent it from moving when we are working. Pitcher, strong and heavy, with a capacity of 2 liters. The cap, carrying the contact area with the mixer, a blade of silicon, so that nothing spills. As an accessory, comes a glass to make fruit smoothies, very practical, it comes with its set of blades in a separate accessory, and other accessory, which is the lid, pour the juices which, once crushed. Except the main body, all other parts and accessories, we put it in the dishwasher. Detail as to say it is not very noisy, far less than my old mixer. Philips puts us in our hand, lots of recipes and smoothies. We can access these, installed on mobile the "Healthy Drinks" application, which can be found in Play Store. The power is 700 W. The speed selector has many positions.</v>
      </c>
    </row>
    <row r="4874">
      <c r="A4874" s="1">
        <v>5.0</v>
      </c>
      <c r="B4874" s="1" t="s">
        <v>4846</v>
      </c>
      <c r="C4874" t="str">
        <f>IFERROR(__xludf.DUMMYFUNCTION("GOOGLETRANSLATE(B4874, ""es"", ""en"")"),"The cult clock watch does not have any defect in my opinion, for the price quality is a gift, totally I recommend. Just a warning: It is a great watch, if you, like me, a little doll maybe do not end up being comfortable, but of course this is not a defec"&amp;"t of the clock.")</f>
        <v>The cult clock watch does not have any defect in my opinion, for the price quality is a gift, totally I recommend. Just a warning: It is a great watch, if you, like me, a little doll maybe do not end up being comfortable, but of course this is not a defect of the clock.</v>
      </c>
    </row>
    <row r="4875">
      <c r="A4875" s="1">
        <v>5.0</v>
      </c>
      <c r="B4875" s="1" t="s">
        <v>4847</v>
      </c>
      <c r="C4875" t="str">
        <f>IFERROR(__xludf.DUMMYFUNCTION("GOOGLETRANSLATE(B4875, ""es"", ""en"")"),"Outstanding sound excellent sound to match expected for this price. Are somewhat hot aldededor so after an hour of continuous use I have to take them off. Noise cancellation is great, completely isolated from external noises and sounds. Moment no problem "&amp;"with the Bluetooth connection or battery. The battery holds enough time for me more than enough.")</f>
        <v>Outstanding sound excellent sound to match expected for this price. Are somewhat hot aldededor so after an hour of continuous use I have to take them off. Noise cancellation is great, completely isolated from external noises and sounds. Moment no problem with the Bluetooth connection or battery. The battery holds enough time for me more than enough.</v>
      </c>
    </row>
    <row r="4876">
      <c r="A4876" s="1">
        <v>2.0</v>
      </c>
      <c r="B4876" s="1" t="s">
        <v>4848</v>
      </c>
      <c r="C4876" t="str">
        <f>IFERROR(__xludf.DUMMYFUNCTION("GOOGLETRANSLATE(B4876, ""es"", ""en"")"),"Very little comodidad.no I could go out with them you have to take one size fits most I've released and are not comfortable 2 pair and as XTi bother the can not carry return them are insufferable is 2 pair I ask my number and do a lot of damage")</f>
        <v>Very little comodidad.no I could go out with them you have to take one size fits most I've released and are not comfortable 2 pair and as XTi bother the can not carry return them are insufferable is 2 pair I ask my number and do a lot of damage</v>
      </c>
    </row>
    <row r="4877">
      <c r="A4877" s="1">
        <v>3.0</v>
      </c>
      <c r="B4877" s="1" t="s">
        <v>4849</v>
      </c>
      <c r="C4877" t="str">
        <f>IFERROR(__xludf.DUMMYFUNCTION("GOOGLETRANSLATE(B4877, ""es"", ""en"")"),"Inadvisable Very good subjection to the ear thanks to the included adapters (three ways) and three sizes of ear cushions supplied. The battery life of a little justilla headphones, but can be recharged from the case, but it takes half an hour and do it. L"&amp;"ittle convenient system control operations (up / down the volume, forward / backward, etc.) because, not being tactile, to press the headset 1, 2 or 3 times, which ends up hurting your ear. Sound, quite poor: serious shallow and sharp cracked, but the mai"&amp;"n flaw, for me, that is the right atrial desconectava intermittently throughout the period of use, so it was left to enjoy music and has been the reason returned any.")</f>
        <v>Inadvisable Very good subjection to the ear thanks to the included adapters (three ways) and three sizes of ear cushions supplied. The battery life of a little justilla headphones, but can be recharged from the case, but it takes half an hour and do it. Little convenient system control operations (up / down the volume, forward / backward, etc.) because, not being tactile, to press the headset 1, 2 or 3 times, which ends up hurting your ear. Sound, quite poor: serious shallow and sharp cracked, but the main flaw, for me, that is the right atrial desconectava intermittently throughout the period of use, so it was left to enjoy music and has been the reason returned any.</v>
      </c>
    </row>
    <row r="4878">
      <c r="A4878" s="1">
        <v>3.0</v>
      </c>
      <c r="B4878" s="1" t="s">
        <v>4850</v>
      </c>
      <c r="C4878" t="str">
        <f>IFERROR(__xludf.DUMMYFUNCTION("GOOGLETRANSLATE(B4878, ""es"", ""en"")"),"Clean but .. it is a comfortable material to use. But despite being clean it does not have much capacity adherent.")</f>
        <v>Clean but .. it is a comfortable material to use. But despite being clean it does not have much capacity adherent.</v>
      </c>
    </row>
    <row r="4879">
      <c r="A4879" s="1">
        <v>1.0</v>
      </c>
      <c r="B4879" s="1" t="s">
        <v>4851</v>
      </c>
      <c r="C4879" t="str">
        <f>IFERROR(__xludf.DUMMYFUNCTION("GOOGLETRANSLATE(B4879, ""es"", ""en"")"),"Arthur. I have broken me. With 16 months. It has started to turn off the screen. no longer see any numbers or letters. Very unhappy, I thought it would last me quite as it is recorded that the battery lasts 10 years. What I can do?")</f>
        <v>Arthur. I have broken me. With 16 months. It has started to turn off the screen. no longer see any numbers or letters. Very unhappy, I thought it would last me quite as it is recorded that the battery lasts 10 years. What I can do?</v>
      </c>
    </row>
    <row r="4880">
      <c r="A4880" s="1">
        <v>1.0</v>
      </c>
      <c r="B4880" s="1" t="s">
        <v>4852</v>
      </c>
      <c r="C4880" t="str">
        <f>IFERROR(__xludf.DUMMYFUNCTION("GOOGLETRANSLATE(B4880, ""es"", ""en"")"),"I asked. The pedi in black on black.")</f>
        <v>I asked. The pedi in black on black.</v>
      </c>
    </row>
    <row r="4881">
      <c r="A4881" s="1">
        <v>1.0</v>
      </c>
      <c r="B4881" s="1" t="s">
        <v>4853</v>
      </c>
      <c r="C4881" t="str">
        <f>IFERROR(__xludf.DUMMYFUNCTION("GOOGLETRANSLATE(B4881, ""es"", ""en"")"),"poor quality No good battery charge, the buttons are disassembled and moved. The micro single voice captures the top, not the side and regilla of the micro this aboyada ... wrong ... I want it back!")</f>
        <v>poor quality No good battery charge, the buttons are disassembled and moved. The micro single voice captures the top, not the side and regilla of the micro this aboyada ... wrong ... I want it back!</v>
      </c>
    </row>
    <row r="4882">
      <c r="A4882" s="1">
        <v>4.0</v>
      </c>
      <c r="B4882" s="1" t="s">
        <v>4854</v>
      </c>
      <c r="C4882" t="str">
        <f>IFERROR(__xludf.DUMMYFUNCTION("GOOGLETRANSLATE(B4882, ""es"", ""en"")"),"Good choice as inhalambrico micro headset works perfect, recoje voice very well and listen clear and high. Good battery life, at the least 3 hours without problem.")</f>
        <v>Good choice as inhalambrico micro headset works perfect, recoje voice very well and listen clear and high. Good battery life, at the least 3 hours without problem.</v>
      </c>
    </row>
    <row r="4883">
      <c r="A4883" s="1">
        <v>4.0</v>
      </c>
      <c r="B4883" s="1" t="s">
        <v>4855</v>
      </c>
      <c r="C4883" t="str">
        <f>IFERROR(__xludf.DUMMYFUNCTION("GOOGLETRANSLATE(B4883, ""es"", ""en"")"),"Almost perfect noise cancellation, you hear very well, the only but I put it to him that if you have glasses are a little more uncomfortable. good materials and the battery lasts a lot.")</f>
        <v>Almost perfect noise cancellation, you hear very well, the only but I put it to him that if you have glasses are a little more uncomfortable. good materials and the battery lasts a lot.</v>
      </c>
    </row>
    <row r="4884">
      <c r="A4884" s="1">
        <v>4.0</v>
      </c>
      <c r="B4884" s="1" t="s">
        <v>4856</v>
      </c>
      <c r="C4884" t="str">
        <f>IFERROR(__xludf.DUMMYFUNCTION("GOOGLETRANSLATE(B4884, ""es"", ""en"")"),"Magnets Hello, when I asked this article do not attach well to the extent when I received I was ... But it all and being very small hooks lot")</f>
        <v>Magnets Hello, when I asked this article do not attach well to the extent when I received I was ... But it all and being very small hooks lot</v>
      </c>
    </row>
    <row r="4885">
      <c r="A4885" s="1">
        <v>4.0</v>
      </c>
      <c r="B4885" s="1" t="s">
        <v>4857</v>
      </c>
      <c r="C4885" t="str">
        <f>IFERROR(__xludf.DUMMYFUNCTION("GOOGLETRANSLATE(B4885, ""es"", ""en"")"),"Cassio took 3 years in and perfect. Casio is my favorite brand of watches because they are hard to face. I use it every day at work and giving much cane. The glass is unbreakable have not a small arrañazo anything edges resin / rubber if they have stripes"&amp;" but ordinary. Today at work for the first time has released me buckle closure, I put him again and arranged")</f>
        <v>Cassio took 3 years in and perfect. Casio is my favorite brand of watches because they are hard to face. I use it every day at work and giving much cane. The glass is unbreakable have not a small arrañazo anything edges resin / rubber if they have stripes but ordinary. Today at work for the first time has released me buckle closure, I put him again and arranged</v>
      </c>
    </row>
    <row r="4886">
      <c r="A4886" s="1">
        <v>5.0</v>
      </c>
      <c r="B4886" s="1" t="s">
        <v>2296</v>
      </c>
      <c r="C4886" t="str">
        <f>IFERROR(__xludf.DUMMYFUNCTION("GOOGLETRANSLATE(B4886, ""es"", ""en"")"),"Quality high quality")</f>
        <v>Quality high quality</v>
      </c>
    </row>
    <row r="4887">
      <c r="A4887" s="1">
        <v>5.0</v>
      </c>
      <c r="B4887" s="1" t="s">
        <v>4858</v>
      </c>
      <c r="C4887" t="str">
        <f>IFERROR(__xludf.DUMMYFUNCTION("GOOGLETRANSLATE(B4887, ""es"", ""en"")"),"Very nice necklace I bought for these upcoming Christmas holidays and beautiful. Snowflake can be a bit small, but the necklace is very elegant.")</f>
        <v>Very nice necklace I bought for these upcoming Christmas holidays and beautiful. Snowflake can be a bit small, but the necklace is very elegant.</v>
      </c>
    </row>
    <row r="4888">
      <c r="A4888" s="1">
        <v>5.0</v>
      </c>
      <c r="B4888" s="1" t="s">
        <v>4859</v>
      </c>
      <c r="C4888" t="str">
        <f>IFERROR(__xludf.DUMMYFUNCTION("GOOGLETRANSLATE(B4888, ""es"", ""en"")"),"Paste tarps does its job abroad")</f>
        <v>Paste tarps does its job abroad</v>
      </c>
    </row>
    <row r="4889">
      <c r="A4889" s="1">
        <v>5.0</v>
      </c>
      <c r="B4889" s="1" t="s">
        <v>4860</v>
      </c>
      <c r="C4889" t="str">
        <f>IFERROR(__xludf.DUMMYFUNCTION("GOOGLETRANSLATE(B4889, ""es"", ""en"")"),"Perfecte All very well")</f>
        <v>Perfecte All very well</v>
      </c>
    </row>
    <row r="4890">
      <c r="A4890" s="1">
        <v>5.0</v>
      </c>
      <c r="B4890" s="1" t="s">
        <v>4861</v>
      </c>
      <c r="C4890" t="str">
        <f>IFERROR(__xludf.DUMMYFUNCTION("GOOGLETRANSLATE(B4890, ""es"", ""en"")"),"It gives a good buy good service, note that it is not the original but does successfully.")</f>
        <v>It gives a good buy good service, note that it is not the original but does successfully.</v>
      </c>
    </row>
    <row r="4891">
      <c r="A4891" s="1">
        <v>5.0</v>
      </c>
      <c r="B4891" s="1" t="s">
        <v>4862</v>
      </c>
      <c r="C4891" t="str">
        <f>IFERROR(__xludf.DUMMYFUNCTION("GOOGLETRANSLATE(B4891, ""es"", ""en"")"),"Very stable even if you sweat This Bluetooth headset is perfect for my kids. Often it will do morning exercise. He thought the sound without music was a little boring, so I bought on Amazon. Logistics takes time, so no hurry. When we receive it, we found "&amp;"very good, very clear sound when my son was sweating at home, this Bluetooth headset is very stable in the ear and not fall.")</f>
        <v>Very stable even if you sweat This Bluetooth headset is perfect for my kids. Often it will do morning exercise. He thought the sound without music was a little boring, so I bought on Amazon. Logistics takes time, so no hurry. When we receive it, we found very good, very clear sound when my son was sweating at home, this Bluetooth headset is very stable in the ear and not fall.</v>
      </c>
    </row>
    <row r="4892">
      <c r="A4892" s="1">
        <v>5.0</v>
      </c>
      <c r="B4892" s="1" t="s">
        <v>4863</v>
      </c>
      <c r="C4892" t="str">
        <f>IFERROR(__xludf.DUMMYFUNCTION("GOOGLETRANSLATE(B4892, ""es"", ""en"")"),"Shoes star, comfortable, beautiful and functional Cool, beautiful, set my foot with the number I always use the 38, although it is true that my foot is perhaps small, but comfortable and practical for dancing, not nailed anything and the price they are pe"&amp;"rfect. They are like you've left Dirty Dancing, a great choice, to see if enough last time.")</f>
        <v>Shoes star, comfortable, beautiful and functional Cool, beautiful, set my foot with the number I always use the 38, although it is true that my foot is perhaps small, but comfortable and practical for dancing, not nailed anything and the price they are perfect. They are like you've left Dirty Dancing, a great choice, to see if enough last time.</v>
      </c>
    </row>
    <row r="4893">
      <c r="A4893" s="1">
        <v>5.0</v>
      </c>
      <c r="B4893" s="1" t="s">
        <v>4864</v>
      </c>
      <c r="C4893" t="str">
        <f>IFERROR(__xludf.DUMMYFUNCTION("GOOGLETRANSLATE(B4893, ""es"", ""en"")"),"Charmed. It was love at first sight since I saw I liked and now very happy with my gshock")</f>
        <v>Charmed. It was love at first sight since I saw I liked and now very happy with my gshock</v>
      </c>
    </row>
    <row r="4894">
      <c r="A4894" s="1">
        <v>5.0</v>
      </c>
      <c r="B4894" s="1" t="s">
        <v>4865</v>
      </c>
      <c r="C4894" t="str">
        <f>IFERROR(__xludf.DUMMYFUNCTION("GOOGLETRANSLATE(B4894, ""es"", ""en"")"),"Okay!? No smells so strong, my I like the most intense smell, I have poneer 20gotas to 200ml of water and smells little money a 5 on a scale of 1 to 10")</f>
        <v>Okay!? No smells so strong, my I like the most intense smell, I have poneer 20gotas to 200ml of water and smells little money a 5 on a scale of 1 to 10</v>
      </c>
    </row>
    <row r="4895">
      <c r="A4895" s="1">
        <v>5.0</v>
      </c>
      <c r="B4895" s="1" t="s">
        <v>4866</v>
      </c>
      <c r="C4895" t="str">
        <f>IFERROR(__xludf.DUMMYFUNCTION("GOOGLETRANSLATE(B4895, ""es"", ""en"")"),"Great I expected. It has 2 volumene steam is programmable 1,3,6 operating hours or until water is terminated. It's super silenciso")</f>
        <v>Great I expected. It has 2 volumene steam is programmable 1,3,6 operating hours or until water is terminated. It's super silenciso</v>
      </c>
    </row>
    <row r="4896">
      <c r="A4896" s="1">
        <v>5.0</v>
      </c>
      <c r="B4896" s="1" t="s">
        <v>4867</v>
      </c>
      <c r="C4896" t="str">
        <f>IFERROR(__xludf.DUMMYFUNCTION("GOOGLETRANSLATE(B4896, ""es"", ""en"")"),"They are very good sound and comfort")</f>
        <v>They are very good sound and comfort</v>
      </c>
    </row>
    <row r="4897">
      <c r="A4897" s="1">
        <v>5.0</v>
      </c>
      <c r="B4897" s="1" t="s">
        <v>4868</v>
      </c>
      <c r="C4897" t="str">
        <f>IFERROR(__xludf.DUMMYFUNCTION("GOOGLETRANSLATE(B4897, ""es"", ""en"")"),"Your comfort E has gustadouchp use it for walking")</f>
        <v>Your comfort E has gustadouchp use it for walking</v>
      </c>
    </row>
    <row r="4898">
      <c r="A4898" s="1">
        <v>5.0</v>
      </c>
      <c r="B4898" s="1" t="s">
        <v>4869</v>
      </c>
      <c r="C4898" t="str">
        <f>IFERROR(__xludf.DUMMYFUNCTION("GOOGLETRANSLATE(B4898, ""es"", ""en"")"),"A simple and good headphones at a good price to fulfill its function. They are simple, but good quality for its price. Are the third we bought for my daughters, in different colors. They use them every day and resist perfectly. If we ever need another, we"&amp;" will repeat.")</f>
        <v>A simple and good headphones at a good price to fulfill its function. They are simple, but good quality for its price. Are the third we bought for my daughters, in different colors. They use them every day and resist perfectly. If we ever need another, we will repeat.</v>
      </c>
    </row>
    <row r="4899">
      <c r="A4899" s="1">
        <v>5.0</v>
      </c>
      <c r="B4899" s="1" t="s">
        <v>4870</v>
      </c>
      <c r="C4899" t="str">
        <f>IFERROR(__xludf.DUMMYFUNCTION("GOOGLETRANSLATE(B4899, ""es"", ""en"")"),"Perfect for doctors and nurses My sister is a nurse and spends all day walking from one place to another, so I needed a comfortable shoe. Many of her companions take Skechers, comfortable shoes, but something heavier than Crocs. It is true that for winter"&amp;" Crocs are often not very successful, but summer is a total success. Comfortable to a fault, they perspire a lot and get to not sweat the foot. It is ideal for walking between floors of hospitals, without having to carry the weight twins because they are "&amp;"a very light rubber makes go walking through clouds. The fact that here you have to buy Crocs, no other equal.")</f>
        <v>Perfect for doctors and nurses My sister is a nurse and spends all day walking from one place to another, so I needed a comfortable shoe. Many of her companions take Skechers, comfortable shoes, but something heavier than Crocs. It is true that for winter Crocs are often not very successful, but summer is a total success. Comfortable to a fault, they perspire a lot and get to not sweat the foot. It is ideal for walking between floors of hospitals, without having to carry the weight twins because they are a very light rubber makes go walking through clouds. The fact that here you have to buy Crocs, no other equal.</v>
      </c>
    </row>
    <row r="4900">
      <c r="A4900" s="1">
        <v>5.0</v>
      </c>
      <c r="B4900" s="1" t="s">
        <v>4871</v>
      </c>
      <c r="C4900" t="str">
        <f>IFERROR(__xludf.DUMMYFUNCTION("GOOGLETRANSLATE(B4900, ""es"", ""en"")"),"It was the perfect gift. He has been delighted with the quality.")</f>
        <v>It was the perfect gift. He has been delighted with the quality.</v>
      </c>
    </row>
    <row r="4901">
      <c r="A4901" s="1">
        <v>5.0</v>
      </c>
      <c r="B4901" s="1" t="s">
        <v>4872</v>
      </c>
      <c r="C4901" t="str">
        <f>IFERROR(__xludf.DUMMYFUNCTION("GOOGLETRANSLATE(B4901, ""es"", ""en"")"),"Comfortably perfect perfect")</f>
        <v>Comfortably perfect perfect</v>
      </c>
    </row>
    <row r="4902">
      <c r="A4902" s="1">
        <v>5.0</v>
      </c>
      <c r="B4902" s="1" t="s">
        <v>4873</v>
      </c>
      <c r="C4902" t="str">
        <f>IFERROR(__xludf.DUMMYFUNCTION("GOOGLETRANSLATE(B4902, ""es"", ""en"")"),"Perfect Truth left me like a glove thanks to the comments and opinions of people have completely successful with size. It is one of those tobilleros that are adjusted by the ankles and pockets have zipper which is appreciated.")</f>
        <v>Perfect Truth left me like a glove thanks to the comments and opinions of people have completely successful with size. It is one of those tobilleros that are adjusted by the ankles and pockets have zipper which is appreciated.</v>
      </c>
    </row>
    <row r="4903">
      <c r="A4903" s="1">
        <v>5.0</v>
      </c>
      <c r="B4903" s="1" t="s">
        <v>4874</v>
      </c>
      <c r="C4903" t="str">
        <f>IFERROR(__xludf.DUMMYFUNCTION("GOOGLETRANSLATE(B4903, ""es"", ""en"")"),"Supercompra Va amazing !!!. I totally recommend. Pressure as a professional, nothing to envy. I hope it is durable. Delighted with this purchase.")</f>
        <v>Supercompra Va amazing !!!. I totally recommend. Pressure as a professional, nothing to envy. I hope it is durable. Delighted with this purchase.</v>
      </c>
    </row>
    <row r="4904">
      <c r="A4904" s="1">
        <v>5.0</v>
      </c>
      <c r="B4904" s="1" t="s">
        <v>4875</v>
      </c>
      <c r="C4904" t="str">
        <f>IFERROR(__xludf.DUMMYFUNCTION("GOOGLETRANSLATE(B4904, ""es"", ""en"")"),"Bottle is the only bottle that my daughter wants the retina is the only one that grips well")</f>
        <v>Bottle is the only bottle that my daughter wants the retina is the only one that grips well</v>
      </c>
    </row>
    <row r="4905">
      <c r="A4905" s="1">
        <v>2.0</v>
      </c>
      <c r="B4905" s="1" t="s">
        <v>4876</v>
      </c>
      <c r="C4905" t="str">
        <f>IFERROR(__xludf.DUMMYFUNCTION("GOOGLETRANSLATE(B4905, ""es"", ""en"")"),"Bad product by folding folding takes up little space lousy, but I use almost all of this brand, mops, brooms etc ... you is the worst q I bought this brand because it is continuously out of the bar.")</f>
        <v>Bad product by folding folding takes up little space lousy, but I use almost all of this brand, mops, brooms etc ... you is the worst q I bought this brand because it is continuously out of the bar.</v>
      </c>
    </row>
    <row r="4906">
      <c r="A4906" s="1">
        <v>3.0</v>
      </c>
      <c r="B4906" s="1" t="s">
        <v>4877</v>
      </c>
      <c r="C4906" t="str">
        <f>IFERROR(__xludf.DUMMYFUNCTION("GOOGLETRANSLATE(B4906, ""es"", ""en"")"),"Lozada received the product a week ago, I have a question, I spent a few minutes of running is paused, and I have to go back to him again, the blades do not cut very well some pieces of pineapple, although purees leaves them quite well, I'll try one more "&amp;"week and only give it back, I wonder if you'd happened to someone in the automatically so slow. Thank you")</f>
        <v>Lozada received the product a week ago, I have a question, I spent a few minutes of running is paused, and I have to go back to him again, the blades do not cut very well some pieces of pineapple, although purees leaves them quite well, I'll try one more week and only give it back, I wonder if you'd happened to someone in the automatically so slow. Thank you</v>
      </c>
    </row>
    <row r="4907">
      <c r="A4907" s="1">
        <v>3.0</v>
      </c>
      <c r="B4907" s="1" t="s">
        <v>4878</v>
      </c>
      <c r="C4907" t="str">
        <f>IFERROR(__xludf.DUMMYFUNCTION("GOOGLETRANSLATE(B4907, ""es"", ""en"")"),"You can not ask for much for 20 € The earphones perform their function fully. They isolate themselves really well on the outside, are quite comfortable and leave you in your world, but the sound quality is much improved (logical for 20 €). Besides, the so"&amp;"und is very low and even putting the phone with volume butt could still hear very little, so I decided to return the next day to buy them. Poquillo I find something better even if you pay a little more")</f>
        <v>You can not ask for much for 20 € The earphones perform their function fully. They isolate themselves really well on the outside, are quite comfortable and leave you in your world, but the sound quality is much improved (logical for 20 €). Besides, the sound is very low and even putting the phone with volume butt could still hear very little, so I decided to return the next day to buy them. Poquillo I find something better even if you pay a little more</v>
      </c>
    </row>
    <row r="4908">
      <c r="A4908" s="1">
        <v>1.0</v>
      </c>
      <c r="B4908" s="1" t="s">
        <v>4879</v>
      </c>
      <c r="C4908" t="str">
        <f>IFERROR(__xludf.DUMMYFUNCTION("GOOGLETRANSLATE(B4908, ""es"", ""en"")"),"Poor durability not recommend them. One of the headphones stopped working two months. And that alone were used for occasional use")</f>
        <v>Poor durability not recommend them. One of the headphones stopped working two months. And that alone were used for occasional use</v>
      </c>
    </row>
    <row r="4909">
      <c r="A4909" s="1">
        <v>4.0</v>
      </c>
      <c r="B4909" s="1" t="s">
        <v>4880</v>
      </c>
      <c r="C4909" t="str">
        <f>IFERROR(__xludf.DUMMYFUNCTION("GOOGLETRANSLATE(B4909, ""es"", ""en"")"),"Good headphones bluetooth I have really enjoyed s are much like those of Apple. The very good sound quality even better than other higher priced sound great. Lias you touch a bit with me h delighted all of them. The trouble is they do not allow the volume"&amp;" up and down one track back and forth. Very fast delivery")</f>
        <v>Good headphones bluetooth I have really enjoyed s are much like those of Apple. The very good sound quality even better than other higher priced sound great. Lias you touch a bit with me h delighted all of them. The trouble is they do not allow the volume up and down one track back and forth. Very fast delivery</v>
      </c>
    </row>
    <row r="4910">
      <c r="A4910" s="1">
        <v>4.0</v>
      </c>
      <c r="B4910" s="1" t="s">
        <v>4881</v>
      </c>
      <c r="C4910" t="str">
        <f>IFERROR(__xludf.DUMMYFUNCTION("GOOGLETRANSLATE(B4910, ""es"", ""en"")"),"Pretty good is a good and easy to use device. Maybe I miss microphone input as it only has an entry would be useful mini JAC and one microphone or table ... but hey matches the description and has very good quality if you know how to use / configure. It i"&amp;"s very sensitive and has many options. I found it useful to record a song for the video clip. very good")</f>
        <v>Pretty good is a good and easy to use device. Maybe I miss microphone input as it only has an entry would be useful mini JAC and one microphone or table ... but hey matches the description and has very good quality if you know how to use / configure. It is very sensitive and has many options. I found it useful to record a song for the video clip. very good</v>
      </c>
    </row>
    <row r="4911">
      <c r="A4911" s="1">
        <v>4.0</v>
      </c>
      <c r="B4911" s="1" t="s">
        <v>4882</v>
      </c>
      <c r="C4911" t="str">
        <f>IFERROR(__xludf.DUMMYFUNCTION("GOOGLETRANSLATE(B4911, ""es"", ""en"")"),"Expected expected.")</f>
        <v>Expected expected.</v>
      </c>
    </row>
    <row r="4912">
      <c r="A4912" s="1">
        <v>4.0</v>
      </c>
      <c r="B4912" s="1" t="s">
        <v>4883</v>
      </c>
      <c r="C4912" t="str">
        <f>IFERROR(__xludf.DUMMYFUNCTION("GOOGLETRANSLATE(B4912, ""es"", ""en"")"),"Good good humidifier humidifier. Just noise. The only but I put it to him that in programming only offers 2/4 hours, when others have for one hour. Otherwise well. And comfortable to have the remote control")</f>
        <v>Good good humidifier humidifier. Just noise. The only but I put it to him that in programming only offers 2/4 hours, when others have for one hour. Otherwise well. And comfortable to have the remote control</v>
      </c>
    </row>
    <row r="4913">
      <c r="A4913" s="1">
        <v>4.0</v>
      </c>
      <c r="B4913" s="1" t="s">
        <v>4884</v>
      </c>
      <c r="C4913" t="str">
        <f>IFERROR(__xludf.DUMMYFUNCTION("GOOGLETRANSLATE(B4913, ""es"", ""en"")"),"Good and pretty good shoes, comfortable and beautiful. As the pictures.")</f>
        <v>Good and pretty good shoes, comfortable and beautiful. As the pictures.</v>
      </c>
    </row>
    <row r="4914">
      <c r="A4914" s="1">
        <v>5.0</v>
      </c>
      <c r="B4914" s="1" t="s">
        <v>4885</v>
      </c>
      <c r="C4914" t="str">
        <f>IFERROR(__xludf.DUMMYFUNCTION("GOOGLETRANSLATE(B4914, ""es"", ""en"")"),"Contenta warming heats the bed and graduate it better power Good Buy")</f>
        <v>Contenta warming heats the bed and graduate it better power Good Buy</v>
      </c>
    </row>
    <row r="4915">
      <c r="A4915" s="1">
        <v>5.0</v>
      </c>
      <c r="B4915" s="1" t="s">
        <v>4886</v>
      </c>
      <c r="C4915" t="str">
        <f>IFERROR(__xludf.DUMMYFUNCTION("GOOGLETRANSLATE(B4915, ""es"", ""en"")"),"My crystal clear moon was streaked windshields. Almost everything I could eliminate! Crstal polish was afraid, but went well")</f>
        <v>My crystal clear moon was streaked windshields. Almost everything I could eliminate! Crstal polish was afraid, but went well</v>
      </c>
    </row>
    <row r="4916">
      <c r="A4916" s="1">
        <v>5.0</v>
      </c>
      <c r="B4916" s="1" t="s">
        <v>4887</v>
      </c>
      <c r="C4916" t="str">
        <f>IFERROR(__xludf.DUMMYFUNCTION("GOOGLETRANSLATE(B4916, ""es"", ""en"")"),"+ Microphone kit Not bad quality offering price plus accessories that has supplied the moment makes your paper, I give it a 7 / 10. Of course I can not imagine that price to acquire such a good microphone.")</f>
        <v>+ Microphone kit Not bad quality offering price plus accessories that has supplied the moment makes your paper, I give it a 7 / 10. Of course I can not imagine that price to acquire such a good microphone.</v>
      </c>
    </row>
    <row r="4917">
      <c r="A4917" s="1">
        <v>5.0</v>
      </c>
      <c r="B4917" s="1" t="s">
        <v>4888</v>
      </c>
      <c r="C4917" t="str">
        <f>IFERROR(__xludf.DUMMYFUNCTION("GOOGLETRANSLATE(B4917, ""es"", ""en"")"),"reliable materials and good. Good product, easy to use each independent and reliable connector. Excellent")</f>
        <v>reliable materials and good. Good product, easy to use each independent and reliable connector. Excellent</v>
      </c>
    </row>
    <row r="4918">
      <c r="A4918" s="1">
        <v>5.0</v>
      </c>
      <c r="B4918" s="1" t="s">
        <v>4889</v>
      </c>
      <c r="C4918" t="str">
        <f>IFERROR(__xludf.DUMMYFUNCTION("GOOGLETRANSLATE(B4918, ""es"", ""en"")"),"Very useful is a device super useful. Especially with IPhone which is very difficult to synchronize with the PC. Put it, copies, and pass it to the PC. Easier impossible. Same goes for Android. The only downside is that when you're not using, the slots ar"&amp;"e poorly protected, so you must save it to avoid accidental breakage. That if, comes with its metal box for it.")</f>
        <v>Very useful is a device super useful. Especially with IPhone which is very difficult to synchronize with the PC. Put it, copies, and pass it to the PC. Easier impossible. Same goes for Android. The only downside is that when you're not using, the slots are poorly protected, so you must save it to avoid accidental breakage. That if, comes with its metal box for it.</v>
      </c>
    </row>
    <row r="4919">
      <c r="A4919" s="1">
        <v>5.0</v>
      </c>
      <c r="B4919" s="1" t="s">
        <v>4890</v>
      </c>
      <c r="C4919" t="str">
        <f>IFERROR(__xludf.DUMMYFUNCTION("GOOGLETRANSLATE(B4919, ""es"", ""en"")"),"I'm happy right, not squeeze your head, you hear very clear and no problem connecting with tv helmets")</f>
        <v>I'm happy right, not squeeze your head, you hear very clear and no problem connecting with tv helmets</v>
      </c>
    </row>
    <row r="4920">
      <c r="A4920" s="1">
        <v>5.0</v>
      </c>
      <c r="B4920" s="1" t="s">
        <v>4891</v>
      </c>
      <c r="C4920" t="str">
        <f>IFERROR(__xludf.DUMMYFUNCTION("GOOGLETRANSLATE(B4920, ""es"", ""en"")"),"An excellent guitar jack. Overall texture, sound and fear of tangling no problem. For the money is good product.")</f>
        <v>An excellent guitar jack. Overall texture, sound and fear of tangling no problem. For the money is good product.</v>
      </c>
    </row>
    <row r="4921">
      <c r="A4921" s="1">
        <v>5.0</v>
      </c>
      <c r="B4921" s="1" t="s">
        <v>4892</v>
      </c>
      <c r="C4921" t="str">
        <f>IFERROR(__xludf.DUMMYFUNCTION("GOOGLETRANSLATE(B4921, ""es"", ""en"")"),"That is silver is very nice and thin")</f>
        <v>That is silver is very nice and thin</v>
      </c>
    </row>
    <row r="4922">
      <c r="A4922" s="1">
        <v>5.0</v>
      </c>
      <c r="B4922" s="1" t="s">
        <v>4893</v>
      </c>
      <c r="C4922" t="str">
        <f>IFERROR(__xludf.DUMMYFUNCTION("GOOGLETRANSLATE(B4922, ""es"", ""en"")"),"Immediate shipment all right and everything very correct, I gave it back because it was repeated a gift")</f>
        <v>Immediate shipment all right and everything very correct, I gave it back because it was repeated a gift</v>
      </c>
    </row>
    <row r="4923">
      <c r="A4923" s="1">
        <v>5.0</v>
      </c>
      <c r="B4923" s="1" t="s">
        <v>4894</v>
      </c>
      <c r="C4923" t="str">
        <f>IFERROR(__xludf.DUMMYFUNCTION("GOOGLETRANSLATE(B4923, ""es"", ""en"")"),"I'm so glad I chose this herbidor by price and valuation of other buyers, and I'm very happy with the choice. I utlizo him in my office and it is enough. The design is nice, has a capacity of 1.2 l. and is very fast heating water. Amazon's service was ver"&amp;"y fast, in just a couple of days.")</f>
        <v>I'm so glad I chose this herbidor by price and valuation of other buyers, and I'm very happy with the choice. I utlizo him in my office and it is enough. The design is nice, has a capacity of 1.2 l. and is very fast heating water. Amazon's service was very fast, in just a couple of days.</v>
      </c>
    </row>
    <row r="4924">
      <c r="A4924" s="1">
        <v>5.0</v>
      </c>
      <c r="B4924" s="1" t="s">
        <v>4895</v>
      </c>
      <c r="C4924" t="str">
        <f>IFERROR(__xludf.DUMMYFUNCTION("GOOGLETRANSLATE(B4924, ""es"", ""en"")"),"Medina Esme are very comfortable, completely non-slip and beautiful. I recommend it and would buy them if necessary. Q advise models to design more.")</f>
        <v>Medina Esme are very comfortable, completely non-slip and beautiful. I recommend it and would buy them if necessary. Q advise models to design more.</v>
      </c>
    </row>
    <row r="4925">
      <c r="A4925" s="1">
        <v>5.0</v>
      </c>
      <c r="B4925" s="1" t="s">
        <v>4896</v>
      </c>
      <c r="C4925" t="str">
        <f>IFERROR(__xludf.DUMMYFUNCTION("GOOGLETRANSLATE(B4925, ""es"", ""en"")"),"Very good product very good product! I blender is two weeks and conveniently use to beat the food makes my baby 6 months. Much more practical q xq normal mixer is smaller and in addition to the small you can take it be travel if you need. Great quality - "&amp;"price. One day I dared to make hummus and has even cost him his job, it is clear that it is not for that, but it did!")</f>
        <v>Very good product very good product! I blender is two weeks and conveniently use to beat the food makes my baby 6 months. Much more practical q xq normal mixer is smaller and in addition to the small you can take it be travel if you need. Great quality - price. One day I dared to make hummus and has even cost him his job, it is clear that it is not for that, but it did!</v>
      </c>
    </row>
    <row r="4926">
      <c r="A4926" s="1">
        <v>5.0</v>
      </c>
      <c r="B4926" s="1" t="s">
        <v>4897</v>
      </c>
      <c r="C4926" t="str">
        <f>IFERROR(__xludf.DUMMYFUNCTION("GOOGLETRANSLATE(B4926, ""es"", ""en"")"),"very good comfort")</f>
        <v>very good comfort</v>
      </c>
    </row>
    <row r="4927">
      <c r="A4927" s="1">
        <v>5.0</v>
      </c>
      <c r="B4927" s="1" t="s">
        <v>4898</v>
      </c>
      <c r="C4927" t="str">
        <f>IFERROR(__xludf.DUMMYFUNCTION("GOOGLETRANSLATE(B4927, ""es"", ""en"")"),"For now, it works well I have it plugged into a Sony television and now works well. TV so no problem formatted and watching movies. It's all plugged in while.")</f>
        <v>For now, it works well I have it plugged into a Sony television and now works well. TV so no problem formatted and watching movies. It's all plugged in while.</v>
      </c>
    </row>
    <row r="4928">
      <c r="A4928" s="1">
        <v>5.0</v>
      </c>
      <c r="B4928" s="1" t="s">
        <v>4899</v>
      </c>
      <c r="C4928" t="str">
        <f>IFERROR(__xludf.DUMMYFUNCTION("GOOGLETRANSLATE(B4928, ""es"", ""en"")"),"WARMING FAST &lt;div id = ""video-block-R27Z00T7JPCX3V"" class = ""a-section a-spacing-small a-spacing-top mini video-block""&gt; &lt;div tabindex = ""0"" class = ""airy airy-svg vmin-supported airy-skin-beacon ""style ="" background-color: rgb (0, 0, 0) position:"&amp;" relative; width: 100%; height: 100%; font-size: 0px; overflow: hidden; outline : none; ""&gt; &lt;div class ="" airy-renderer-container ""style ="" position: relative; height: 100%; width: 100%; ""&gt; &lt;video id ="" 110 ""preload ="" auto ""src ="" https://images"&amp;"-eu.ssl-images-amazon.com/images/I/91PtKk4tmnS.mp4 ""style ="" position: absolute; left: 0px; top: 0px; overflow: hidden; height: 1px; width: 1px ; ""&gt; &lt;/ video&gt; &lt;/ div&gt; &lt;div id ="" airy-slate-preload ""style ="" background-color: rgb (0, 0, 0); backgroun"&amp;"d-image: url (&amp; quot; https: // images-eu.ssl-images-amazon.com/images/I/81R98CNofxS.png&amp;quot;); background-size: Contain; background-position: center center; background-repeat: no-repeat; position: absolute; top: 0px ; left: 0px; visibility: visible; wid"&amp;"th: 100%; height: 100%; ""&gt; &lt;/ div&gt; &lt;iframe scrolling = ""No"" frameborder = ""0"" src = ""about: blank"" style = ""display: none;""&gt; &lt;/ iframe&gt; &lt;div tabindex = ""- 1"" class = ""airy-controls-container"" style = ""opacity : 0; visibility: hidden; ""&gt; &lt;di"&amp;"v tabindex ="" - 1 ""class ="" airy-screen-size-toggle airy-fullscreen ""&gt; &lt;/ div&gt; &lt;div tabindex ="" - 1 ""class ="" airy-container-bottom "" &gt; &lt;div tabindex = ""- 1"" class = ""airy-track-bar-spacer-left"" style = ""width: 11px;""&gt; &lt;/ div&gt; &lt;div tabindex "&amp;"= ""- 1"" class = ""airy-play- airy toggle-play ""style ="" width: 12px; margin-right: 12px; ""&gt; &lt;/ div&gt; &lt;div tabindex ="" - 1 ""class ="" airy-audio-elements ""style ="" float: right; width: 34px; ""&gt; &lt;div tabindex ="" - 1 ""class ="" airy-audio-toggle a"&amp;"iry-on ""&gt; &lt;/ div&gt; &lt;div tabindex ="" - 1 ""class ="" airy-audio-container ""style = ""opacity: 0; visibility: hidden; ""&gt; &lt;div tabindex ="" - 1 ""class ="" airy-audio-track-bar ""style ="" height: 80%; ""&gt; &lt;div tabindex ="" - 1 ""class ="" airy-audio- Scr"&amp;"ubber-bar ""style ="" height: 85%; ""&gt; &lt;/ div&gt; &lt;div tabindex ="" - 1 ""class ="" airy-audio-scrubber ""style ="" height: 12px; bottom 85% ""&gt; &lt;/ div&gt; &lt;/ div&gt; &lt;/ div&gt; &lt;/ div&gt; &lt;div tabindex ="" - 1 ""class ="" airy-duration-label ""style ="" float: right; w"&amp;"idth: 26px; margin-right: 4px; text-align: center; ""&gt; 0:00 &lt;/ div&gt; &lt;div tabindex ="" - 1 ""class ="" airy-track-bar-spacer-right ""style ="" float: right; width: 11px; ""&gt; &lt;/ div&gt; &lt;div tabindex ="" - 1 ""class ="" airy-track-bar-container ""style ="" mar"&amp;"gin-left: 35px; margin-right: 75px; ""&gt; &lt;div tabindex ="" - 1 ""class ="" airy-airy-track-bar vertically-centering-table ""&gt; &lt;div tabindex ="" - 1 ""class ="" airy-Vertical-centering- table-cell ""&gt; &lt;div tabindex ="" - 1 ""class ="" airy-track-bar-element"&amp;"s ""&gt; &lt;div tabindex ="" - 1 ""class ="" airy-progress-bar ""&gt; &lt;/ div&gt; &lt;div tabindex = ""- 1"" class = ""airy-scrubber-bar""&gt; &lt;/ div&gt; &lt;div tabindex = ""- 1"" class = ""airy-scrubber""&gt; &lt;div tabindex = ""- 1"" class = ""airy-scrubber- icon ""&gt; &lt;/ div&gt; &lt;div "&amp;"tabindex ="" - 1 ""class ="" airy-adjusted-AUI-tooltip ""style ="" opacity: 0; visibility: hidden; ""&gt; &lt;div tabindex ="" - 1 ""class ="" airy-adjusted-aui-tooltip-inner ""&gt; &lt;div tabindex ="" - 1 ""class ="" airy-current-time-label ""&gt; 0: 00 &lt;/ div&gt; &lt;/ div"&amp;"&gt; &lt;div tabindex = ""- 1"" class = ""airy-adjusted-AUI-arrow-border""&gt; &lt;div tabindex = ""- 1"" class = ""airy-adjusted-AUI-arrow"" &gt; &lt;/ div&gt; &lt;/ div&gt; &lt;/ div&gt; &lt;/ div&gt; &lt;/ div&gt; &lt;/ div&gt; &lt;/ div&gt; &lt;/ div&gt; &lt;/ div&gt; &lt;/ div&gt; &lt;div tabindex = ""- 1"" class = ""airy-age-"&amp;"gate airy-stage airy-Vertical-centering-table airy-dialog"" style = ""opacity: 0; visibility: hidden; ""&gt; &lt;div tabindex ="" - 1 ""class ="" airy-age-gate-Vertical-centering-table-cell airy-Vertical-centering-table-cell ""&gt; &lt;div tabindex ="" - 1 ""class = "&amp;"""airy-Vertical-centering-wrapper airy-age-gate-elements-wrapper""&gt; &lt;div tabindex = ""- 1"" class = ""airy-age-gate-elements airy-dialog-elements""&gt; &lt;div tabindex = "" -1 ""class ="" airy-age-gate-prompt ""&gt; This video is not Intended for all audiences Wh"&amp;"at date were you born &lt;/ div&gt; &lt;div tabindex =.?"" - 1 ""class ="" airy-age-gate -inputs airy-dialog-inner-elements ""&gt; &lt;select tabindex ="" - 1 ""class ="" airy-age-gate-month ""&gt; &lt;option value ="" 1 ""&gt; January &lt;/ option&gt; &lt;option value ="" 2 ""&gt; February"&amp;" &lt;/ option&gt; &lt;option value ="" 3 ""&gt; March &lt;/ option&gt; &lt;option value ="" 4 ""&gt; April &lt;/ option&gt; &lt;option value ="" 5 ""&gt; May &lt;/ option&gt; &lt;option value = ""6""&gt; June &lt;/ option&gt; &lt;option value = ""7""&gt; July &lt;/ option&gt; &lt;option value = ""8""&gt; August &lt;/ option&gt; &lt;op"&amp;"tion value = ""9""&gt; September &lt;/ option&gt; &lt;option value = ""10""&gt; October &lt;/ option&gt; &lt;option value = ""11""&gt; November &lt;/ option&gt; &lt;option value = ""12""&gt; December &lt;/ option&gt; &lt;/ select&gt; &lt;select tabindex = ""- 1"" class = ""airy-age-gate-day""&gt; &lt;opti on value"&amp;" = ""1""&gt; 1 &lt;/ option&gt; &lt;option value = ""2""&gt; 2 &lt;/ option&gt; &lt;option value = ""3""&gt; 3 &lt;/ option&gt; &lt;option value = ""4""&gt; 4 &lt;/ option &gt; &lt;option value = ""5""&gt; 5 &lt;/ option&gt; &lt;option value = ""6""&gt; 6 &lt;/ option&gt; &lt;option value = ""7""&gt; 7 &lt;/ option&gt; &lt;option value ="&amp;" ""8""&gt; 8 &lt; / option&gt; &lt;option value = ""9""&gt; 9 &lt;/ option&gt; &lt;option value = ""10""&gt; 10 &lt;/ option&gt; &lt;option value = ""11""&gt; 11 &lt;/ option&gt; &lt;option value = ""12""&gt; 12 &lt;/ option&gt; &lt;option value = ""13""&gt; 13 &lt;/ option&gt; &lt;option value = ""14""&gt; 14 &lt;/ option&gt; &lt;option"&amp;" value = ""15""&gt; 15 &lt;/ option&gt; &lt;option value = ""16 ""&gt; 16 &lt;/ option&gt; &lt;option value ="" 17 ""&gt; 17 &lt;/ option&gt; &lt;option value ="" 18 ""&gt; 18 &lt;/ option&gt; &lt;option value ="" 19 ""&gt; 19 &lt;/ option&gt; &lt;option value = ""20""&gt; 20 &lt;/ option&gt; &lt;option value = ""21""&gt; 21 &lt;/ "&amp;"option&gt; &lt;option value = ""22""&gt; 22 &lt;/ option&gt; &lt;option value = ""23""&gt; 23 &lt;/ option&gt; &lt;option value = ""24""&gt; 24 &lt;/ option&gt; &lt;option value = ""25""&gt; 25 &lt;/ option&gt; &lt;option value = ""26""&gt; 26 &lt;/ option&gt; &lt;option value = ""27""&gt; 27 &lt;/ option&gt; &lt;option value = ""2"&amp;"8""&gt; 28 &lt;/ option&gt; &lt;option value = ""29""&gt; 29 &lt;/ option&gt; &lt;option value = ""30""&gt; 30 &lt;/ option&gt; &lt;option value = ""31""&gt; 31 &lt;/ option&gt; &lt;/ select&gt; &lt;select tabindex = ""- 1"" class = ""airy-age-gate-year""&gt; &lt;option value = ""2019""&gt; 2019 &lt;/ option&gt; &lt; option v"&amp;"alue = ""2018""&gt; 2018 &lt;/ option&gt; &lt;option value = ""2017""&gt; 2017 &lt;/ option&gt; &lt;option value = ""2016""&gt; ​​2016 &lt;/ option&gt; &lt;option value = ""2015""&gt; 2015 &lt;/ option &gt; &lt;option value = ""2014""&gt; 2014 &lt;/ option&gt; &lt;option value = ""2013""&gt; 2013 &lt;/ option&gt; &lt;option v"&amp;"alue = ""2012""&gt; 2012 &lt;/ option&gt; &lt;option value = ""2011""&gt; 2011 &lt; / option&gt; &lt;option value = ""2010""&gt; 2010 &lt;/ option&gt; &lt;option value = ""2009""&gt; 2009 &lt;/ option&gt; &lt;option value = ""2008""&gt; 2008 &lt;/ option&gt; &lt;option value = ""2007""&gt; 2007 &lt;/ option&gt; &lt;option val"&amp;"ue = ""2006""&gt; 2006 &lt;/ option&gt; &lt;option value = ""2005""&gt; 2005 &lt;/ option&gt; &lt;option value = ""2004""&gt; 2004 &lt;/ option&gt; &lt;option value = ""2003 ""&gt; 2003 &lt;/ option&gt; &lt;option value ="" 2002 ""&gt; 2002 &lt;/ option&gt; &lt;option value ="" 2001 ""&gt; 2001 &lt;/ option&gt; &lt;option val"&amp;"ue ="" 2000 ""&gt; 2000 &lt;/ option&gt; &lt;option value = ""1999""&gt; 1999 &lt;/ option&gt; &lt;option value = ""1998""&gt; 1998 &lt;/ option&gt; &lt;option value = ""1997""&gt; 1997 &lt;/ option&gt; &lt;option value = ""1996""&gt; 1996 &lt;/ option&gt; &lt;option value = ""1995""&gt; 1995 &lt;/ option&gt; &lt;option value"&amp;" = ""1994""&gt; 1994 &lt;/ option&gt; &lt;option value = ""1993""&gt; 1993 &lt;/ option&gt; &lt;option value = ""1992""&gt; 1992 &lt;/ option&gt; &lt;option value = ""1991""&gt; 1991 &lt;/ option&gt; &lt;option value = ""1990""&gt; 1990 &lt;/ option&gt; &lt;option value = "" 1989 ""&gt; 1989 &lt;/ option&gt; &lt;option value "&amp;"="" 1988 ""&gt; 1988 &lt;/ option&gt; &lt;option value ="" 1987 ""&gt; 1987 &lt;/ option&gt; &lt;option value ="" 1986 ""&gt; 1986 &lt;/ option&gt; &lt;value option = ""1985""&gt; 1985 &lt;/ option&gt; &lt;option value = ""1984""&gt; 1984 &lt;/ option&gt; &lt;option value = ""1983""&gt; 1983 &lt;/ option&gt; &lt;option value "&amp;"= ""1982""&gt; 1982 &lt;/ option&gt; &lt; option value = ""1981""&gt; 1981 &lt;/ option&gt; &lt;option value = ""1980""&gt; 1980 &lt;/ option&gt; &lt;option value = ""1979""&gt; 1979 &lt;/ option&gt; &lt;option value = ""1978""&gt; 1978 &lt;/ option &gt; &lt;option value = ""1977""&gt; 1977 &lt;/ option&gt; &lt;option value ="&amp;" ""1976""&gt; 1976 &lt;/ option&gt; &lt;option value = ""1975""&gt; 1975 &lt;/ option&gt; &lt;option value = ""1974""&gt; 1974 &lt; / option&gt; &lt;option value = ""1973""&gt; 1973 &lt;/ option&gt; &lt;option value = ""1972""&gt; 1972 &lt;/ option&gt; &lt;option value = ""1971""&gt; 1971 &lt;/ option&gt; &lt;option value = "&amp;"""1970""&gt; 1970 &lt;/ option&gt; &lt;option value = ""1969""&gt; 1969 &lt;/ option&gt; &lt;option value = ""1968""&gt; 1968 &lt;/ option&gt; &lt;option value = ""1967""&gt; 1967 &lt;/ option&gt; &lt;option value = ""1966 ""&gt; 1966 &lt;/ option&gt; &lt;option value ="" 1965 ""&gt; 1965 &lt;/ option&gt; &lt;option value ="""&amp;" 1964 ""&gt; 1964 &lt;/ option&gt; &lt;option value ="" 1963 ""&gt; 1963 &lt;/ option&gt; &lt;option value = ""1962""&gt; 1962 &lt;/ option&gt; &lt;option value = ""1961""&gt; 1961 &lt;/ option&gt; &lt;option value = ""1960""&gt; 1960 &lt;/ op tion&gt; &lt;option value = ""1959""&gt; 1959 &lt;/ option&gt; &lt;option value = "&amp;"""1958""&gt; 1958 &lt;/ option&gt; &lt;option value = ""1957""&gt; 1957 &lt;/ option&gt; &lt;option value = ""1956""&gt; 1956 &lt;/ option&gt; &lt;option value = ""1955""&gt; 1955 &lt;/ option&gt; &lt;option value = ""1954""&gt; 1954 &lt;/ option&gt; &lt;option value = ""1953""&gt; 1953 &lt;/ option&gt; &lt;option value = ""1"&amp;"952"" &gt; 1952 &lt;/ option&gt; &lt;option value = ""1951""&gt; 1951 &lt;/ option&gt; &lt;option value = ""1950""&gt; 1950 &lt;/ option&gt; &lt;option value = ""1949""&gt; 1949 &lt;/ option&gt; &lt;option value = "" 1948 ""&gt; 1948 &lt;/ option&gt; &lt;option value ="" 1947 ""&gt; 1947 &lt;/ option&gt; &lt;option value ="" "&amp;"1946 ""&gt; 1946 &lt;/ option&gt; &lt;option value ="" 1945 ""&gt; 1945 &lt;/ option&gt; &lt;value option = ""1944""&gt; 1944 &lt;/ option&gt; &lt;option value = ""1943""&gt; 1943 &lt;/ option&gt; &lt;option value = ""1942""&gt; 1942 &lt;/ option&gt; &lt;option value = ""1941""&gt; 1941 &lt;/ option&gt; &lt; option value = """&amp;"1940""&gt; 1940 &lt;/ option&gt; &lt;option value = ""1939""&gt; 1939 &lt;/ option&gt; &lt;option value = ""1938""&gt; 1938 &lt;/ option&gt; &lt;option value = ""1937""&gt; 1937 &lt;/ option &gt; &lt;option value = ""1936""&gt; 1936 &lt;/ option&gt; &lt;option value = ""1935""&gt; 1935 &lt;/ option&gt; &lt;option value = ""19"&amp;"34""&gt; 1934 &lt;/ option&gt; &lt;option value = ""1933""&gt; 1933 &lt; / option&gt; &lt;option value = ""1932""&gt; 1932 &lt;/ option&gt; &lt;option value = ""1931""&gt; 1931 &lt;/ option&gt; &lt;option v alue = ""1930""&gt; 1930 &lt;/ option&gt; &lt;option value = ""1929""&gt; 1929 &lt;/ option&gt; &lt;option value = ""192"&amp;"8""&gt; 1928 &lt;/ option&gt; &lt;option value = ""1927""&gt; 1927 &lt;/ option&gt; &lt;option value = ""1926""&gt; 1926 &lt;/ option&gt; &lt;option value = ""1925""&gt; 1925 &lt;/ option&gt; &lt;option value = ""1924""&gt; 1924 &lt;/ option&gt; &lt;option value = ""1923""&gt; 1923 &lt;/ option&gt; &lt;option value = ""1922"""&amp;"&gt; 1922 &lt;/ option&gt; &lt;option value = ""1921""&gt; 1921 &lt;/ option&gt; &lt;option value = ""1920""&gt; 1920 &lt;/ option&gt; &lt;option value = ""1919""&gt; 1919 &lt;/ option&gt; &lt;option value = ""1918""&gt; 1918 &lt;/ option&gt; &lt;option value = ""1917""&gt; 1917 &lt;/ option&gt; &lt;option value = ""1916""&gt; 1"&amp;"916 &lt;/ option&gt; &lt;option value = ""1915"" &gt; 1915 &lt;/ option&gt; &lt;option value = ""1914""&gt; 1914 &lt;/ option&gt; &lt;option value = ""1913""&gt; 1913 &lt;/ option&gt; &lt;option value = ""1912""&gt; 1912 &lt;/ option&gt; &lt;option value = "" 1911 ""&gt; 1911 &lt;/ option&gt; &lt;option value ="" 1910 ""&gt; "&amp;"1910 &lt;/ option&gt; &lt;option value ="" 1909 ""&gt; 1909 &lt;/ option&gt; &lt;option value ="" 1908 ""&gt; 1908 &lt;/ option&gt; &lt;value option = ""1907""&gt; 1907 &lt;/ option&gt; &lt;option value = ""1906""&gt; 1906 &lt;/ option&gt; &lt;option value = ""1905""&gt; 1905 &lt;/ option&gt; &lt;option value = ""1904""&gt; 1"&amp;"904 &lt;/ option&gt; &lt; option value = ""1903""&gt; 1903 &lt;/ option&gt; &lt;option value = ""1902""&gt; 1902 &lt;/ option&gt; &lt;option value = ""1901""&gt; 19 01 &lt;/ option&gt; &lt;option value = ""1900""&gt; 1900 &lt;/ option&gt; &lt;/ select&gt; &lt;div tabindex = ""- 1"" class = ""airy-age-gate-submit airy"&amp;"-submit-button airy airy-submit- disabled ""&gt; Submit &lt;/ div&gt; &lt;/ div&gt; &lt;/ div&gt; &lt;/ div&gt; &lt;/ div&gt; &lt;/ div&gt; &lt;div tabindex ="" - 1 ""class ="" airy-install-flash-dialog airy-stage airy -vertical-centering-table-dialog airy airy-denied ""style ="" opacity: 0; visi"&amp;"bility: hidden; ""&gt; &lt;div tabindex ="" - 1 ""class ="" airy-install-flash-Vertical-centering-table-cell airy-Vertical-centering-table-cell ""&gt; &lt;div tabindex ="" - 1 ""class = ""airy-Vertical-centering-wrapper airy-install-flash-elements-wrapper""&gt; &lt;div tab"&amp;"index = ""- 1"" class = ""airy-install-flash-elements airy-dialog-elements""&gt; &lt;div tabindex = "" -1 ""class ="" airy-install-flash-prompt ""&gt; Adobe Flash Player is required to watch this video &lt;/ div&gt; &lt;div tabindex =."" - 1 ""class ="" airy-install-flash-"&amp;"button-wrapper airy -dialog-inner-elements ""&gt; &lt;div tabindex ="" - 1 ""class ="" airy-install-flash-button airy-button ""&gt; install Flash Player &lt;/ div&gt; &lt;/ div&gt; &lt;/ div&gt; &lt;/ div&gt; &lt;/ div&gt; &lt;/ div&gt; &lt;div tabindex = ""- 1"" class = ""airy-video-unsupported-dialog"&amp;" airy-stage airy-Vertical-centering-table airy-dialog airy-denied"" style = ""opacity: 0; visibility: hidden; ""&gt; &lt;div tabindex ="" - 1 ""class ="" airy-video-unsupported-Vertical-centering-table-cell airy-Vertical-centering-table-cell ""&gt; &lt;div tabindex ="&amp;""" - 1 ""class = ""airy-Vertical-centering-wrapper airy-video-unsupported-elements-wrapper""&gt; &lt;div tabindex = ""- 1"" class = ""airy-video-unsupported-elements airy-dialog-elements""&gt; &lt;div tabindex = "" -1 ""class ="" airy-video-unsupported-prompt ""&gt; &lt;/ "&amp;"div&gt; &lt;/ div&gt; &lt;/ div&gt; &lt;/ div&gt; &lt;/ div&gt; &lt;div tabindex ="" - 1 ""class ="" airy-loading- spinner-stage airy-stage ""&gt; &lt;div tabindex ="" - 1 ""class ="" airy-loading-spinner-Vertical-centering-table-cell airy-Vertical-centering-table-cell ""&gt; &lt;div tabindex ="""&amp;" - 1 ""class ="" airy-loading-spinner-container airy-scalable-hint-container ""&gt; &lt;div tabindex ="" - 1 ""class ="" airy-loading-spinner-dummy airy-scalable-dummy ""&gt; &lt;/ div&gt; &lt; div tabindex = ""- 1"" class = ""airy-loading-spinner airy-hint"" style = ""vis"&amp;"ibility: hidden;""&gt; &lt;/ div&gt; &lt;/ div&gt; &lt;/ div&gt; &lt;/ div&gt; &lt;div tabindex = ""- 1 ""class ="" airy-ads-screen-size-toggle airy-screen-size-toggle-fullscreen airy ""style ="" visibility: hidden; ""&gt; &lt;/ div&gt; &lt;div tabindex = ""-1"" class = ""airy-ad-prompt-container"&amp;""" style = ""visibility: hidden;""&gt; &lt;div tabindex = ""- 1"" class = ""airy-ad-prompt-Vertical-centering-table-vertically airy centering-table ""&gt; &lt;div tabindex ="" - 1 ""class ="" airy-ad-prompt-Vertical-centering-table-cell airy-Vertical-centering-table-"&amp;"cell ""&gt; &lt;div tabindex ="" - 1 ""class = ""airy-ad-prompt-label""&gt; &lt;/ div&gt; &lt;/ div&gt; &lt;/ div&gt; &lt;/ div&gt; &lt;div tabindex = ""- 1"" class = ""airy-ads-controls-container"" style = ""visibility: hidden; ""&gt; &lt;div tabindex ="" - 1 ""class ="" airy-ads-audio-toggle ai"&amp;"ry-audio-toggle airy-on ""style ="" visibility: hidden; ""&gt; &lt;/ div&gt; &lt;div tabindex ="" - 1 ""class ="" airy-time-remaining-label-container ""&gt; &lt;div tabindex ="" - 1 ""class ="" airy-time-remaining-Vertical-centering-table airy-Vertical-centering-table ""&gt; "&amp;"&lt;div tabindex = ""- 1"" class = ""airy-time-remaining-Vertical-centering-table-cell airy-Vertical-centering-table-cell""&gt; &lt;div tabindex = ""- 1"" class = ""airy-Vertical-centering-wrapper airy-time-remaining-label-wrapper ""&gt; &lt;div tabindex ="" - 1 ""class"&amp;" ="" airy-time-remaining-label ""style ="" visibility: hidden; ""&gt; &lt;/ div&gt; &lt;div tabi ndex = ""- 1"" class = ""airy-ad-skip"" style = ""visibility: hidden;""&gt; &lt;/ div&gt; &lt;div tabindex = ""- 1"" class = ""airy-ad-end"" style = ""visibility: hidden ""&gt; &lt;/ div&gt; "&amp;"&lt;/ div&gt; &lt;/ div&gt; &lt;/ div&gt; &lt;/ div&gt; &lt;div tabindex ="" - 1 ""class ="" airy-learn-more ""style ="" visibility: hidden; ""&gt; &lt;/ div&gt; &lt;/ div&gt; &lt;div tabindex = ""- 1"" class = ""airy-play-toggle-hint-stage airy-stage airy-cursor""&gt; &lt;div tabindex = ""- 1"" class = "&amp;"""airy-play -toggle-hint-Vertical-centering-table-cell airy-Vertical-centering-table-cell airy-cursor ""&gt; &lt;div tabindex ="" - 1 ""class ="" airy-play-toggle-hint-container airy-scalable- Hint-container ""&gt; &lt;div tabindex ="" - 1 ""class ="" airy-play-toggl"&amp;"e-hint-dummy airy-scalable-dummy ""&gt; &lt;/ div&gt; &lt;div tabindex ="" - 1 ""class ="" airy-play -toggle-hint hint airy-airy-play-hint ""style ="" opacity: 1; visibility: visible; ""&gt; &lt;/ div&gt; &lt;/ div&gt; &lt;/ div&gt; &lt;/ div&gt; &lt;div tabindex ="" - 1 ""class ="" airy-replay-h"&amp;"int-stage airy-stage ""style ="" visibility: hidden ; ""&gt; &lt;div tabindex ="" - 1 ""class ="" airy-replay-hint-Vertical-centering-table-cell airy-Vertical-centering-table-cell airy-cursor ""&gt; &lt;div tabindex ="" - 1 ""class = ""airy-replay-hint-container airy"&amp;"-scalable-hint-container""&gt; &lt;div tabindex = ""- 1"" class = ""airy-replay-hint-dummy airy-scalable-dummy""&gt; &lt;/ div&gt; &lt;div tabindex = ""- 1"" class = ""airy-replay-hint airy-hint""&gt; &lt;/ div&gt; &lt;/ div&gt; &lt;/ div&gt; &lt;/ div&gt; &lt;div tabindex = ""- 1"" class = ""airy-auto"&amp;"play-hint -stage airy-stage ""style ="" visibility: hidden; ""&gt; &lt;div tabindex ="" - 1 ""class ="" airy-autoplay-hint-Vertical-centering-table-cell airy-Vertical-centering-table-cell airy- cursor ""&gt; &lt;div tabindex ="" - 1 ""class ="" autoplay airy-airy-hin"&amp;"t-container-scalable-hint-container ""&gt; &lt;div tabindex ="" - 1 ""class ="" airy-autoplay-hint-dummy airy- scalable-dummy ""&gt; &lt;/ div&gt; &lt;/ div&gt; &lt;/ div&gt; &lt;/ div&gt; &lt;/ div&gt; &lt;/ div&gt; &lt;input type ="" hidden ""name ="" ""value ="" https: // images-eu .ssl-images-amazo"&amp;"n.com / images / I / 91PtKk4tmnS.mp4 ""Class ="" video-url ""&gt; &lt;input type ="" hidden ""name ="" ""value ="" https://images-eu.ssl-images-amazon.com/images/I/81R98CNofxS.png ""class ="" video-slate-img-url ""&gt; &amp; nbsp; Perfect electric blanket. I like a lo"&amp;"t, it is very easy to use and what I like most is that it brings timer from 30 to 120 min, which I consider very useful bedtime not have to turn it off. Its fabric is very soft, very comfortable and then heated.")</f>
        <v>WARMING FAST &lt;div id = "video-block-R27Z00T7JPCX3V" class = "a-section a-spacing-small a-spacing-top mini video-block"&gt; &lt;div tabindex = "0" class = "airy airy-svg vmin-supported airy-skin-beacon "style =" background-color: rgb (0, 0, 0) position: relative; width: 100%; height: 100%; font-size: 0px; overflow: hidden; outline : none; "&gt; &lt;div class =" airy-renderer-container "style =" position: relative; height: 100%; width: 100%; "&gt; &lt;video id =" 110 "preload =" auto "src =" https://images-eu.ssl-images-amazon.com/images/I/91PtKk4tmnS.mp4 "style =" position: absolute; left: 0px; top: 0px; overflow: hidden; height: 1px; width: 1px ; "&gt; &lt;/ video&gt; &lt;/ div&gt; &lt;div id =" airy-slate-preload "style =" background-color: rgb (0, 0, 0); background-image: url (&amp; quot; https: // images-eu.ssl-images-amazon.com/images/I/81R98CNofxS.png&amp;quot;); background-size: Contain; background-position: center center; background-repeat: no-repeat; position: absolute; top: 0px ; left: 0px; visibility: visible; width: 100%; height: 100%; "&gt; &lt;/ div&gt; &lt;iframe scrolling = "No" frameborder = "0" src = "about: blank" style = "display: none;"&gt; &lt;/ iframe&gt; &lt;div tabindex = "- 1" class = "airy-controls-container" style = "opacity : 0; visibility: hidden; "&gt; &lt;div tabindex =" - 1 "class =" airy-screen-size-toggle airy-fullscreen "&gt; &lt;/ div&gt; &lt;div tabindex =" - 1 "class =" airy-container-bottom " &gt; &lt;div tabindex = "- 1" class = "airy-track-bar-spacer-left" style = "width: 11px;"&gt; &lt;/ div&gt; &lt;div tabindex = "- 1" class = "airy-play- airy toggle-play "style =" width: 12px; margin-right: 12px; "&gt; &lt;/ div&gt; &lt;div tabindex =" - 1 "class =" airy-audio-elements "style =" float: right; width: 34px; "&gt; &lt;div tabindex =" - 1 "class =" airy-audio-toggle airy-on "&gt; &lt;/ div&gt; &lt;div tabindex =" - 1 "class =" airy-audio-container "style = "opacity: 0; visibility: hidden; "&gt; &lt;div tabindex =" - 1 "class =" airy-audio-track-bar "style =" height: 80%; "&gt; &lt;div tabindex =" - 1 "class =" airy-audio- Scrubber-bar "style =" height: 85%; "&gt; &lt;/ div&gt; &lt;div tabindex =" - 1 "class =" airy-audio-scrubber "style =" height: 12px; bottom 85% "&gt; &lt;/ div&gt; &lt;/ div&gt; &lt;/ div&gt; &lt;/ div&gt; &lt;div tabindex =" - 1 "class =" airy-duration-label "style =" float: right; width: 26px; margin-right: 4px; text-align: center; "&gt; 0:00 &lt;/ div&gt; &lt;div tabindex =" - 1 "class =" airy-track-bar-spacer-right "style =" float: right; width: 11px; "&gt; &lt;/ div&gt; &lt;div tabindex =" - 1 "class =" airy-track-bar-container "style =" margin-left: 35px; margin-right: 75px; "&gt; &lt;div tabindex =" - 1 "class =" airy-airy-track-bar vertically-centering-table "&gt; &lt;div tabindex =" - 1 "class =" airy-Vertical-centering- table-cell "&gt; &lt;div tabindex =" - 1 "class =" airy-track-bar-elements "&gt; &lt;div tabindex =" - 1 "class =" airy-progress-bar "&gt; &lt;/ div&gt; &lt;div tabindex = "- 1" class = "airy-scrubber-bar"&gt; &lt;/ div&gt; &lt;div tabindex = "- 1" class = "airy-scrubber"&gt; &lt;div tabindex = "- 1" class = "airy-scrubber- icon "&gt; &lt;/ div&gt; &lt;div tabindex =" - 1 "class =" airy-adjusted-AUI-tooltip "style =" opacity: 0; visibility: hidden; "&gt; &lt;div tabindex =" - 1 "class =" airy-adjusted-aui-tooltip-inner "&gt; &lt;div tabindex =" - 1 "class =" airy-current-time-label "&gt; 0: 00 &lt;/ div&gt; &lt;/ div&gt; &lt;div tabindex = "- 1" class = "airy-adjusted-AUI-arrow-border"&gt; &lt;div tabindex = "- 1" class = "airy-adjusted-AUI-arrow" &gt; &lt;/ div&gt; &lt;/ div&gt; &lt;/ div&gt; &lt;/ div&gt; &lt;/ div&gt; &lt;/ div&gt; &lt;/ div&gt; &lt;/ div&gt; &lt;/ div&gt; &lt;/ div&gt; &lt;div tabindex = "- 1" class = "airy-age-gate airy-stage airy-Vertical-centering-table airy-dialog" style = "opacity: 0; visibility: hidden; "&gt; &lt;div tabindex =" - 1 "class =" airy-age-gate-Vertical-centering-table-cell airy-Vertical-centering-table-cell "&gt; &lt;div tabindex =" - 1 "class = "airy-Vertical-centering-wrapper airy-age-gate-elements-wrapper"&gt; &lt;div tabindex = "- 1" class = "airy-age-gate-elements airy-dialog-elements"&gt; &lt;div tabindex = " -1 "class =" airy-age-gate-prompt "&gt; This video is not Intended for all audiences What date were you born &lt;/ div&gt; &lt;div tabindex =.?" - 1 "class =" airy-age-gate -inputs airy-dialog-inner-elements "&gt; &lt;select tabindex =" - 1 "class =" airy-age-gate-month "&gt; &lt;option value =" 1 "&gt; January &lt;/ option&gt; &lt;option value =" 2 "&gt; February &lt;/ option&gt; &lt;option value =" 3 "&gt; March &lt;/ option&gt; &lt;option value =" 4 "&gt; April &lt;/ option&gt; &lt;option value =" 5 "&gt; May &lt;/ option&gt; &lt;option value = "6"&gt; June &lt;/ option&gt; &lt;option value = "7"&gt; July &lt;/ option&gt; &lt;option value = "8"&gt; August &lt;/ option&gt; &lt;option value = "9"&gt; September &lt;/ option&gt; &lt;option value = "10"&gt; October &lt;/ option&gt; &lt;option value = "11"&gt; November &lt;/ option&gt; &lt;option value = "12"&gt; December &lt;/ option&gt; &lt;/ select&gt; &lt;select tabindex = "- 1" class = "airy-age-gate-day"&gt; &lt;opti on value = "1"&gt; 1 &lt;/ option&gt; &lt;option value = "2"&gt; 2 &lt;/ option&gt; &lt;option value = "3"&gt; 3 &lt;/ option&gt; &lt;option value = "4"&gt; 4 &lt;/ option &gt; &lt;option value = "5"&gt; 5 &lt;/ option&gt; &lt;option value = "6"&gt; 6 &lt;/ option&gt; &lt;option value = "7"&gt; 7 &lt;/ option&gt; &lt;option value = "8"&gt; 8 &lt; / option&gt; &lt;option value = "9"&gt; 9 &lt;/ option&gt; &lt;option value = "10"&gt; 10 &lt;/ option&gt; &lt;option value = "11"&gt; 11 &lt;/ option&gt; &lt;option value = "12"&gt; 12 &lt;/ option&gt; &lt;option value = "13"&gt; 13 &lt;/ option&gt; &lt;option value = "14"&gt; 14 &lt;/ option&gt; &lt;option value = "15"&gt; 15 &lt;/ option&gt; &lt;option value = "16 "&gt; 16 &lt;/ option&gt; &lt;option value =" 17 "&gt; 17 &lt;/ option&gt; &lt;option value =" 18 "&gt; 18 &lt;/ option&gt; &lt;option value =" 19 "&gt; 19 &lt;/ option&gt; &lt;option value = "20"&gt; 20 &lt;/ option&gt; &lt;option value = "21"&gt; 21 &lt;/ option&gt; &lt;option value = "22"&gt; 22 &lt;/ option&gt; &lt;option value = "23"&gt; 23 &lt;/ option&gt; &lt;option value = "24"&gt; 24 &lt;/ option&gt; &lt;option value = "25"&gt; 25 &lt;/ option&gt; &lt;option value = "26"&gt; 26 &lt;/ option&gt; &lt;option value = "27"&gt; 27 &lt;/ option&gt; &lt;option value = "28"&gt; 28 &lt;/ option&gt; &lt;option value = "29"&gt; 29 &lt;/ option&gt; &lt;option value = "30"&gt; 30 &lt;/ option&gt; &lt;option value = "31"&gt; 31 &lt;/ option&gt; &lt;/ select&gt; &lt;select tabindex = "- 1" class = "airy-age-gate-year"&gt; &lt;option value = "2019"&gt; 2019 &lt;/ option&gt; &lt; option value = "2018"&gt; 2018 &lt;/ option&gt; &lt;option value = "2017"&gt; 2017 &lt;/ option&gt; &lt;option value = "2016"&gt; ​​2016 &lt;/ option&gt; &lt;option value = "2015"&gt; 2015 &lt;/ option &gt; &lt;option value = "2014"&gt; 2014 &lt;/ option&gt; &lt;option value = "2013"&gt; 2013 &lt;/ option&gt; &lt;option value = "2012"&gt; 2012 &lt;/ option&gt; &lt;option value = "2011"&gt; 2011 &lt; / option&gt; &lt;option value = "2010"&gt; 2010 &lt;/ option&gt; &lt;option value = "2009"&gt; 2009 &lt;/ option&gt; &lt;option value = "2008"&gt; 2008 &lt;/ option&gt; &lt;option value = "2007"&gt; 2007 &lt;/ option&gt; &lt;option value = "2006"&gt; 2006 &lt;/ option&gt; &lt;option value = "2005"&gt; 2005 &lt;/ option&gt; &lt;option value = "2004"&gt; 2004 &lt;/ option&gt; &lt;option value = "2003 "&gt; 2003 &lt;/ option&gt; &lt;option value =" 2002 "&gt; 2002 &lt;/ option&gt; &lt;option value =" 2001 "&gt; 2001 &lt;/ option&gt; &lt;option value =" 2000 "&gt; 2000 &lt;/ option&gt; &lt;option value = "1999"&gt; 1999 &lt;/ option&gt; &lt;option value = "1998"&gt; 1998 &lt;/ option&gt; &lt;option value = "1997"&gt; 1997 &lt;/ option&gt; &lt;option value = "1996"&gt; 1996 &lt;/ option&gt; &lt;option value = "1995"&gt; 1995 &lt;/ option&gt; &lt;option value = "1994"&gt; 1994 &lt;/ option&gt; &lt;option value = "1993"&gt; 1993 &lt;/ option&gt; &lt;option value = "1992"&gt; 1992 &lt;/ option&gt; &lt;option value = "1991"&gt; 1991 &lt;/ option&gt; &lt;option value = "1990"&gt; 1990 &lt;/ option&gt; &lt;option value = " 1989 "&gt; 1989 &lt;/ option&gt; &lt;option value =" 1988 "&gt; 1988 &lt;/ option&gt; &lt;option value =" 1987 "&gt; 1987 &lt;/ option&gt; &lt;option value =" 1986 "&gt; 1986 &lt;/ option&gt; &lt;value option = "1985"&gt; 1985 &lt;/ option&gt; &lt;option value = "1984"&gt; 1984 &lt;/ option&gt; &lt;option value = "1983"&gt; 1983 &lt;/ option&gt; &lt;option value = "1982"&gt; 1982 &lt;/ option&gt; &lt; option value = "1981"&gt; 1981 &lt;/ option&gt; &lt;option value = "1980"&gt; 1980 &lt;/ option&gt; &lt;option value = "1979"&gt; 1979 &lt;/ option&gt; &lt;option value = "1978"&gt; 1978 &lt;/ option &gt; &lt;option value = "1977"&gt; 1977 &lt;/ option&gt; &lt;option value = "1976"&gt; 1976 &lt;/ option&gt; &lt;option value = "1975"&gt; 1975 &lt;/ option&gt; &lt;option value = "1974"&gt; 1974 &lt; / option&gt; &lt;option value = "1973"&gt; 1973 &lt;/ option&gt; &lt;option value = "1972"&gt; 1972 &lt;/ option&gt; &lt;option value = "1971"&gt; 1971 &lt;/ option&gt; &lt;option value = "1970"&gt; 1970 &lt;/ option&gt; &lt;option value = "1969"&gt; 1969 &lt;/ option&gt; &lt;option value = "1968"&gt; 1968 &lt;/ option&gt; &lt;option value = "1967"&gt; 1967 &lt;/ option&gt; &lt;option value = "1966 "&gt; 1966 &lt;/ option&gt; &lt;option value =" 1965 "&gt; 1965 &lt;/ option&gt; &lt;option value =" 1964 "&gt; 1964 &lt;/ option&gt; &lt;option value =" 1963 "&gt; 1963 &lt;/ option&gt; &lt;option value = "1962"&gt; 1962 &lt;/ option&gt; &lt;option value = "1961"&gt; 1961 &lt;/ option&gt; &lt;option value = "1960"&gt; 1960 &lt;/ op tion&gt; &lt;option value = "1959"&gt; 1959 &lt;/ option&gt; &lt;option value = "1958"&gt; 1958 &lt;/ option&gt; &lt;option value = "1957"&gt; 1957 &lt;/ option&gt; &lt;option value = "1956"&gt; 1956 &lt;/ option&gt; &lt;option value = "1955"&gt; 1955 &lt;/ option&gt; &lt;option value = "1954"&gt; 1954 &lt;/ option&gt; &lt;option value = "1953"&gt; 1953 &lt;/ option&gt; &lt;option value = "1952" &gt; 1952 &lt;/ option&gt; &lt;option value = "1951"&gt; 1951 &lt;/ option&gt; &lt;option value = "1950"&gt; 1950 &lt;/ option&gt; &lt;option value = "1949"&gt; 1949 &lt;/ option&gt; &lt;option value = " 1948 "&gt; 1948 &lt;/ option&gt; &lt;option value =" 1947 "&gt; 1947 &lt;/ option&gt; &lt;option value =" 1946 "&gt; 1946 &lt;/ option&gt; &lt;option value =" 1945 "&gt; 1945 &lt;/ option&gt; &lt;value option = "1944"&gt; 1944 &lt;/ option&gt; &lt;option value = "1943"&gt; 1943 &lt;/ option&gt; &lt;option value = "1942"&gt; 1942 &lt;/ option&gt; &lt;option value = "1941"&gt; 1941 &lt;/ option&gt; &lt; option value = "1940"&gt; 1940 &lt;/ option&gt; &lt;option value = "1939"&gt; 1939 &lt;/ option&gt; &lt;option value = "1938"&gt; 1938 &lt;/ option&gt; &lt;option value = "1937"&gt; 1937 &lt;/ option &gt; &lt;option value = "1936"&gt; 1936 &lt;/ option&gt; &lt;option value = "1935"&gt; 1935 &lt;/ option&gt; &lt;option value = "1934"&gt; 1934 &lt;/ option&gt; &lt;option value = "1933"&gt; 1933 &lt; / option&gt; &lt;option value = "1932"&gt; 1932 &lt;/ option&gt; &lt;option value = "1931"&gt; 1931 &lt;/ option&gt; &lt;option v alue = "1930"&gt; 1930 &lt;/ option&gt; &lt;option value = "1929"&gt; 1929 &lt;/ option&gt; &lt;option value = "1928"&gt; 1928 &lt;/ option&gt; &lt;option value = "1927"&gt; 1927 &lt;/ option&gt; &lt;option value = "1926"&gt; 1926 &lt;/ option&gt; &lt;option value = "1925"&gt; 1925 &lt;/ option&gt; &lt;option value = "1924"&gt; 1924 &lt;/ option&gt; &lt;option value = "1923"&gt; 1923 &lt;/ option&gt; &lt;option value = "1922"&gt; 1922 &lt;/ option&gt; &lt;option value = "1921"&gt; 1921 &lt;/ option&gt; &lt;option value = "1920"&gt; 1920 &lt;/ option&gt; &lt;option value = "1919"&gt; 1919 &lt;/ option&gt; &lt;option value = "1918"&gt; 1918 &lt;/ option&gt; &lt;option value = "1917"&gt; 1917 &lt;/ option&gt; &lt;option value = "1916"&gt; 1916 &lt;/ option&gt; &lt;option value = "1915" &gt; 1915 &lt;/ option&gt; &lt;option value = "1914"&gt; 1914 &lt;/ option&gt; &lt;option value = "1913"&gt; 1913 &lt;/ option&gt; &lt;option value = "1912"&gt; 1912 &lt;/ option&gt; &lt;option value = " 1911 "&gt; 1911 &lt;/ option&gt; &lt;option value =" 1910 "&gt; 1910 &lt;/ option&gt; &lt;option value =" 1909 "&gt; 1909 &lt;/ option&gt; &lt;option value =" 1908 "&gt; 1908 &lt;/ option&gt; &lt;value option = "1907"&gt; 1907 &lt;/ option&gt; &lt;option value = "1906"&gt; 1906 &lt;/ option&gt; &lt;option value = "1905"&gt; 1905 &lt;/ option&gt; &lt;option value = "1904"&gt; 1904 &lt;/ option&gt; &lt; option value = "1903"&gt; 1903 &lt;/ option&gt; &lt;option value = "1902"&gt; 1902 &lt;/ option&gt; &lt;option value = "1901"&gt; 19 01 &lt;/ option&gt; &lt;option value = "1900"&gt; 1900 &lt;/ option&gt; &lt;/ select&gt; &lt;div tabindex = "- 1" class = "airy-age-gate-submit airy-submit-button airy airy-submit- disabled "&gt; Submit &lt;/ div&gt; &lt;/ div&gt; &lt;/ div&gt; &lt;/ div&gt; &lt;/ div&gt; &lt;/ div&gt; &lt;div tabindex =" - 1 "class =" airy-install-flash-dialog airy-stage airy -vertical-centering-table-dialog airy airy-denied "style =" opacity: 0; visibility: hidden; "&gt; &lt;div tabindex =" - 1 "class =" airy-install-flash-Vertical-centering-table-cell airy-Vertical-centering-table-cell "&gt; &lt;div tabindex =" - 1 "class = "airy-Vertical-centering-wrapper airy-install-flash-elements-wrapper"&gt; &lt;div tabindex = "- 1" class = "airy-install-flash-elements airy-dialog-elements"&gt; &lt;div tabindex = " -1 "class =" airy-install-flash-prompt "&gt; Adobe Flash Player is required to watch this video &lt;/ div&gt; &lt;div tabindex =." - 1 "class =" airy-install-flash-button-wrapper airy -dialog-inner-elements "&gt; &lt;div tabindex =" - 1 "class =" airy-install-flash-button airy-button "&gt; install Flash Player &lt;/ div&gt; &lt;/ div&gt; &lt;/ div&gt; &lt;/ div&gt; &lt;/ div&gt; &lt;/ div&gt; &lt;div tabindex = "- 1" class = "airy-video-unsupported-dialog airy-stage airy-Vertical-centering-table airy-dialog airy-denied" style = "opacity: 0; visibility: hidden; "&gt; &lt;div tabindex =" - 1 "class =" airy-video-unsupported-Vertical-centering-table-cell airy-Vertical-centering-table-cell "&gt; &lt;div tabindex =" - 1 "class = "airy-Vertical-centering-wrapper airy-video-unsupported-elements-wrapper"&gt; &lt;div tabindex = "- 1" class = "airy-video-unsupported-elements airy-dialog-elements"&gt; &lt;div tabindex = " -1 "class =" airy-video-unsupported-prompt "&gt; &lt;/ div&gt; &lt;/ div&gt; &lt;/ div&gt; &lt;/ div&gt; &lt;/ div&gt; &lt;div tabindex =" - 1 "class =" airy-loading- spinner-stage airy-stage "&gt; &lt;div tabindex =" - 1 "class =" airy-loading-spinner-Vertical-centering-table-cell airy-Vertical-centering-table-cell "&gt; &lt;div tabindex =" - 1 "class =" airy-loading-spinner-container airy-scalable-hint-container "&gt; &lt;div tabindex =" - 1 "class =" airy-loading-spinner-dummy airy-scalable-dummy "&gt; &lt;/ div&gt; &lt; div tabindex = "- 1" class = "airy-loading-spinner airy-hint" style = "visibility: hidden;"&gt; &lt;/ div&gt; &lt;/ div&gt; &lt;/ div&gt; &lt;/ div&gt; &lt;div tabindex = "- 1 "class =" airy-ads-screen-size-toggle airy-screen-size-toggle-fullscreen airy "style =" visibility: hidden; "&gt; &lt;/ div&gt; &lt;div tabindex = "-1" class = "airy-ad-prompt-container" style = "visibility: hidden;"&gt; &lt;div tabindex = "- 1" class = "airy-ad-prompt-Vertical-centering-table-vertically airy centering-table "&gt; &lt;div tabindex =" - 1 "class =" airy-ad-prompt-Vertical-centering-table-cell airy-Vertical-centering-table-cell "&gt; &lt;div tabindex =" - 1 "class = "airy-ad-prompt-label"&gt; &lt;/ div&gt; &lt;/ div&gt; &lt;/ div&gt; &lt;/ div&gt; &lt;div tabindex = "- 1" class = "airy-ads-controls-container" style = "visibility: hidden; "&gt; &lt;div tabindex =" - 1 "class =" airy-ads-audio-toggle airy-audio-toggle airy-on "style =" visibility: hidden; "&gt; &lt;/ div&gt; &lt;div tabindex =" - 1 "class =" airy-time-remaining-label-container "&gt; &lt;div tabindex =" - 1 "class =" airy-time-remaining-Vertical-centering-table airy-Vertical-centering-table "&gt; &lt;div tabindex = "- 1" class = "airy-time-remaining-Vertical-centering-table-cell airy-Vertical-centering-table-cell"&gt; &lt;div tabindex = "- 1" class = "airy-Vertical-centering-wrapper airy-time-remaining-label-wrapper "&gt; &lt;div tabindex =" - 1 "class =" airy-time-remaining-label "style =" visibility: hidden; "&gt; &lt;/ div&gt; &lt;div tabi ndex = "- 1" class = "airy-ad-skip" style = "visibility: hidden;"&gt; &lt;/ div&gt; &lt;div tabindex = "- 1" class = "airy-ad-end" style = "visibility: hidden "&gt; &lt;/ div&gt; &lt;/ div&gt; &lt;/ div&gt; &lt;/ div&gt; &lt;/ div&gt; &lt;div tabindex =" - 1 "class =" airy-learn-more "style =" visibility: hidden; "&gt; &lt;/ div&gt; &lt;/ div&gt; &lt;div tabindex = "- 1" class = "airy-play-toggle-hint-stage airy-stage airy-cursor"&gt; &lt;div tabindex = "- 1" class = "airy-play -toggle-hint-Vertical-centering-table-cell airy-Vertical-centering-table-cell airy-cursor "&gt; &lt;div tabindex =" - 1 "class =" airy-play-toggle-hint-container airy-scalable- Hint-container "&gt; &lt;div tabindex =" - 1 "class =" airy-play-toggle-hint-dummy airy-scalable-dummy "&gt; &lt;/ div&gt; &lt;div tabindex =" - 1 "class =" airy-play -toggle-hint hint airy-airy-play-hint "style =" opacity: 1; visibility: visible; "&gt; &lt;/ div&gt; &lt;/ div&gt; &lt;/ div&gt; &lt;/ div&gt; &lt;div tabindex =" - 1 "class =" airy-replay-hint-stage airy-stage "style =" visibility: hidden ; "&gt; &lt;div tabindex =" - 1 "class =" airy-replay-hint-Vertical-centering-table-cell airy-Vertical-centering-table-cell airy-cursor "&gt; &lt;div tabindex =" - 1 "class = "airy-replay-hint-container airy-scalable-hint-container"&gt; &lt;div tabindex = "- 1" class = "airy-replay-hint-dummy airy-scalable-dummy"&gt; &lt;/ div&gt; &lt;div tabindex = "- 1" class = "airy-replay-hint airy-hint"&gt; &lt;/ div&gt; &lt;/ div&gt; &lt;/ div&gt; &lt;/ div&gt; &lt;div tabindex = "- 1" class = "airy-autoplay-hint -stage airy-stage "style =" visibility: hidden; "&gt; &lt;div tabindex =" - 1 "class =" airy-autoplay-hint-Vertical-centering-table-cell airy-Vertical-centering-table-cell airy- cursor "&gt; &lt;div tabindex =" - 1 "class =" autoplay airy-airy-hint-container-scalable-hint-container "&gt; &lt;div tabindex =" - 1 "class =" airy-autoplay-hint-dummy airy- scalable-dummy "&gt; &lt;/ div&gt; &lt;/ div&gt; &lt;/ div&gt; &lt;/ div&gt; &lt;/ div&gt; &lt;/ div&gt; &lt;input type =" hidden "name =" "value =" https: // images-eu .ssl-images-amazon.com / images / I / 91PtKk4tmnS.mp4 "Class =" video-url "&gt; &lt;input type =" hidden "name =" "value =" https://images-eu.ssl-images-amazon.com/images/I/81R98CNofxS.png "class =" video-slate-img-url "&gt; &amp; nbsp; Perfect electric blanket. I like a lot, it is very easy to use and what I like most is that it brings timer from 30 to 120 min, which I consider very useful bedtime not have to turn it off. Its fabric is very soft, very comfortable and then heated.</v>
      </c>
    </row>
    <row r="4929">
      <c r="A4929" s="1">
        <v>5.0</v>
      </c>
      <c r="B4929" s="1" t="s">
        <v>4900</v>
      </c>
      <c r="C4929" t="str">
        <f>IFERROR(__xludf.DUMMYFUNCTION("GOOGLETRANSLATE(B4929, ""es"", ""en"")"),"Original Converse seem to me the originals. I compared to the others and I find no difference. The numbering is correct.")</f>
        <v>Original Converse seem to me the originals. I compared to the others and I find no difference. The numbering is correct.</v>
      </c>
    </row>
    <row r="4930">
      <c r="A4930" s="1">
        <v>5.0</v>
      </c>
      <c r="B4930" s="1" t="s">
        <v>4901</v>
      </c>
      <c r="C4930" t="str">
        <f>IFERROR(__xludf.DUMMYFUNCTION("GOOGLETRANSLATE(B4930, ""es"", ""en"")"),"Cristina Okay, this brand never fails me, they were for a girl and left her like a glove. It is delighted and me too, of course")</f>
        <v>Cristina Okay, this brand never fails me, they were for a girl and left her like a glove. It is delighted and me too, of course</v>
      </c>
    </row>
    <row r="4931">
      <c r="A4931" s="1">
        <v>5.0</v>
      </c>
      <c r="B4931" s="1" t="s">
        <v>4902</v>
      </c>
      <c r="C4931" t="str">
        <f>IFERROR(__xludf.DUMMYFUNCTION("GOOGLETRANSLATE(B4931, ""es"", ""en"")"),"No surprises No surprises. I know the product and the only thing you ask in these cases is that there are no surprises.")</f>
        <v>No surprises No surprises. I know the product and the only thing you ask in these cases is that there are no surprises.</v>
      </c>
    </row>
    <row r="4932">
      <c r="A4932" s="1">
        <v>5.0</v>
      </c>
      <c r="B4932" s="1" t="s">
        <v>4903</v>
      </c>
      <c r="C4932" t="str">
        <f>IFERROR(__xludf.DUMMYFUNCTION("GOOGLETRANSLATE(B4932, ""es"", ""en"")"),"Bag perfect for me the perfect bag !! Has lots of pockets, it is spacious and has the perfect size. Good finish. Very happy with the purchase")</f>
        <v>Bag perfect for me the perfect bag !! Has lots of pockets, it is spacious and has the perfect size. Good finish. Very happy with the purchase</v>
      </c>
    </row>
    <row r="4933">
      <c r="A4933" s="1">
        <v>2.0</v>
      </c>
      <c r="B4933" s="1" t="s">
        <v>4904</v>
      </c>
      <c r="C4933" t="str">
        <f>IFERROR(__xludf.DUMMYFUNCTION("GOOGLETRANSLATE(B4933, ""es"", ""en"")"),"Flawed One of the outstanding put nothing broke, the engagement seems to be coming defective, one came more rigid than the other,")</f>
        <v>Flawed One of the outstanding put nothing broke, the engagement seems to be coming defective, one came more rigid than the other,</v>
      </c>
    </row>
    <row r="4934">
      <c r="A4934" s="1">
        <v>3.0</v>
      </c>
      <c r="B4934" s="1" t="s">
        <v>4905</v>
      </c>
      <c r="C4934" t="str">
        <f>IFERROR(__xludf.DUMMYFUNCTION("GOOGLETRANSLATE(B4934, ""es"", ""en"")"),"Does not stop to meet my expectations to be a brand that is known, the quality does not stop from adequate. In two months of use begins to lose the drawing.")</f>
        <v>Does not stop to meet my expectations to be a brand that is known, the quality does not stop from adequate. In two months of use begins to lose the drawing.</v>
      </c>
    </row>
    <row r="4935">
      <c r="A4935" s="1">
        <v>1.0</v>
      </c>
      <c r="B4935" s="1" t="s">
        <v>4906</v>
      </c>
      <c r="C4935" t="str">
        <f>IFERROR(__xludf.DUMMYFUNCTION("GOOGLETRANSLATE(B4935, ""es"", ""en"")"),"To avoid repeating the toe is narrow and just hurting, fame breeding ...")</f>
        <v>To avoid repeating the toe is narrow and just hurting, fame breeding ...</v>
      </c>
    </row>
    <row r="4936">
      <c r="A4936" s="1">
        <v>1.0</v>
      </c>
      <c r="B4936" s="1" t="s">
        <v>4907</v>
      </c>
      <c r="C4936" t="str">
        <f>IFERROR(__xludf.DUMMYFUNCTION("GOOGLETRANSLATE(B4936, ""es"", ""en"")"),"Powerful seemed ... it seemed very powerful, but since the first day I saw the anchor rod was plastic and indeed crashed out there. Poorly manufactured. I hope the return of the amount ...")</f>
        <v>Powerful seemed ... it seemed very powerful, but since the first day I saw the anchor rod was plastic and indeed crashed out there. Poorly manufactured. I hope the return of the amount ...</v>
      </c>
    </row>
    <row r="4937">
      <c r="A4937" s="1">
        <v>1.0</v>
      </c>
      <c r="B4937" s="1" t="s">
        <v>4908</v>
      </c>
      <c r="C4937" t="str">
        <f>IFERROR(__xludf.DUMMYFUNCTION("GOOGLETRANSLATE(B4937, ""es"", ""en"")"),"Lousy poor quality zipper hooks, the fabric is very bad ... not worth")</f>
        <v>Lousy poor quality zipper hooks, the fabric is very bad ... not worth</v>
      </c>
    </row>
    <row r="4938">
      <c r="A4938" s="1">
        <v>4.0</v>
      </c>
      <c r="B4938" s="1" t="s">
        <v>4909</v>
      </c>
      <c r="C4938" t="str">
        <f>IFERROR(__xludf.DUMMYFUNCTION("GOOGLETRANSLATE(B4938, ""es"", ""en"")"),"Very good quality nuy They look good and are very well")</f>
        <v>Very good quality nuy They look good and are very well</v>
      </c>
    </row>
    <row r="4939">
      <c r="A4939" s="1">
        <v>4.0</v>
      </c>
      <c r="B4939" s="1" t="s">
        <v>4910</v>
      </c>
      <c r="C4939" t="str">
        <f>IFERROR(__xludf.DUMMYFUNCTION("GOOGLETRANSLATE(B4939, ""es"", ""en"")"),"Recommended are super comfortable and very good quality, the problem that the fabric is very delicate and any liquid that falls off than water, the brand is, the color will be so clear, but otherwise super comfortable")</f>
        <v>Recommended are super comfortable and very good quality, the problem that the fabric is very delicate and any liquid that falls off than water, the brand is, the color will be so clear, but otherwise super comfortable</v>
      </c>
    </row>
    <row r="4940">
      <c r="A4940" s="1">
        <v>4.0</v>
      </c>
      <c r="B4940" s="1" t="s">
        <v>4911</v>
      </c>
      <c r="C4940" t="str">
        <f>IFERROR(__xludf.DUMMYFUNCTION("GOOGLETRANSLATE(B4940, ""es"", ""en"")"),"José.a. Good worth buying money is pretty good. It is recommended for beginners who start moving in this world")</f>
        <v>José.a. Good worth buying money is pretty good. It is recommended for beginners who start moving in this world</v>
      </c>
    </row>
    <row r="4941">
      <c r="A4941" s="1">
        <v>4.0</v>
      </c>
      <c r="B4941" s="1" t="s">
        <v>4912</v>
      </c>
      <c r="C4941" t="str">
        <f>IFERROR(__xludf.DUMMYFUNCTION("GOOGLETRANSLATE(B4941, ""es"", ""en"")"),"Good product meets what you may be asked to this product. Is comfortable, heated bien..etc")</f>
        <v>Good product meets what you may be asked to this product. Is comfortable, heated bien..etc</v>
      </c>
    </row>
    <row r="4942">
      <c r="A4942" s="1">
        <v>4.0</v>
      </c>
      <c r="B4942" s="1" t="s">
        <v>4913</v>
      </c>
      <c r="C4942" t="str">
        <f>IFERROR(__xludf.DUMMYFUNCTION("GOOGLETRANSLATE(B4942, ""es"", ""en"")"),"Good quality I've decided to buy this model, because in my house there is a heating pad of this brand that was my grandmother's and it still works. Good quality, made only missing a cover, otherwise perfect. I will turn itself off after 90 minutes checked"&amp;".")</f>
        <v>Good quality I've decided to buy this model, because in my house there is a heating pad of this brand that was my grandmother's and it still works. Good quality, made only missing a cover, otherwise perfect. I will turn itself off after 90 minutes checked.</v>
      </c>
    </row>
    <row r="4943">
      <c r="A4943" s="1">
        <v>5.0</v>
      </c>
      <c r="B4943" s="1" t="s">
        <v>4914</v>
      </c>
      <c r="C4943" t="str">
        <f>IFERROR(__xludf.DUMMYFUNCTION("GOOGLETRANSLATE(B4943, ""es"", ""en"")"),"Is practical is practical")</f>
        <v>Is practical is practical</v>
      </c>
    </row>
    <row r="4944">
      <c r="A4944" s="1">
        <v>5.0</v>
      </c>
      <c r="B4944" s="1" t="s">
        <v>4915</v>
      </c>
      <c r="C4944" t="str">
        <f>IFERROR(__xludf.DUMMYFUNCTION("GOOGLETRANSLATE(B4944, ""es"", ""en"")"),"Super novel This alarm clock is light cane has various colors and intensities, have built-in radio and alarm can adjust the volume of both and is easy to install and I love it.")</f>
        <v>Super novel This alarm clock is light cane has various colors and intensities, have built-in radio and alarm can adjust the volume of both and is easy to install and I love it.</v>
      </c>
    </row>
    <row r="4945">
      <c r="A4945" s="1">
        <v>5.0</v>
      </c>
      <c r="B4945" s="1" t="s">
        <v>4916</v>
      </c>
      <c r="C4945" t="str">
        <f>IFERROR(__xludf.DUMMYFUNCTION("GOOGLETRANSLATE(B4945, ""es"", ""en"")"),"Very good Perfect micro smartphone if you want to put, for example, a voice live. If it links the spring you can a normal using micro and luxury.")</f>
        <v>Very good Perfect micro smartphone if you want to put, for example, a voice live. If it links the spring you can a normal using micro and luxury.</v>
      </c>
    </row>
    <row r="4946">
      <c r="A4946" s="1">
        <v>5.0</v>
      </c>
      <c r="B4946" s="1" t="s">
        <v>4917</v>
      </c>
      <c r="C4946" t="str">
        <f>IFERROR(__xludf.DUMMYFUNCTION("GOOGLETRANSLATE(B4946, ""es"", ""en"")"),"Casio G SHOCK intelligent A wonder, a casio with the functions and resistance of a G SHOCK, with the extra being a smart watch with pedometer and activity, connectable via Bluetooth to mobile, upgrading to the instant all its functions, and allowing manag"&amp;"ing them from the phone. Amazon's service, as always, fast and flawless.")</f>
        <v>Casio G SHOCK intelligent A wonder, a casio with the functions and resistance of a G SHOCK, with the extra being a smart watch with pedometer and activity, connectable via Bluetooth to mobile, upgrading to the instant all its functions, and allowing managing them from the phone. Amazon's service, as always, fast and flawless.</v>
      </c>
    </row>
    <row r="4947">
      <c r="A4947" s="1">
        <v>5.0</v>
      </c>
      <c r="B4947" s="1" t="s">
        <v>4918</v>
      </c>
      <c r="C4947" t="str">
        <f>IFERROR(__xludf.DUMMYFUNCTION("GOOGLETRANSLATE(B4947, ""es"", ""en"")"),"Comfortable I liked a lot, but do not speak about sports, are safety shoes and I like to look like a sport. The he used for work")</f>
        <v>Comfortable I liked a lot, but do not speak about sports, are safety shoes and I like to look like a sport. The he used for work</v>
      </c>
    </row>
    <row r="4948">
      <c r="A4948" s="1">
        <v>5.0</v>
      </c>
      <c r="B4948" s="1" t="s">
        <v>4919</v>
      </c>
      <c r="C4948" t="str">
        <f>IFERROR(__xludf.DUMMYFUNCTION("GOOGLETRANSLATE(B4948, ""es"", ""en"")"),"This meets beater perfect everything I expected much enhanced effectiveness, use the mini chopper pretty well not only herbs but to cut fine vegetables.")</f>
        <v>This meets beater perfect everything I expected much enhanced effectiveness, use the mini chopper pretty well not only herbs but to cut fine vegetables.</v>
      </c>
    </row>
    <row r="4949">
      <c r="A4949" s="1">
        <v>5.0</v>
      </c>
      <c r="B4949" s="1" t="s">
        <v>4920</v>
      </c>
      <c r="C4949" t="str">
        <f>IFERROR(__xludf.DUMMYFUNCTION("GOOGLETRANSLATE(B4949, ""es"", ""en"")"),"Recommended Very comfortable and warm. Color and feel very nice")</f>
        <v>Recommended Very comfortable and warm. Color and feel very nice</v>
      </c>
    </row>
    <row r="4950">
      <c r="A4950" s="1">
        <v>5.0</v>
      </c>
      <c r="B4950" s="1" t="s">
        <v>4921</v>
      </c>
      <c r="C4950" t="str">
        <f>IFERROR(__xludf.DUMMYFUNCTION("GOOGLETRANSLATE(B4950, ""es"", ""en"")"),"Pants comfortable and well made for very good price. It was what I expected, correct size (S chose one for 1.57 and 50 kilos) and good quality. I've washed several times, shrugged slightly as first course but it is. Very comfortable and the fabric is plea"&amp;"sant to the touch.")</f>
        <v>Pants comfortable and well made for very good price. It was what I expected, correct size (S chose one for 1.57 and 50 kilos) and good quality. I've washed several times, shrugged slightly as first course but it is. Very comfortable and the fabric is pleasant to the touch.</v>
      </c>
    </row>
    <row r="4951">
      <c r="A4951" s="1">
        <v>5.0</v>
      </c>
      <c r="B4951" s="1" t="s">
        <v>4922</v>
      </c>
      <c r="C4951" t="str">
        <f>IFERROR(__xludf.DUMMYFUNCTION("GOOGLETRANSLATE(B4951, ""es"", ""en"")"),"Perfect Works fine, staple well")</f>
        <v>Perfect Works fine, staple well</v>
      </c>
    </row>
    <row r="4952">
      <c r="A4952" s="1">
        <v>5.0</v>
      </c>
      <c r="B4952" s="1" t="s">
        <v>4923</v>
      </c>
      <c r="C4952" t="str">
        <f>IFERROR(__xludf.DUMMYFUNCTION("GOOGLETRANSLATE(B4952, ""es"", ""en"")"),"Proud of their product Very good cable with a very good quality / price, and have the detail of barbed send a gift game, I recommend is buying 100%")</f>
        <v>Proud of their product Very good cable with a very good quality / price, and have the detail of barbed send a gift game, I recommend is buying 100%</v>
      </c>
    </row>
    <row r="4953">
      <c r="A4953" s="1">
        <v>5.0</v>
      </c>
      <c r="B4953" s="1" t="s">
        <v>4924</v>
      </c>
      <c r="C4953" t="str">
        <f>IFERROR(__xludf.DUMMYFUNCTION("GOOGLETRANSLATE(B4953, ""es"", ""en"")"),"Good backpack I think you are missing any other pocket for storing small things or to better organize")</f>
        <v>Good backpack I think you are missing any other pocket for storing small things or to better organize</v>
      </c>
    </row>
    <row r="4954">
      <c r="A4954" s="1">
        <v>5.0</v>
      </c>
      <c r="B4954" s="1" t="s">
        <v>4925</v>
      </c>
      <c r="C4954" t="str">
        <f>IFERROR(__xludf.DUMMYFUNCTION("GOOGLETRANSLATE(B4954, ""es"", ""en"")"),"KabelDirekt Excellent product, good value for money, perfectly fulfills its function, good speaker cable, perfect, very happy with the purchase.")</f>
        <v>KabelDirekt Excellent product, good value for money, perfectly fulfills its function, good speaker cable, perfect, very happy with the purchase.</v>
      </c>
    </row>
    <row r="4955">
      <c r="A4955" s="1">
        <v>5.0</v>
      </c>
      <c r="B4955" s="1" t="s">
        <v>4926</v>
      </c>
      <c r="C4955" t="str">
        <f>IFERROR(__xludf.DUMMYFUNCTION("GOOGLETRANSLATE(B4955, ""es"", ""en"")"),"excellent connectivity bluetooth and aux in the same town feel of the material excellent, good sound and multiple connectivity. They are lightweight to be a big helmets, includes a case for transport, nice touch. you can also connect via Bluetooth and cab"&amp;"le, ideal if you run out of battery or if you use them in a studio like me.")</f>
        <v>excellent connectivity bluetooth and aux in the same town feel of the material excellent, good sound and multiple connectivity. They are lightweight to be a big helmets, includes a case for transport, nice touch. you can also connect via Bluetooth and cable, ideal if you run out of battery or if you use them in a studio like me.</v>
      </c>
    </row>
    <row r="4956">
      <c r="A4956" s="1">
        <v>5.0</v>
      </c>
      <c r="B4956" s="1" t="s">
        <v>4927</v>
      </c>
      <c r="C4956" t="str">
        <f>IFERROR(__xludf.DUMMYFUNCTION("GOOGLETRANSLATE(B4956, ""es"", ""en"")"),"There are very good very good, and are the same as specified, well endure wear and depues a few weeks of use remain the same.")</f>
        <v>There are very good very good, and are the same as specified, well endure wear and depues a few weeks of use remain the same.</v>
      </c>
    </row>
    <row r="4957">
      <c r="A4957" s="1">
        <v>5.0</v>
      </c>
      <c r="B4957" s="1" t="s">
        <v>4928</v>
      </c>
      <c r="C4957" t="str">
        <f>IFERROR(__xludf.DUMMYFUNCTION("GOOGLETRANSLATE(B4957, ""es"", ""en"")"),"Fast delivery works properly. Fast delivery")</f>
        <v>Fast delivery works properly. Fast delivery</v>
      </c>
    </row>
    <row r="4958">
      <c r="A4958" s="1">
        <v>5.0</v>
      </c>
      <c r="B4958" s="1" t="s">
        <v>4929</v>
      </c>
      <c r="C4958" t="str">
        <f>IFERROR(__xludf.DUMMYFUNCTION("GOOGLETRANSLATE(B4958, ""es"", ""en"")"),"A nice touch. My wife was delighted him.")</f>
        <v>A nice touch. My wife was delighted him.</v>
      </c>
    </row>
    <row r="4959">
      <c r="A4959" s="1">
        <v>5.0</v>
      </c>
      <c r="B4959" s="1" t="s">
        <v>4930</v>
      </c>
      <c r="C4959" t="str">
        <f>IFERROR(__xludf.DUMMYFUNCTION("GOOGLETRANSLATE(B4959, ""es"", ""en"")"),"Aromas very nice. Good selection of aromas, and all very nice, nothing extravagant or cloying. I especially love the lemon. It gives a feeling of freshness to the room very good. I'm using 3 drops in a humidifier 100 ml, and the smell is mild and pleasant"&amp;", I do not like too intense. Eye oils which are not used for any humidifier, many only work with water-soluble aromas.")</f>
        <v>Aromas very nice. Good selection of aromas, and all very nice, nothing extravagant or cloying. I especially love the lemon. It gives a feeling of freshness to the room very good. I'm using 3 drops in a humidifier 100 ml, and the smell is mild and pleasant, I do not like too intense. Eye oils which are not used for any humidifier, many only work with water-soluble aromas.</v>
      </c>
    </row>
    <row r="4960">
      <c r="A4960" s="1">
        <v>5.0</v>
      </c>
      <c r="B4960" s="1" t="s">
        <v>4931</v>
      </c>
      <c r="C4960" t="str">
        <f>IFERROR(__xludf.DUMMYFUNCTION("GOOGLETRANSLATE(B4960, ""es"", ""en"")"),"Silver pendant is very thin and the chain is beautiful to me hencantado design.")</f>
        <v>Silver pendant is very thin and the chain is beautiful to me hencantado design.</v>
      </c>
    </row>
    <row r="4961">
      <c r="A4961" s="1">
        <v>2.0</v>
      </c>
      <c r="B4961" s="1" t="s">
        <v>4932</v>
      </c>
      <c r="C4961" t="str">
        <f>IFERROR(__xludf.DUMMYFUNCTION("GOOGLETRANSLATE(B4961, ""es"", ""en"")"),"Box shattered box and hit by shattered everywhere ...")</f>
        <v>Box shattered box and hit by shattered everywhere ...</v>
      </c>
    </row>
    <row r="4962">
      <c r="A4962" s="1">
        <v>3.0</v>
      </c>
      <c r="B4962" s="1" t="s">
        <v>4933</v>
      </c>
      <c r="C4962" t="str">
        <f>IFERROR(__xludf.DUMMYFUNCTION("GOOGLETRANSLATE(B4962, ""es"", ""en"")"),"Good. Squeezing well and doing both at once, it is faster. Ne can be washed in the dishwasher, so you have to be using a brush if you want to clean it. I do not know what will last, but it seems to be a very high quality.")</f>
        <v>Good. Squeezing well and doing both at once, it is faster. Ne can be washed in the dishwasher, so you have to be using a brush if you want to clean it. I do not know what will last, but it seems to be a very high quality.</v>
      </c>
    </row>
    <row r="4963">
      <c r="A4963" s="1">
        <v>3.0</v>
      </c>
      <c r="B4963" s="1" t="s">
        <v>4934</v>
      </c>
      <c r="C4963" t="str">
        <f>IFERROR(__xludf.DUMMYFUNCTION("GOOGLETRANSLATE(B4963, ""es"", ""en"")"),"Like a vacuum cleaner bag, nothing in itself is a good vacuum cleaner that does the job. But I stopped working a year and a half. There is only one service in Valencia and attention to the public leaves much to be desired. I much stuck animal hairs in the"&amp;" brush below. You have to change the filters every six months for suction well. Like a vacuum cleaner bag, nothing")</f>
        <v>Like a vacuum cleaner bag, nothing in itself is a good vacuum cleaner that does the job. But I stopped working a year and a half. There is only one service in Valencia and attention to the public leaves much to be desired. I much stuck animal hairs in the brush below. You have to change the filters every six months for suction well. Like a vacuum cleaner bag, nothing</v>
      </c>
    </row>
    <row r="4964">
      <c r="A4964" s="1">
        <v>3.0</v>
      </c>
      <c r="B4964" s="1" t="s">
        <v>4935</v>
      </c>
      <c r="C4964" t="str">
        <f>IFERROR(__xludf.DUMMYFUNCTION("GOOGLETRANSLATE(B4964, ""es"", ""en"")"),"eye that needs 48v phantom .. Well I put 3 star porveso same. I bought it because I needed for a recording and I could not use pq without fuciona phantom. Not that captures little is that no phantom is like singing to a rock. My table has phantom hand but"&amp;" had a dual XLR (Canon) without xlr no phantom .. so I could not use it until I went to my local test by one. The cable comes in addition to being harmful to feed quality is not worth ... that include cable that mierdon ?? Infirmando keep records of how p"&amp;"q still have not used it.")</f>
        <v>eye that needs 48v phantom .. Well I put 3 star porveso same. I bought it because I needed for a recording and I could not use pq without fuciona phantom. Not that captures little is that no phantom is like singing to a rock. My table has phantom hand but had a dual XLR (Canon) without xlr no phantom .. so I could not use it until I went to my local test by one. The cable comes in addition to being harmful to feed quality is not worth ... that include cable that mierdon ?? Infirmando keep records of how pq still have not used it.</v>
      </c>
    </row>
    <row r="4965">
      <c r="A4965" s="1">
        <v>1.0</v>
      </c>
      <c r="B4965" s="1" t="s">
        <v>4936</v>
      </c>
      <c r="C4965" t="str">
        <f>IFERROR(__xludf.DUMMYFUNCTION("GOOGLETRANSLATE(B4965, ""es"", ""en"")"),"Slime does. Do not buy to make slime that does not work I will not buy my son because I wanted to slime and has not left. He has tried all forms and does not work")</f>
        <v>Slime does. Do not buy to make slime that does not work I will not buy my son because I wanted to slime and has not left. He has tried all forms and does not work</v>
      </c>
    </row>
    <row r="4966">
      <c r="A4966" s="1">
        <v>1.0</v>
      </c>
      <c r="B4966" s="1" t="s">
        <v>4937</v>
      </c>
      <c r="C4966" t="str">
        <f>IFERROR(__xludf.DUMMYFUNCTION("GOOGLETRANSLATE(B4966, ""es"", ""en"")"),"The trinket trinket is very nice but came in a mini bag transparent Delgado me that much to be desired as it was to give")</f>
        <v>The trinket trinket is very nice but came in a mini bag transparent Delgado me that much to be desired as it was to give</v>
      </c>
    </row>
    <row r="4967">
      <c r="A4967" s="1">
        <v>4.0</v>
      </c>
      <c r="B4967" s="1" t="s">
        <v>4938</v>
      </c>
      <c r="C4967" t="str">
        <f>IFERROR(__xludf.DUMMYFUNCTION("GOOGLETRANSLATE(B4967, ""es"", ""en"")"),"Neli Very comfortable, easy to carry by its elasticity, value for money and more surprising being a pack with 3 units")</f>
        <v>Neli Very comfortable, easy to carry by its elasticity, value for money and more surprising being a pack with 3 units</v>
      </c>
    </row>
    <row r="4968">
      <c r="A4968" s="1">
        <v>4.0</v>
      </c>
      <c r="B4968" s="1" t="s">
        <v>4939</v>
      </c>
      <c r="C4968" t="str">
        <f>IFERROR(__xludf.DUMMYFUNCTION("GOOGLETRANSLATE(B4968, ""es"", ""en"")"),"PERFECT FOR THE HOUSE. DO MUCH NOISE, ASPIRA very well and is very manageable TO MAKE cleanings. ROWENTA NEVER disappoints me. okay")</f>
        <v>PERFECT FOR THE HOUSE. DO MUCH NOISE, ASPIRA very well and is very manageable TO MAKE cleanings. ROWENTA NEVER disappoints me. okay</v>
      </c>
    </row>
    <row r="4969">
      <c r="A4969" s="1">
        <v>4.0</v>
      </c>
      <c r="B4969" s="1" t="s">
        <v>4940</v>
      </c>
      <c r="C4969" t="str">
        <f>IFERROR(__xludf.DUMMYFUNCTION("GOOGLETRANSLATE(B4969, ""es"", ""en"")"),"I think very good choice is a good choice: good materials, good finishes and details to consider, as the wider opening which facilitates entry of water. The size is perfect (approx. 2 liters). I hope it lasts more than others and so the slightly higher pr"&amp;"ice is justified.")</f>
        <v>I think very good choice is a good choice: good materials, good finishes and details to consider, as the wider opening which facilitates entry of water. The size is perfect (approx. 2 liters). I hope it lasts more than others and so the slightly higher price is justified.</v>
      </c>
    </row>
    <row r="4970">
      <c r="A4970" s="1">
        <v>4.0</v>
      </c>
      <c r="B4970" s="1" t="s">
        <v>4941</v>
      </c>
      <c r="C4970" t="str">
        <f>IFERROR(__xludf.DUMMYFUNCTION("GOOGLETRANSLATE(B4970, ""es"", ""en"")"),"Boots are correct as expected, the size does not correspond to European or American are the most used")</f>
        <v>Boots are correct as expected, the size does not correspond to European or American are the most used</v>
      </c>
    </row>
    <row r="4971">
      <c r="A4971" s="1">
        <v>5.0</v>
      </c>
      <c r="B4971" s="1" t="s">
        <v>4942</v>
      </c>
      <c r="C4971" t="str">
        <f>IFERROR(__xludf.DUMMYFUNCTION("GOOGLETRANSLATE(B4971, ""es"", ""en"")"),"Good memories Good value for money in their time, pleased with this purchase, the elegant design and durable material. Although it has gone up significantly since I bought them in 2015.")</f>
        <v>Good memories Good value for money in their time, pleased with this purchase, the elegant design and durable material. Although it has gone up significantly since I bought them in 2015.</v>
      </c>
    </row>
    <row r="4972">
      <c r="A4972" s="1">
        <v>5.0</v>
      </c>
      <c r="B4972" s="1" t="s">
        <v>4943</v>
      </c>
      <c r="C4972" t="str">
        <f>IFERROR(__xludf.DUMMYFUNCTION("GOOGLETRANSLATE(B4972, ""es"", ""en"")"),"Good buy Good price and good quality, comfortable and beautiful, I am satisfied with the purchase. The expected size")</f>
        <v>Good buy Good price and good quality, comfortable and beautiful, I am satisfied with the purchase. The expected size</v>
      </c>
    </row>
    <row r="4973">
      <c r="A4973" s="1">
        <v>5.0</v>
      </c>
      <c r="B4973" s="1" t="s">
        <v>4944</v>
      </c>
      <c r="C4973" t="str">
        <f>IFERROR(__xludf.DUMMYFUNCTION("GOOGLETRANSLATE(B4973, ""es"", ""en"")"),"Very nice-comfortable Although everyone likes, I like pretty, black, smooth skin quality, relatively flexible, good ... personally I use sole 42, in this case 41.5 and ordered the complete success, fit like a glove. They are waterproof and do not know how"&amp;" to behave with water. If you get it at a good price, buy more than recommended.")</f>
        <v>Very nice-comfortable Although everyone likes, I like pretty, black, smooth skin quality, relatively flexible, good ... personally I use sole 42, in this case 41.5 and ordered the complete success, fit like a glove. They are waterproof and do not know how to behave with water. If you get it at a good price, buy more than recommended.</v>
      </c>
    </row>
    <row r="4974">
      <c r="A4974" s="1">
        <v>5.0</v>
      </c>
      <c r="B4974" s="1" t="s">
        <v>4945</v>
      </c>
      <c r="C4974" t="str">
        <f>IFERROR(__xludf.DUMMYFUNCTION("GOOGLETRANSLATE(B4974, ""es"", ""en"")"),"Very good quality mouse suitable for MAC")</f>
        <v>Very good quality mouse suitable for MAC</v>
      </c>
    </row>
    <row r="4975">
      <c r="A4975" s="1">
        <v>5.0</v>
      </c>
      <c r="B4975" s="1" t="s">
        <v>4946</v>
      </c>
      <c r="C4975" t="str">
        <f>IFERROR(__xludf.DUMMYFUNCTION("GOOGLETRANSLATE(B4975, ""es"", ""en"")"),"A nice CASIO watch, neither too large nor too small with many functions. A watch multi function comprehensive basic range")</f>
        <v>A nice CASIO watch, neither too large nor too small with many functions. A watch multi function comprehensive basic range</v>
      </c>
    </row>
    <row r="4976">
      <c r="A4976" s="1">
        <v>5.0</v>
      </c>
      <c r="B4976" s="1" t="s">
        <v>4947</v>
      </c>
      <c r="C4976" t="str">
        <f>IFERROR(__xludf.DUMMYFUNCTION("GOOGLETRANSLATE(B4976, ""es"", ""en"")"),"I like Excellent It was like I would highly recommend it to everyone and do not know what else to put and")</f>
        <v>I like Excellent It was like I would highly recommend it to everyone and do not know what else to put and</v>
      </c>
    </row>
    <row r="4977">
      <c r="A4977" s="1">
        <v>5.0</v>
      </c>
      <c r="B4977" s="1" t="s">
        <v>4948</v>
      </c>
      <c r="C4977" t="str">
        <f>IFERROR(__xludf.DUMMYFUNCTION("GOOGLETRANSLATE(B4977, ""es"", ""en"")"),"Value for money 100% recommended")</f>
        <v>Value for money 100% recommended</v>
      </c>
    </row>
    <row r="4978">
      <c r="A4978" s="1">
        <v>5.0</v>
      </c>
      <c r="B4978" s="1" t="s">
        <v>4949</v>
      </c>
      <c r="C4978" t="str">
        <f>IFERROR(__xludf.DUMMYFUNCTION("GOOGLETRANSLATE(B4978, ""es"", ""en"")"),"It is Larguita, take a leotard shirt very comfortable and nice")</f>
        <v>It is Larguita, take a leotard shirt very comfortable and nice</v>
      </c>
    </row>
    <row r="4979">
      <c r="A4979" s="1">
        <v>5.0</v>
      </c>
      <c r="B4979" s="1" t="s">
        <v>4950</v>
      </c>
      <c r="C4979" t="str">
        <f>IFERROR(__xludf.DUMMYFUNCTION("GOOGLETRANSLATE(B4979, ""es"", ""en"")"),"Excellent quality wonderful ... super comfortable not disappoint the money you spend on them ... not the first not the last shoe I bought this brand")</f>
        <v>Excellent quality wonderful ... super comfortable not disappoint the money you spend on them ... not the first not the last shoe I bought this brand</v>
      </c>
    </row>
    <row r="4980">
      <c r="A4980" s="1">
        <v>5.0</v>
      </c>
      <c r="B4980" s="1" t="s">
        <v>4951</v>
      </c>
      <c r="C4980" t="str">
        <f>IFERROR(__xludf.DUMMYFUNCTION("GOOGLETRANSLATE(B4980, ""es"", ""en"")"),"Very good very good product, fits the description. It not as tight as it appears in the ankle is not fully adjusted. Entertains enough with which it is suitable for winter and this price is very good.")</f>
        <v>Very good very good product, fits the description. It not as tight as it appears in the ankle is not fully adjusted. Entertains enough with which it is suitable for winter and this price is very good.</v>
      </c>
    </row>
    <row r="4981">
      <c r="A4981" s="1">
        <v>5.0</v>
      </c>
      <c r="B4981" s="1" t="s">
        <v>4952</v>
      </c>
      <c r="C4981" t="str">
        <f>IFERROR(__xludf.DUMMYFUNCTION("GOOGLETRANSLATE(B4981, ""es"", ""en"")"),"Good price and fast delivery .... good super excellent product that I use super power did not have much but I will ..... great as it")</f>
        <v>Good price and fast delivery .... good super excellent product that I use super power did not have much but I will ..... great as it</v>
      </c>
    </row>
    <row r="4982">
      <c r="A4982" s="1">
        <v>5.0</v>
      </c>
      <c r="B4982" s="1" t="s">
        <v>4953</v>
      </c>
      <c r="C4982" t="str">
        <f>IFERROR(__xludf.DUMMYFUNCTION("GOOGLETRANSLATE(B4982, ""es"", ""en"")"),"Autoesterilizables. They are very good. Is the brand that likes to the small. why, but Not so. The advantage that we are autoesterilizables has been great for travel. Not having to carry the sterilizer contraption.")</f>
        <v>Autoesterilizables. They are very good. Is the brand that likes to the small. why, but Not so. The advantage that we are autoesterilizables has been great for travel. Not having to carry the sterilizer contraption.</v>
      </c>
    </row>
    <row r="4983">
      <c r="A4983" s="1">
        <v>5.0</v>
      </c>
      <c r="B4983" s="1" t="s">
        <v>4954</v>
      </c>
      <c r="C4983" t="str">
        <f>IFERROR(__xludf.DUMMYFUNCTION("GOOGLETRANSLATE(B4983, ""es"", ""en"")"),"Ample space for backup for 99.9 euros 2.7 Tib now have additional space for backup: ample capacity ... that will end being small. ;-) The rate is reasonable, 80 to 100 MB / s connected to a USB 3.1 port Genesis 1, running a very low noise level. Overall, "&amp;"very good. I am satisfied with the purchase.")</f>
        <v>Ample space for backup for 99.9 euros 2.7 Tib now have additional space for backup: ample capacity ... that will end being small. ;-) The rate is reasonable, 80 to 100 MB / s connected to a USB 3.1 port Genesis 1, running a very low noise level. Overall, very good. I am satisfied with the purchase.</v>
      </c>
    </row>
    <row r="4984">
      <c r="A4984" s="1">
        <v>5.0</v>
      </c>
      <c r="B4984" s="1" t="s">
        <v>4955</v>
      </c>
      <c r="C4984" t="str">
        <f>IFERROR(__xludf.DUMMYFUNCTION("GOOGLETRANSLATE(B4984, ""es"", ""en"")"),"Diffuser nice! I am very happy with it, has a very nice design, but it is plastic wood seems !. Works like a charm!. I have perfumed house !!. Has come nicely packaged !!")</f>
        <v>Diffuser nice! I am very happy with it, has a very nice design, but it is plastic wood seems !. Works like a charm!. I have perfumed house !!. Has come nicely packaged !!</v>
      </c>
    </row>
    <row r="4985">
      <c r="A4985" s="1">
        <v>5.0</v>
      </c>
      <c r="B4985" s="1" t="s">
        <v>4956</v>
      </c>
      <c r="C4985" t="str">
        <f>IFERROR(__xludf.DUMMYFUNCTION("GOOGLETRANSLATE(B4985, ""es"", ""en"")"),"Good mat materials are good and excellent lighting.")</f>
        <v>Good mat materials are good and excellent lighting.</v>
      </c>
    </row>
    <row r="4986">
      <c r="A4986" s="1">
        <v>5.0</v>
      </c>
      <c r="B4986" s="1" t="s">
        <v>4957</v>
      </c>
      <c r="C4986" t="str">
        <f>IFERROR(__xludf.DUMMYFUNCTION("GOOGLETRANSLATE(B4986, ""es"", ""en"")"),"Little can be said right product as it is known by almost everyone. Glue effective, robust and durable.")</f>
        <v>Little can be said right product as it is known by almost everyone. Glue effective, robust and durable.</v>
      </c>
    </row>
    <row r="4987">
      <c r="A4987" s="1">
        <v>5.0</v>
      </c>
      <c r="B4987" s="1" t="s">
        <v>4958</v>
      </c>
      <c r="C4987" t="str">
        <f>IFERROR(__xludf.DUMMYFUNCTION("GOOGLETRANSLATE(B4987, ""es"", ""en"")"),"good very good product. I use a test 39 and as I did I was advised one 40 and the truth that great.")</f>
        <v>good very good product. I use a test 39 and as I did I was advised one 40 and the truth that great.</v>
      </c>
    </row>
    <row r="4988">
      <c r="A4988" s="1">
        <v>5.0</v>
      </c>
      <c r="B4988" s="1" t="s">
        <v>4959</v>
      </c>
      <c r="C4988" t="str">
        <f>IFERROR(__xludf.DUMMYFUNCTION("GOOGLETRANSLATE(B4988, ""es"", ""en"")"),"Fully complies with its objective very good product, good quality, and had another who buy it to have a spare and I'm very happy with this product. fulfills its function very well")</f>
        <v>Fully complies with its objective very good product, good quality, and had another who buy it to have a spare and I'm very happy with this product. fulfills its function very well</v>
      </c>
    </row>
    <row r="4989">
      <c r="A4989" s="1">
        <v>5.0</v>
      </c>
      <c r="B4989" s="1" t="s">
        <v>4960</v>
      </c>
      <c r="C4989" t="str">
        <f>IFERROR(__xludf.DUMMYFUNCTION("GOOGLETRANSLATE(B4989, ""es"", ""en"")"),"Relacción money also fit perfectly for the price you have adapters including silicone parts. Good quality materials and also good audio quality.")</f>
        <v>Relacción money also fit perfectly for the price you have adapters including silicone parts. Good quality materials and also good audio quality.</v>
      </c>
    </row>
    <row r="4990">
      <c r="A4990" s="1">
        <v>2.0</v>
      </c>
      <c r="B4990" s="1" t="s">
        <v>4961</v>
      </c>
      <c r="C4990" t="str">
        <f>IFERROR(__xludf.DUMMYFUNCTION("GOOGLETRANSLATE(B4990, ""es"", ""en"")"),"NOT WHAT I EXPECTED used to swim but the numbers when not seen, that is, I put it in the walking option because swimming does not have it and if I want to see when I can not see it, first because the numbers are not see, are not fluorescent, I just used t"&amp;"o see the pulsations and the steps taken, if I want to see the time at that time while I'm swimming I have to exit the application to view the time.")</f>
        <v>NOT WHAT I EXPECTED used to swim but the numbers when not seen, that is, I put it in the walking option because swimming does not have it and if I want to see when I can not see it, first because the numbers are not see, are not fluorescent, I just used to see the pulsations and the steps taken, if I want to see the time at that time while I'm swimming I have to exit the application to view the time.</v>
      </c>
    </row>
    <row r="4991">
      <c r="A4991" s="1">
        <v>3.0</v>
      </c>
      <c r="B4991" s="1" t="s">
        <v>4962</v>
      </c>
      <c r="C4991" t="str">
        <f>IFERROR(__xludf.DUMMYFUNCTION("GOOGLETRANSLATE(B4991, ""es"", ""en"")"),"Regular sometimes stutters one of headphones and listening to the not quite right")</f>
        <v>Regular sometimes stutters one of headphones and listening to the not quite right</v>
      </c>
    </row>
    <row r="4992">
      <c r="A4992" s="1">
        <v>1.0</v>
      </c>
      <c r="B4992" s="1" t="s">
        <v>4963</v>
      </c>
      <c r="C4992" t="str">
        <f>IFERROR(__xludf.DUMMYFUNCTION("GOOGLETRANSLATE(B4992, ""es"", ""en"")"),"He is going like crazy I had q return because I did not like. Crashing into the furniture abruptly and walks haphazardly. It could be a whole hour in the same room and would not others. Now I have one with mapping and no color. No mapping never buy any.")</f>
        <v>He is going like crazy I had q return because I did not like. Crashing into the furniture abruptly and walks haphazardly. It could be a whole hour in the same room and would not others. Now I have one with mapping and no color. No mapping never buy any.</v>
      </c>
    </row>
    <row r="4993">
      <c r="A4993" s="1">
        <v>1.0</v>
      </c>
      <c r="B4993" s="1" t="s">
        <v>4964</v>
      </c>
      <c r="C4993" t="str">
        <f>IFERROR(__xludf.DUMMYFUNCTION("GOOGLETRANSLATE(B4993, ""es"", ""en"")"),"Nothing comfort Nothing comfort, they are very hard, with nothing slips are a hazard with wet soil, the price had to be more quality, very hard template")</f>
        <v>Nothing comfort Nothing comfort, they are very hard, with nothing slips are a hazard with wet soil, the price had to be more quality, very hard template</v>
      </c>
    </row>
    <row r="4994">
      <c r="A4994" s="1">
        <v>4.0</v>
      </c>
      <c r="B4994" s="1" t="s">
        <v>4965</v>
      </c>
      <c r="C4994" t="str">
        <f>IFERROR(__xludf.DUMMYFUNCTION("GOOGLETRANSLATE(B4994, ""es"", ""en"")"),"As well as expected size is great and has a pretty good speed, but the package came dobladl and took off the stick of the casing, so I've stuck manually without problems. Let's enjoy it")</f>
        <v>As well as expected size is great and has a pretty good speed, but the package came dobladl and took off the stick of the casing, so I've stuck manually without problems. Let's enjoy it</v>
      </c>
    </row>
    <row r="4995">
      <c r="A4995" s="1">
        <v>4.0</v>
      </c>
      <c r="B4995" s="1" t="s">
        <v>4966</v>
      </c>
      <c r="C4995" t="str">
        <f>IFERROR(__xludf.DUMMYFUNCTION("GOOGLETRANSLATE(B4995, ""es"", ""en"")"),"Good Value go very well what happens that is transparent though he is either legal right")</f>
        <v>Good Value go very well what happens that is transparent though he is either legal right</v>
      </c>
    </row>
    <row r="4996">
      <c r="A4996" s="1">
        <v>4.0</v>
      </c>
      <c r="B4996" s="1" t="s">
        <v>4967</v>
      </c>
      <c r="C4996" t="str">
        <f>IFERROR(__xludf.DUMMYFUNCTION("GOOGLETRANSLATE(B4996, ""es"", ""en"")"),"Impressed by its low price I came early and this watch looks very nice, super-economical price")</f>
        <v>Impressed by its low price I came early and this watch looks very nice, super-economical price</v>
      </c>
    </row>
    <row r="4997">
      <c r="A4997" s="1">
        <v>4.0</v>
      </c>
      <c r="B4997" s="1" t="s">
        <v>4968</v>
      </c>
      <c r="C4997" t="str">
        <f>IFERROR(__xludf.DUMMYFUNCTION("GOOGLETRANSLATE(B4997, ""es"", ""en"")"),"Prefio Quality is something noisy and does not measure the water. Otherwise, great.")</f>
        <v>Prefio Quality is something noisy and does not measure the water. Otherwise, great.</v>
      </c>
    </row>
    <row r="4998">
      <c r="A4998" s="1">
        <v>4.0</v>
      </c>
      <c r="B4998" s="1" t="s">
        <v>4969</v>
      </c>
      <c r="C4998" t="str">
        <f>IFERROR(__xludf.DUMMYFUNCTION("GOOGLETRANSLATE(B4998, ""es"", ""en"")"),"I was pleasantly surprised has really surprised me how well it goes with W7. I would recommend that the value and convenience is fantastic")</f>
        <v>I was pleasantly surprised has really surprised me how well it goes with W7. I would recommend that the value and convenience is fantastic</v>
      </c>
    </row>
    <row r="4999">
      <c r="A4999" s="1">
        <v>5.0</v>
      </c>
      <c r="B4999" s="1" t="s">
        <v>4970</v>
      </c>
      <c r="C4999" t="str">
        <f>IFERROR(__xludf.DUMMYFUNCTION("GOOGLETRANSLATE(B4999, ""es"", ""en"")"),"Very good buy needed a thermos for bottles away from home and it really was a wise move. Water is kept warm for hours. Now I do serve up at night to not wait until the bibi is heated and thus do not mourn my little hunger.")</f>
        <v>Very good buy needed a thermos for bottles away from home and it really was a wise move. Water is kept warm for hours. Now I do serve up at night to not wait until the bibi is heated and thus do not mourn my little hunger.</v>
      </c>
    </row>
    <row r="5000">
      <c r="A5000" s="1">
        <v>5.0</v>
      </c>
      <c r="B5000" s="1" t="s">
        <v>4971</v>
      </c>
      <c r="C5000" t="str">
        <f>IFERROR(__xludf.DUMMYFUNCTION("GOOGLETRANSLATE(B5000, ""es"", ""en"")"),"10/10 beautiful with a very good presentation, my partner was delighted with, will buy this brand safe")</f>
        <v>10/10 beautiful with a very good presentation, my partner was delighted with, will buy this brand safe</v>
      </c>
    </row>
    <row r="5001">
      <c r="A5001" s="1">
        <v>5.0</v>
      </c>
      <c r="B5001" s="1" t="s">
        <v>4972</v>
      </c>
      <c r="C5001" t="str">
        <f>IFERROR(__xludf.DUMMYFUNCTION("GOOGLETRANSLATE(B5001, ""es"", ""en"")"),"Excellent watch. It has exceeded my expectations. The chain is somewhat slight. But the NH35A mechanism is very precise. Outperforms much more expensive watches.")</f>
        <v>Excellent watch. It has exceeded my expectations. The chain is somewhat slight. But the NH35A mechanism is very precise. Outperforms much more expensive watches.</v>
      </c>
    </row>
  </sheetData>
  <drawing r:id="rId1"/>
</worksheet>
</file>